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nve.no\fil\home\mohh\Skrivebord\"/>
    </mc:Choice>
  </mc:AlternateContent>
  <bookViews>
    <workbookView xWindow="-75" yWindow="-75" windowWidth="28875" windowHeight="12660" tabRatio="673" firstSheet="2" activeTab="2"/>
  </bookViews>
  <sheets>
    <sheet name="Informasjon" sheetId="3" r:id="rId1"/>
    <sheet name="Forutsetninger" sheetId="2" r:id="rId2"/>
    <sheet name="Inntektsramme 2016" sheetId="1" r:id="rId3"/>
    <sheet name="Kostnadsgrunnlag 2014" sheetId="9" r:id="rId4"/>
    <sheet name="IRData" sheetId="8" r:id="rId5"/>
    <sheet name="DEAnorm D-nett" sheetId="5" r:id="rId6"/>
    <sheet name="DEAnorm R-nett" sheetId="4" r:id="rId7"/>
    <sheet name="D-Alt" sheetId="10" r:id="rId8"/>
    <sheet name="R-Alt" sheetId="13" r:id="rId9"/>
    <sheet name="IR2016prnettnivå" sheetId="14" r:id="rId10"/>
    <sheet name="mindreavkastning" sheetId="15" r:id="rId11"/>
  </sheets>
  <definedNames>
    <definedName name="_xlnm._FilterDatabase" localSheetId="7" hidden="1">'D-Alt'!$A$1:$M$19</definedName>
    <definedName name="_xlnm._FilterDatabase" localSheetId="5" hidden="1">'DEAnorm D-nett'!$A$3:$I$134</definedName>
    <definedName name="_xlnm._FilterDatabase" localSheetId="6" hidden="1">'DEAnorm R-nett'!$A$3:$I$86</definedName>
    <definedName name="_xlnm._FilterDatabase" localSheetId="2" hidden="1">'Inntektsramme 2016'!$A$2:$AL$2</definedName>
    <definedName name="_xlnm._FilterDatabase" localSheetId="4" hidden="1">IRData!$A$2:$AN$146</definedName>
    <definedName name="_xlnm._FilterDatabase" localSheetId="3" hidden="1">'Kostnadsgrunnlag 2014'!$A$2:$K$2</definedName>
    <definedName name="_xlnm._FilterDatabase" localSheetId="8" hidden="1">'R-Alt'!$A$1:$L$61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147" i="1" l="1"/>
  <c r="AP3" i="1" l="1"/>
  <c r="AP4" i="1"/>
  <c r="AP5" i="1" l="1"/>
  <c r="C124" i="5" l="1"/>
  <c r="C125" i="5"/>
  <c r="C126" i="5"/>
  <c r="C127" i="5"/>
  <c r="C128" i="5"/>
  <c r="C129" i="5"/>
  <c r="C130" i="5"/>
  <c r="C123" i="5"/>
  <c r="C56" i="4" l="1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55" i="4"/>
  <c r="H55" i="14"/>
  <c r="AD4" i="1" l="1"/>
  <c r="AE4" i="1"/>
  <c r="AF4" i="1"/>
  <c r="AD5" i="1"/>
  <c r="AE5" i="1"/>
  <c r="AF5" i="1"/>
  <c r="AD6" i="1"/>
  <c r="AE6" i="1"/>
  <c r="AF6" i="1"/>
  <c r="AD7" i="1"/>
  <c r="AE7" i="1"/>
  <c r="AF7" i="1"/>
  <c r="AD8" i="1"/>
  <c r="AE8" i="1"/>
  <c r="AF8" i="1"/>
  <c r="AD10" i="1"/>
  <c r="AE10" i="1"/>
  <c r="AF10" i="1"/>
  <c r="AD11" i="1"/>
  <c r="AE11" i="1"/>
  <c r="AF11" i="1"/>
  <c r="AD12" i="1"/>
  <c r="AE12" i="1"/>
  <c r="AF12" i="1"/>
  <c r="AD13" i="1"/>
  <c r="AE13" i="1"/>
  <c r="AF13" i="1"/>
  <c r="AD14" i="1"/>
  <c r="AE14" i="1"/>
  <c r="AF14" i="1"/>
  <c r="AD15" i="1"/>
  <c r="AE15" i="1"/>
  <c r="AF15" i="1"/>
  <c r="AD16" i="1"/>
  <c r="AE16" i="1"/>
  <c r="AF16" i="1"/>
  <c r="AD17" i="1"/>
  <c r="AE17" i="1"/>
  <c r="AF17" i="1"/>
  <c r="AD18" i="1"/>
  <c r="AE18" i="1"/>
  <c r="AF18" i="1"/>
  <c r="AD19" i="1"/>
  <c r="AE19" i="1"/>
  <c r="AF19" i="1"/>
  <c r="AD20" i="1"/>
  <c r="AE20" i="1"/>
  <c r="AF20" i="1"/>
  <c r="AD23" i="1"/>
  <c r="AE23" i="1"/>
  <c r="AF23" i="1"/>
  <c r="AD24" i="1"/>
  <c r="AE24" i="1"/>
  <c r="AF24" i="1"/>
  <c r="AD25" i="1"/>
  <c r="AD123" i="1" s="1"/>
  <c r="AE25" i="1"/>
  <c r="AE123" i="1" s="1"/>
  <c r="AF25" i="1"/>
  <c r="AF123" i="1" s="1"/>
  <c r="AD26" i="1"/>
  <c r="AE26" i="1"/>
  <c r="AF26" i="1"/>
  <c r="AD27" i="1"/>
  <c r="AE27" i="1"/>
  <c r="AF27" i="1"/>
  <c r="AD28" i="1"/>
  <c r="AE28" i="1"/>
  <c r="AF28" i="1"/>
  <c r="AD29" i="1"/>
  <c r="AE29" i="1"/>
  <c r="AF29" i="1"/>
  <c r="AD30" i="1"/>
  <c r="AE30" i="1"/>
  <c r="AF30" i="1"/>
  <c r="AD31" i="1"/>
  <c r="AD99" i="1" s="1"/>
  <c r="AE31" i="1"/>
  <c r="AE99" i="1" s="1"/>
  <c r="AF31" i="1"/>
  <c r="AF99" i="1" s="1"/>
  <c r="AD32" i="1"/>
  <c r="AE32" i="1"/>
  <c r="AF32" i="1"/>
  <c r="AD33" i="1"/>
  <c r="AE33" i="1"/>
  <c r="AF33" i="1"/>
  <c r="AD34" i="1"/>
  <c r="AE34" i="1"/>
  <c r="AF34" i="1"/>
  <c r="AD35" i="1"/>
  <c r="AE35" i="1"/>
  <c r="AF35" i="1"/>
  <c r="AD36" i="1"/>
  <c r="AD91" i="1" s="1"/>
  <c r="AE36" i="1"/>
  <c r="AE91" i="1" s="1"/>
  <c r="AF36" i="1"/>
  <c r="AF91" i="1" s="1"/>
  <c r="AD38" i="1"/>
  <c r="AE38" i="1"/>
  <c r="AF38" i="1"/>
  <c r="AD39" i="1"/>
  <c r="AE39" i="1"/>
  <c r="AF39" i="1"/>
  <c r="AD40" i="1"/>
  <c r="AE40" i="1"/>
  <c r="AF40" i="1"/>
  <c r="AD41" i="1"/>
  <c r="AE41" i="1"/>
  <c r="AF41" i="1"/>
  <c r="AD42" i="1"/>
  <c r="AD109" i="1" s="1"/>
  <c r="AE42" i="1"/>
  <c r="AE109" i="1" s="1"/>
  <c r="AF42" i="1"/>
  <c r="AF109" i="1" s="1"/>
  <c r="AD43" i="1"/>
  <c r="AE43" i="1"/>
  <c r="AF43" i="1"/>
  <c r="AD44" i="1"/>
  <c r="AE44" i="1"/>
  <c r="AF44" i="1"/>
  <c r="AD45" i="1"/>
  <c r="AE45" i="1"/>
  <c r="AF45" i="1"/>
  <c r="AD46" i="1"/>
  <c r="AE46" i="1"/>
  <c r="AF46" i="1"/>
  <c r="AD47" i="1"/>
  <c r="AE47" i="1"/>
  <c r="AF47" i="1"/>
  <c r="AD48" i="1"/>
  <c r="AE48" i="1"/>
  <c r="AF48" i="1"/>
  <c r="AD49" i="1"/>
  <c r="AE49" i="1"/>
  <c r="AF49" i="1"/>
  <c r="AD50" i="1"/>
  <c r="AE50" i="1"/>
  <c r="AF50" i="1"/>
  <c r="AD51" i="1"/>
  <c r="AE51" i="1"/>
  <c r="AF51" i="1"/>
  <c r="AD52" i="1"/>
  <c r="AE52" i="1"/>
  <c r="AF52" i="1"/>
  <c r="AD53" i="1"/>
  <c r="AE53" i="1"/>
  <c r="AF53" i="1"/>
  <c r="AD54" i="1"/>
  <c r="AE54" i="1"/>
  <c r="AF54" i="1"/>
  <c r="AD55" i="1"/>
  <c r="AE55" i="1"/>
  <c r="AF55" i="1"/>
  <c r="AD56" i="1"/>
  <c r="AE56" i="1"/>
  <c r="AF56" i="1"/>
  <c r="AD57" i="1"/>
  <c r="AE57" i="1"/>
  <c r="AF57" i="1"/>
  <c r="AD58" i="1"/>
  <c r="AE58" i="1"/>
  <c r="AF58" i="1"/>
  <c r="AD59" i="1"/>
  <c r="AE59" i="1"/>
  <c r="AF59" i="1"/>
  <c r="AD60" i="1"/>
  <c r="AE60" i="1"/>
  <c r="AF60" i="1"/>
  <c r="AD61" i="1"/>
  <c r="AE61" i="1"/>
  <c r="AF61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D101" i="1" s="1"/>
  <c r="AE80" i="1"/>
  <c r="AE101" i="1" s="1"/>
  <c r="AF80" i="1"/>
  <c r="AF101" i="1" s="1"/>
  <c r="AD81" i="1"/>
  <c r="AE81" i="1"/>
  <c r="AF81" i="1"/>
  <c r="AD82" i="1"/>
  <c r="AE82" i="1"/>
  <c r="AF82" i="1"/>
  <c r="AD83" i="1"/>
  <c r="AE83" i="1"/>
  <c r="AF83" i="1"/>
  <c r="AD84" i="1"/>
  <c r="AD144" i="1" s="1"/>
  <c r="AE84" i="1"/>
  <c r="AE144" i="1" s="1"/>
  <c r="AF84" i="1"/>
  <c r="AF144" i="1" s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100" i="1"/>
  <c r="AE100" i="1"/>
  <c r="AF100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D70" i="1" s="1"/>
  <c r="AE107" i="1"/>
  <c r="AE70" i="1" s="1"/>
  <c r="AF107" i="1"/>
  <c r="AF70" i="1" s="1"/>
  <c r="AD108" i="1"/>
  <c r="AE108" i="1"/>
  <c r="AF108" i="1"/>
  <c r="AD110" i="1"/>
  <c r="AE110" i="1"/>
  <c r="AF110" i="1"/>
  <c r="AD111" i="1"/>
  <c r="AE111" i="1"/>
  <c r="AF111" i="1"/>
  <c r="AD112" i="1"/>
  <c r="AE112" i="1"/>
  <c r="AF112" i="1"/>
  <c r="AD113" i="1"/>
  <c r="AE113" i="1"/>
  <c r="AF113" i="1"/>
  <c r="AD114" i="1"/>
  <c r="AE114" i="1"/>
  <c r="AF114" i="1"/>
  <c r="AD115" i="1"/>
  <c r="AE115" i="1"/>
  <c r="AF115" i="1"/>
  <c r="AD116" i="1"/>
  <c r="AE116" i="1"/>
  <c r="AF116" i="1"/>
  <c r="AD117" i="1"/>
  <c r="AE117" i="1"/>
  <c r="AF117" i="1"/>
  <c r="AD118" i="1"/>
  <c r="AE118" i="1"/>
  <c r="AF118" i="1"/>
  <c r="AD119" i="1"/>
  <c r="AE119" i="1"/>
  <c r="AF119" i="1"/>
  <c r="AD120" i="1"/>
  <c r="AE120" i="1"/>
  <c r="AF120" i="1"/>
  <c r="AD121" i="1"/>
  <c r="AE121" i="1"/>
  <c r="AF121" i="1"/>
  <c r="AD122" i="1"/>
  <c r="AE122" i="1"/>
  <c r="AF122" i="1"/>
  <c r="AD124" i="1"/>
  <c r="AE124" i="1"/>
  <c r="AF124" i="1"/>
  <c r="AD125" i="1"/>
  <c r="AE125" i="1"/>
  <c r="AF125" i="1"/>
  <c r="AD126" i="1"/>
  <c r="AE126" i="1"/>
  <c r="AF126" i="1"/>
  <c r="AD127" i="1"/>
  <c r="AE127" i="1"/>
  <c r="AF127" i="1"/>
  <c r="AD128" i="1"/>
  <c r="AE128" i="1"/>
  <c r="AF128" i="1"/>
  <c r="AD129" i="1"/>
  <c r="AE129" i="1"/>
  <c r="AF129" i="1"/>
  <c r="AD130" i="1"/>
  <c r="AE130" i="1"/>
  <c r="AF130" i="1"/>
  <c r="AD131" i="1"/>
  <c r="AE131" i="1"/>
  <c r="AF131" i="1"/>
  <c r="AD132" i="1"/>
  <c r="AE132" i="1"/>
  <c r="AF132" i="1"/>
  <c r="AD133" i="1"/>
  <c r="AE133" i="1"/>
  <c r="AF133" i="1"/>
  <c r="AD134" i="1"/>
  <c r="AE134" i="1"/>
  <c r="AF134" i="1"/>
  <c r="AD135" i="1"/>
  <c r="AE135" i="1"/>
  <c r="AF135" i="1"/>
  <c r="AD136" i="1"/>
  <c r="AE136" i="1"/>
  <c r="AF136" i="1"/>
  <c r="AD137" i="1"/>
  <c r="AE137" i="1"/>
  <c r="AF137" i="1"/>
  <c r="AD138" i="1"/>
  <c r="AE138" i="1"/>
  <c r="AF138" i="1"/>
  <c r="AD140" i="1"/>
  <c r="AE140" i="1"/>
  <c r="AF140" i="1"/>
  <c r="AD141" i="1"/>
  <c r="AE141" i="1"/>
  <c r="AF141" i="1"/>
  <c r="AD142" i="1"/>
  <c r="AE142" i="1"/>
  <c r="AF142" i="1"/>
  <c r="AD143" i="1"/>
  <c r="AE143" i="1"/>
  <c r="AF143" i="1"/>
  <c r="AD145" i="1"/>
  <c r="AE145" i="1"/>
  <c r="AF145" i="1"/>
  <c r="AD146" i="1"/>
  <c r="AE146" i="1"/>
  <c r="AF146" i="1"/>
  <c r="AF3" i="1"/>
  <c r="AE3" i="1"/>
  <c r="AD3" i="1"/>
  <c r="AD37" i="1" l="1"/>
  <c r="AD62" i="1"/>
  <c r="AF37" i="1"/>
  <c r="AF62" i="1"/>
  <c r="AE62" i="1"/>
  <c r="AE37" i="1"/>
  <c r="AD22" i="1"/>
  <c r="AD9" i="1"/>
  <c r="AF9" i="1"/>
  <c r="AF22" i="1"/>
  <c r="AE9" i="1"/>
  <c r="AE22" i="1"/>
  <c r="AD21" i="1"/>
  <c r="AE21" i="1"/>
  <c r="AF21" i="1"/>
  <c r="H3" i="14"/>
  <c r="H4" i="14"/>
  <c r="H5" i="14"/>
  <c r="H6" i="14"/>
  <c r="H7" i="14"/>
  <c r="H8" i="14"/>
  <c r="H9" i="14"/>
  <c r="J9" i="14" s="1"/>
  <c r="H10" i="14"/>
  <c r="K10" i="14" s="1"/>
  <c r="H11" i="14"/>
  <c r="H12" i="14"/>
  <c r="H13" i="14"/>
  <c r="H14" i="14"/>
  <c r="K14" i="14" s="1"/>
  <c r="H15" i="14"/>
  <c r="H16" i="14"/>
  <c r="I16" i="14" s="1"/>
  <c r="H17" i="14"/>
  <c r="H18" i="14"/>
  <c r="K18" i="14" s="1"/>
  <c r="H19" i="14"/>
  <c r="H20" i="14"/>
  <c r="H21" i="14"/>
  <c r="J21" i="14" s="1"/>
  <c r="H22" i="14"/>
  <c r="H23" i="14"/>
  <c r="H24" i="14"/>
  <c r="H25" i="14"/>
  <c r="H26" i="14"/>
  <c r="K26" i="14" s="1"/>
  <c r="H27" i="14"/>
  <c r="H28" i="14"/>
  <c r="H29" i="14"/>
  <c r="H30" i="14"/>
  <c r="K30" i="14" s="1"/>
  <c r="H31" i="14"/>
  <c r="H32" i="14"/>
  <c r="H33" i="14"/>
  <c r="H34" i="14"/>
  <c r="K34" i="14" s="1"/>
  <c r="H35" i="14"/>
  <c r="H36" i="14"/>
  <c r="H37" i="14"/>
  <c r="J37" i="14" s="1"/>
  <c r="H38" i="14"/>
  <c r="H39" i="14"/>
  <c r="H40" i="14"/>
  <c r="H41" i="14"/>
  <c r="J41" i="14" s="1"/>
  <c r="H42" i="14"/>
  <c r="K42" i="14" s="1"/>
  <c r="H43" i="14"/>
  <c r="H44" i="14"/>
  <c r="H45" i="14"/>
  <c r="H46" i="14"/>
  <c r="K46" i="14" s="1"/>
  <c r="H47" i="14"/>
  <c r="H48" i="14"/>
  <c r="H49" i="14"/>
  <c r="H50" i="14"/>
  <c r="K50" i="14" s="1"/>
  <c r="H51" i="14"/>
  <c r="H52" i="14"/>
  <c r="I52" i="14" s="1"/>
  <c r="H53" i="14"/>
  <c r="J53" i="14" s="1"/>
  <c r="H54" i="14"/>
  <c r="H56" i="14"/>
  <c r="H57" i="14"/>
  <c r="H58" i="14"/>
  <c r="K58" i="14" s="1"/>
  <c r="H59" i="14"/>
  <c r="H60" i="14"/>
  <c r="H61" i="14"/>
  <c r="H62" i="14"/>
  <c r="I62" i="14" s="1"/>
  <c r="H63" i="14"/>
  <c r="H64" i="14"/>
  <c r="H65" i="14"/>
  <c r="K65" i="14" s="1"/>
  <c r="H66" i="14"/>
  <c r="I66" i="14" s="1"/>
  <c r="H67" i="14"/>
  <c r="H68" i="14"/>
  <c r="H69" i="14"/>
  <c r="H70" i="14"/>
  <c r="I70" i="14" s="1"/>
  <c r="H71" i="14"/>
  <c r="H72" i="14"/>
  <c r="H73" i="14"/>
  <c r="K73" i="14" s="1"/>
  <c r="H74" i="14"/>
  <c r="I74" i="14" s="1"/>
  <c r="H75" i="14"/>
  <c r="K75" i="14" s="1"/>
  <c r="H76" i="14"/>
  <c r="H77" i="14"/>
  <c r="H78" i="14"/>
  <c r="I78" i="14" s="1"/>
  <c r="H79" i="14"/>
  <c r="H80" i="14"/>
  <c r="H81" i="14"/>
  <c r="K81" i="14" s="1"/>
  <c r="H82" i="14"/>
  <c r="I82" i="14" s="1"/>
  <c r="H83" i="14"/>
  <c r="K83" i="14" s="1"/>
  <c r="H84" i="14"/>
  <c r="I84" i="14" s="1"/>
  <c r="H85" i="14"/>
  <c r="H86" i="14"/>
  <c r="I86" i="14" s="1"/>
  <c r="H87" i="14"/>
  <c r="H88" i="14"/>
  <c r="H89" i="14"/>
  <c r="K89" i="14" s="1"/>
  <c r="H90" i="14"/>
  <c r="I90" i="14" s="1"/>
  <c r="H91" i="14"/>
  <c r="H92" i="14"/>
  <c r="H93" i="14"/>
  <c r="H94" i="14"/>
  <c r="I94" i="14" s="1"/>
  <c r="H95" i="14"/>
  <c r="H96" i="14"/>
  <c r="H97" i="14"/>
  <c r="K97" i="14" s="1"/>
  <c r="H98" i="14"/>
  <c r="I98" i="14" s="1"/>
  <c r="H99" i="14"/>
  <c r="H100" i="14"/>
  <c r="H101" i="14"/>
  <c r="H102" i="14"/>
  <c r="I102" i="14" s="1"/>
  <c r="H103" i="14"/>
  <c r="H104" i="14"/>
  <c r="H105" i="14"/>
  <c r="K105" i="14" s="1"/>
  <c r="H106" i="14"/>
  <c r="I106" i="14" s="1"/>
  <c r="H107" i="14"/>
  <c r="K107" i="14" s="1"/>
  <c r="H108" i="14"/>
  <c r="H109" i="14"/>
  <c r="H110" i="14"/>
  <c r="I110" i="14" s="1"/>
  <c r="H111" i="14"/>
  <c r="H112" i="14"/>
  <c r="H113" i="14"/>
  <c r="K113" i="14" s="1"/>
  <c r="H114" i="14"/>
  <c r="I114" i="14" s="1"/>
  <c r="H115" i="14"/>
  <c r="J115" i="14" s="1"/>
  <c r="H116" i="14"/>
  <c r="H117" i="14"/>
  <c r="I117" i="14" s="1"/>
  <c r="H118" i="14"/>
  <c r="K118" i="14" s="1"/>
  <c r="H119" i="14"/>
  <c r="I119" i="14" s="1"/>
  <c r="H120" i="14"/>
  <c r="H121" i="14"/>
  <c r="H122" i="14"/>
  <c r="K122" i="14" s="1"/>
  <c r="H123" i="14"/>
  <c r="I123" i="14" s="1"/>
  <c r="H124" i="14"/>
  <c r="K124" i="14" s="1"/>
  <c r="H125" i="14"/>
  <c r="I125" i="14" s="1"/>
  <c r="H126" i="14"/>
  <c r="K126" i="14" s="1"/>
  <c r="H127" i="14"/>
  <c r="I127" i="14" s="1"/>
  <c r="H128" i="14"/>
  <c r="H129" i="14"/>
  <c r="I129" i="14" s="1"/>
  <c r="H130" i="14"/>
  <c r="K130" i="14" s="1"/>
  <c r="H131" i="14"/>
  <c r="I131" i="14" s="1"/>
  <c r="H132" i="14"/>
  <c r="H133" i="14"/>
  <c r="J133" i="14" s="1"/>
  <c r="H2" i="14"/>
  <c r="I2" i="14" s="1"/>
  <c r="J2" i="14" l="1"/>
  <c r="I130" i="14"/>
  <c r="J123" i="14"/>
  <c r="I118" i="14"/>
  <c r="K110" i="14"/>
  <c r="K102" i="14"/>
  <c r="J94" i="14"/>
  <c r="J78" i="14"/>
  <c r="J70" i="14"/>
  <c r="K131" i="14"/>
  <c r="J126" i="14"/>
  <c r="J122" i="14"/>
  <c r="K115" i="14"/>
  <c r="J110" i="14"/>
  <c r="J102" i="14"/>
  <c r="K90" i="14"/>
  <c r="K66" i="14"/>
  <c r="J131" i="14"/>
  <c r="I126" i="14"/>
  <c r="I122" i="14"/>
  <c r="I115" i="14"/>
  <c r="K98" i="14"/>
  <c r="K86" i="14"/>
  <c r="K82" i="14"/>
  <c r="K74" i="14"/>
  <c r="K62" i="14"/>
  <c r="K2" i="14"/>
  <c r="J130" i="14"/>
  <c r="K123" i="14"/>
  <c r="J118" i="14"/>
  <c r="K114" i="14"/>
  <c r="K106" i="14"/>
  <c r="K94" i="14"/>
  <c r="J86" i="14"/>
  <c r="K78" i="14"/>
  <c r="K70" i="14"/>
  <c r="J62" i="14"/>
  <c r="J121" i="14"/>
  <c r="K121" i="14"/>
  <c r="K57" i="14"/>
  <c r="I57" i="14"/>
  <c r="K45" i="14"/>
  <c r="I45" i="14"/>
  <c r="J45" i="14"/>
  <c r="K33" i="14"/>
  <c r="I33" i="14"/>
  <c r="J33" i="14"/>
  <c r="K25" i="14"/>
  <c r="I25" i="14"/>
  <c r="K17" i="14"/>
  <c r="I17" i="14"/>
  <c r="J17" i="14"/>
  <c r="K5" i="14"/>
  <c r="I5" i="14"/>
  <c r="J89" i="14"/>
  <c r="I81" i="14"/>
  <c r="I132" i="14"/>
  <c r="J132" i="14"/>
  <c r="I128" i="14"/>
  <c r="J128" i="14"/>
  <c r="I120" i="14"/>
  <c r="J120" i="14"/>
  <c r="I116" i="14"/>
  <c r="J116" i="14"/>
  <c r="J112" i="14"/>
  <c r="K112" i="14"/>
  <c r="I112" i="14"/>
  <c r="J108" i="14"/>
  <c r="K108" i="14"/>
  <c r="J104" i="14"/>
  <c r="K104" i="14"/>
  <c r="I104" i="14"/>
  <c r="J100" i="14"/>
  <c r="K100" i="14"/>
  <c r="J96" i="14"/>
  <c r="K96" i="14"/>
  <c r="I96" i="14"/>
  <c r="J92" i="14"/>
  <c r="K92" i="14"/>
  <c r="J88" i="14"/>
  <c r="K88" i="14"/>
  <c r="I88" i="14"/>
  <c r="J84" i="14"/>
  <c r="K84" i="14"/>
  <c r="J80" i="14"/>
  <c r="K80" i="14"/>
  <c r="I80" i="14"/>
  <c r="J76" i="14"/>
  <c r="K76" i="14"/>
  <c r="J72" i="14"/>
  <c r="K72" i="14"/>
  <c r="I72" i="14"/>
  <c r="J68" i="14"/>
  <c r="K68" i="14"/>
  <c r="J64" i="14"/>
  <c r="K64" i="14"/>
  <c r="I64" i="14"/>
  <c r="J60" i="14"/>
  <c r="K60" i="14"/>
  <c r="I60" i="14"/>
  <c r="J56" i="14"/>
  <c r="K56" i="14"/>
  <c r="I56" i="14"/>
  <c r="J52" i="14"/>
  <c r="K52" i="14"/>
  <c r="J48" i="14"/>
  <c r="K48" i="14"/>
  <c r="J44" i="14"/>
  <c r="K44" i="14"/>
  <c r="I44" i="14"/>
  <c r="J40" i="14"/>
  <c r="K40" i="14"/>
  <c r="I40" i="14"/>
  <c r="J36" i="14"/>
  <c r="K36" i="14"/>
  <c r="J32" i="14"/>
  <c r="K32" i="14"/>
  <c r="J28" i="14"/>
  <c r="K28" i="14"/>
  <c r="I28" i="14"/>
  <c r="J24" i="14"/>
  <c r="K24" i="14"/>
  <c r="I24" i="14"/>
  <c r="J20" i="14"/>
  <c r="K20" i="14"/>
  <c r="J16" i="14"/>
  <c r="K16" i="14"/>
  <c r="J12" i="14"/>
  <c r="K12" i="14"/>
  <c r="I12" i="14"/>
  <c r="J8" i="14"/>
  <c r="K8" i="14"/>
  <c r="I8" i="14"/>
  <c r="J4" i="14"/>
  <c r="K4" i="14"/>
  <c r="K133" i="14"/>
  <c r="K128" i="14"/>
  <c r="K120" i="14"/>
  <c r="J97" i="14"/>
  <c r="I92" i="14"/>
  <c r="I89" i="14"/>
  <c r="J65" i="14"/>
  <c r="I32" i="14"/>
  <c r="I4" i="14"/>
  <c r="I111" i="14"/>
  <c r="J111" i="14"/>
  <c r="K111" i="14"/>
  <c r="I107" i="14"/>
  <c r="J107" i="14"/>
  <c r="I103" i="14"/>
  <c r="J103" i="14"/>
  <c r="K103" i="14"/>
  <c r="I99" i="14"/>
  <c r="J99" i="14"/>
  <c r="I95" i="14"/>
  <c r="J95" i="14"/>
  <c r="K95" i="14"/>
  <c r="I91" i="14"/>
  <c r="J91" i="14"/>
  <c r="I87" i="14"/>
  <c r="J87" i="14"/>
  <c r="K87" i="14"/>
  <c r="I83" i="14"/>
  <c r="J83" i="14"/>
  <c r="I79" i="14"/>
  <c r="J79" i="14"/>
  <c r="K79" i="14"/>
  <c r="I75" i="14"/>
  <c r="J75" i="14"/>
  <c r="I71" i="14"/>
  <c r="J71" i="14"/>
  <c r="K71" i="14"/>
  <c r="I67" i="14"/>
  <c r="J67" i="14"/>
  <c r="I63" i="14"/>
  <c r="J63" i="14"/>
  <c r="K63" i="14"/>
  <c r="I59" i="14"/>
  <c r="J59" i="14"/>
  <c r="K59" i="14"/>
  <c r="I55" i="14"/>
  <c r="J55" i="14"/>
  <c r="K55" i="14"/>
  <c r="I51" i="14"/>
  <c r="J51" i="14"/>
  <c r="K51" i="14"/>
  <c r="I47" i="14"/>
  <c r="J47" i="14"/>
  <c r="K47" i="14"/>
  <c r="I43" i="14"/>
  <c r="J43" i="14"/>
  <c r="K43" i="14"/>
  <c r="I39" i="14"/>
  <c r="J39" i="14"/>
  <c r="K39" i="14"/>
  <c r="I35" i="14"/>
  <c r="J35" i="14"/>
  <c r="K35" i="14"/>
  <c r="I31" i="14"/>
  <c r="J31" i="14"/>
  <c r="K31" i="14"/>
  <c r="I27" i="14"/>
  <c r="J27" i="14"/>
  <c r="K27" i="14"/>
  <c r="I23" i="14"/>
  <c r="J23" i="14"/>
  <c r="K23" i="14"/>
  <c r="I19" i="14"/>
  <c r="J19" i="14"/>
  <c r="K19" i="14"/>
  <c r="I15" i="14"/>
  <c r="J15" i="14"/>
  <c r="K15" i="14"/>
  <c r="I11" i="14"/>
  <c r="J11" i="14"/>
  <c r="K11" i="14"/>
  <c r="I7" i="14"/>
  <c r="J7" i="14"/>
  <c r="K7" i="14"/>
  <c r="I3" i="14"/>
  <c r="J3" i="14"/>
  <c r="K3" i="14"/>
  <c r="I133" i="14"/>
  <c r="K127" i="14"/>
  <c r="K119" i="14"/>
  <c r="J105" i="14"/>
  <c r="I100" i="14"/>
  <c r="I97" i="14"/>
  <c r="K91" i="14"/>
  <c r="J73" i="14"/>
  <c r="I68" i="14"/>
  <c r="I65" i="14"/>
  <c r="J57" i="14"/>
  <c r="I48" i="14"/>
  <c r="I20" i="14"/>
  <c r="K132" i="14"/>
  <c r="J127" i="14"/>
  <c r="J119" i="14"/>
  <c r="K116" i="14"/>
  <c r="J113" i="14"/>
  <c r="I108" i="14"/>
  <c r="I105" i="14"/>
  <c r="K99" i="14"/>
  <c r="J81" i="14"/>
  <c r="I76" i="14"/>
  <c r="I73" i="14"/>
  <c r="K67" i="14"/>
  <c r="I36" i="14"/>
  <c r="J125" i="14"/>
  <c r="K125" i="14"/>
  <c r="K61" i="14"/>
  <c r="I61" i="14"/>
  <c r="J61" i="14"/>
  <c r="K49" i="14"/>
  <c r="I49" i="14"/>
  <c r="J49" i="14"/>
  <c r="K37" i="14"/>
  <c r="I37" i="14"/>
  <c r="K21" i="14"/>
  <c r="I21" i="14"/>
  <c r="K9" i="14"/>
  <c r="I9" i="14"/>
  <c r="I121" i="14"/>
  <c r="J25" i="14"/>
  <c r="J5" i="14"/>
  <c r="J129" i="14"/>
  <c r="K129" i="14"/>
  <c r="J117" i="14"/>
  <c r="K117" i="14"/>
  <c r="K109" i="14"/>
  <c r="I109" i="14"/>
  <c r="J109" i="14"/>
  <c r="K101" i="14"/>
  <c r="I101" i="14"/>
  <c r="J101" i="14"/>
  <c r="K93" i="14"/>
  <c r="I93" i="14"/>
  <c r="J93" i="14"/>
  <c r="K85" i="14"/>
  <c r="I85" i="14"/>
  <c r="J85" i="14"/>
  <c r="K77" i="14"/>
  <c r="I77" i="14"/>
  <c r="J77" i="14"/>
  <c r="K69" i="14"/>
  <c r="I69" i="14"/>
  <c r="J69" i="14"/>
  <c r="K53" i="14"/>
  <c r="I53" i="14"/>
  <c r="K41" i="14"/>
  <c r="I41" i="14"/>
  <c r="K29" i="14"/>
  <c r="I29" i="14"/>
  <c r="J29" i="14"/>
  <c r="K13" i="14"/>
  <c r="I13" i="14"/>
  <c r="J13" i="14"/>
  <c r="I113" i="14"/>
  <c r="I124" i="14"/>
  <c r="J124" i="14"/>
  <c r="I58" i="14"/>
  <c r="J58" i="14"/>
  <c r="I54" i="14"/>
  <c r="J54" i="14"/>
  <c r="I50" i="14"/>
  <c r="J50" i="14"/>
  <c r="I46" i="14"/>
  <c r="J46" i="14"/>
  <c r="I42" i="14"/>
  <c r="J42" i="14"/>
  <c r="I38" i="14"/>
  <c r="J38" i="14"/>
  <c r="I34" i="14"/>
  <c r="J34" i="14"/>
  <c r="I30" i="14"/>
  <c r="J30" i="14"/>
  <c r="I26" i="14"/>
  <c r="J26" i="14"/>
  <c r="I22" i="14"/>
  <c r="J22" i="14"/>
  <c r="I18" i="14"/>
  <c r="J18" i="14"/>
  <c r="I14" i="14"/>
  <c r="J14" i="14"/>
  <c r="I10" i="14"/>
  <c r="J10" i="14"/>
  <c r="I6" i="14"/>
  <c r="J6" i="14"/>
  <c r="J114" i="14"/>
  <c r="J106" i="14"/>
  <c r="J98" i="14"/>
  <c r="J90" i="14"/>
  <c r="J82" i="14"/>
  <c r="J74" i="14"/>
  <c r="J66" i="14"/>
  <c r="K54" i="14"/>
  <c r="K38" i="14"/>
  <c r="K22" i="14"/>
  <c r="K6" i="14"/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4" i="4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4" i="5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3" i="9"/>
  <c r="L149" i="9" l="1"/>
  <c r="K156" i="1" l="1"/>
  <c r="AN9" i="8" l="1"/>
  <c r="AN32" i="8"/>
  <c r="AN25" i="8"/>
  <c r="AN30" i="8"/>
  <c r="AN118" i="8"/>
  <c r="AN37" i="8"/>
  <c r="AN43" i="8"/>
  <c r="AN44" i="8"/>
  <c r="AN52" i="8"/>
  <c r="AN53" i="8"/>
  <c r="AN57" i="8"/>
  <c r="AN58" i="8"/>
  <c r="AN62" i="8"/>
  <c r="AN64" i="8"/>
  <c r="AN70" i="8"/>
  <c r="AN71" i="8"/>
  <c r="AN82" i="8"/>
  <c r="AN143" i="8"/>
  <c r="AN89" i="8"/>
  <c r="AN24" i="8"/>
  <c r="AN92" i="8"/>
  <c r="AN93" i="8"/>
  <c r="AN96" i="8"/>
  <c r="AN59" i="8"/>
  <c r="AN87" i="8"/>
  <c r="AN100" i="8"/>
  <c r="AN103" i="8"/>
  <c r="AN47" i="8"/>
  <c r="AN106" i="8"/>
  <c r="AN114" i="8"/>
  <c r="AN121" i="8"/>
  <c r="AN124" i="8"/>
  <c r="AN131" i="8"/>
  <c r="AN136" i="8"/>
  <c r="AN145" i="8"/>
  <c r="AN119" i="8"/>
  <c r="AN49" i="8"/>
  <c r="AN81" i="8"/>
  <c r="AN86" i="8"/>
  <c r="AN76" i="8"/>
  <c r="AN42" i="8"/>
  <c r="AN14" i="8"/>
  <c r="AN78" i="8"/>
  <c r="AN22" i="8"/>
  <c r="AN77" i="8"/>
  <c r="AN38" i="8"/>
  <c r="AN83" i="8"/>
  <c r="AN46" i="8"/>
  <c r="AN5" i="8"/>
  <c r="D3" i="8"/>
  <c r="AN4" i="8" l="1"/>
  <c r="AN98" i="8"/>
  <c r="AN112" i="8"/>
  <c r="AN141" i="8"/>
  <c r="AN84" i="8"/>
  <c r="AN72" i="8"/>
  <c r="AN140" i="8"/>
  <c r="AN21" i="8"/>
  <c r="AN19" i="8"/>
  <c r="AN63" i="8"/>
  <c r="AN139" i="8"/>
  <c r="AN55" i="8"/>
  <c r="AN17" i="8"/>
  <c r="AN144" i="8"/>
  <c r="AN135" i="8"/>
  <c r="AN128" i="8"/>
  <c r="AN123" i="8"/>
  <c r="AN109" i="8"/>
  <c r="AN111" i="8"/>
  <c r="AN104" i="8"/>
  <c r="AN101" i="8"/>
  <c r="AN102" i="8"/>
  <c r="AN99" i="8"/>
  <c r="AN95" i="8"/>
  <c r="AN91" i="8"/>
  <c r="AN79" i="8"/>
  <c r="AN75" i="8"/>
  <c r="AN69" i="8"/>
  <c r="AN61" i="8"/>
  <c r="AN56" i="8"/>
  <c r="AN50" i="8"/>
  <c r="AN40" i="8"/>
  <c r="AN33" i="8"/>
  <c r="AN68" i="8"/>
  <c r="AN80" i="8"/>
  <c r="AN113" i="8"/>
  <c r="AN120" i="8"/>
  <c r="AN18" i="8"/>
  <c r="AN117" i="8"/>
  <c r="AN20" i="8"/>
  <c r="AN66" i="8"/>
  <c r="AN137" i="8"/>
  <c r="AN10" i="8"/>
  <c r="AN45" i="8"/>
  <c r="AN36" i="8"/>
  <c r="AN39" i="8"/>
  <c r="AN146" i="8"/>
  <c r="AN138" i="8"/>
  <c r="AN41" i="8"/>
  <c r="AN125" i="8"/>
  <c r="AN122" i="8"/>
  <c r="AN115" i="8"/>
  <c r="AN108" i="8"/>
  <c r="AN34" i="8"/>
  <c r="AN74" i="8"/>
  <c r="AN142" i="8"/>
  <c r="AN73" i="8"/>
  <c r="AN3" i="8"/>
  <c r="AN107" i="8"/>
  <c r="AN29" i="8"/>
  <c r="AN67" i="8"/>
  <c r="AN129" i="8"/>
  <c r="AN51" i="8"/>
  <c r="AN88" i="8"/>
  <c r="AN134" i="8"/>
  <c r="AN132" i="8"/>
  <c r="AN105" i="8"/>
  <c r="AN15" i="8"/>
  <c r="AN133" i="8"/>
  <c r="AN127" i="8"/>
  <c r="AN130" i="8"/>
  <c r="AN116" i="8"/>
  <c r="AN110" i="8"/>
  <c r="AN97" i="8"/>
  <c r="AN94" i="8"/>
  <c r="AN90" i="8"/>
  <c r="AN85" i="8"/>
  <c r="AN35" i="8"/>
  <c r="AN65" i="8"/>
  <c r="AN60" i="8"/>
  <c r="AN54" i="8"/>
  <c r="AN48" i="8"/>
  <c r="AN126" i="8"/>
  <c r="AN31" i="8"/>
  <c r="AN26" i="8"/>
  <c r="AN16" i="8"/>
  <c r="AN11" i="8"/>
  <c r="AN27" i="8"/>
  <c r="AN8" i="8"/>
  <c r="AN12" i="8"/>
  <c r="AN6" i="8"/>
  <c r="AN28" i="8"/>
  <c r="AN23" i="8"/>
  <c r="AN13" i="8"/>
  <c r="AN7" i="8"/>
  <c r="F3" i="8"/>
  <c r="T3" i="1" l="1"/>
  <c r="E144" i="9"/>
  <c r="G144" i="9" s="1"/>
  <c r="F144" i="9"/>
  <c r="H144" i="9" s="1"/>
  <c r="J144" i="9"/>
  <c r="E145" i="9"/>
  <c r="G145" i="9" s="1"/>
  <c r="F145" i="9"/>
  <c r="H145" i="9" s="1"/>
  <c r="J145" i="9"/>
  <c r="F3" i="9"/>
  <c r="H3" i="9" s="1"/>
  <c r="F4" i="9"/>
  <c r="H4" i="9" s="1"/>
  <c r="F5" i="9"/>
  <c r="H5" i="9" s="1"/>
  <c r="F6" i="9"/>
  <c r="H6" i="9" s="1"/>
  <c r="F7" i="9"/>
  <c r="H7" i="9" s="1"/>
  <c r="F9" i="9"/>
  <c r="H9" i="9" s="1"/>
  <c r="F10" i="9"/>
  <c r="H10" i="9" s="1"/>
  <c r="F11" i="9"/>
  <c r="H11" i="9" s="1"/>
  <c r="F14" i="9"/>
  <c r="H14" i="9" s="1"/>
  <c r="F12" i="9"/>
  <c r="H12" i="9" s="1"/>
  <c r="F13" i="9"/>
  <c r="H13" i="9" s="1"/>
  <c r="F15" i="9"/>
  <c r="H15" i="9" s="1"/>
  <c r="F16" i="9"/>
  <c r="H16" i="9" s="1"/>
  <c r="F17" i="9"/>
  <c r="H17" i="9" s="1"/>
  <c r="F19" i="9"/>
  <c r="H19" i="9" s="1"/>
  <c r="F18" i="9"/>
  <c r="H18" i="9" s="1"/>
  <c r="F20" i="9"/>
  <c r="H20" i="9" s="1"/>
  <c r="F21" i="9"/>
  <c r="H21" i="9" s="1"/>
  <c r="F22" i="9"/>
  <c r="H22" i="9" s="1"/>
  <c r="F23" i="9"/>
  <c r="H23" i="9" s="1"/>
  <c r="F24" i="9"/>
  <c r="H24" i="9" s="1"/>
  <c r="F25" i="9"/>
  <c r="H25" i="9" s="1"/>
  <c r="F26" i="9"/>
  <c r="H26" i="9" s="1"/>
  <c r="F27" i="9"/>
  <c r="H27" i="9" s="1"/>
  <c r="F28" i="9"/>
  <c r="H28" i="9" s="1"/>
  <c r="F29" i="9"/>
  <c r="H29" i="9" s="1"/>
  <c r="F30" i="9"/>
  <c r="H30" i="9" s="1"/>
  <c r="F31" i="9"/>
  <c r="H31" i="9" s="1"/>
  <c r="F32" i="9"/>
  <c r="H32" i="9" s="1"/>
  <c r="F33" i="9"/>
  <c r="H33" i="9" s="1"/>
  <c r="F34" i="9"/>
  <c r="H34" i="9" s="1"/>
  <c r="F35" i="9"/>
  <c r="H35" i="9" s="1"/>
  <c r="F36" i="9"/>
  <c r="H36" i="9" s="1"/>
  <c r="F37" i="9"/>
  <c r="H37" i="9" s="1"/>
  <c r="F38" i="9"/>
  <c r="H38" i="9" s="1"/>
  <c r="F39" i="9"/>
  <c r="H39" i="9" s="1"/>
  <c r="F40" i="9"/>
  <c r="H40" i="9" s="1"/>
  <c r="F41" i="9"/>
  <c r="H41" i="9" s="1"/>
  <c r="F42" i="9"/>
  <c r="H42" i="9" s="1"/>
  <c r="F43" i="9"/>
  <c r="H43" i="9" s="1"/>
  <c r="F44" i="9"/>
  <c r="H44" i="9" s="1"/>
  <c r="F45" i="9"/>
  <c r="H45" i="9" s="1"/>
  <c r="F46" i="9"/>
  <c r="H46" i="9" s="1"/>
  <c r="F47" i="9"/>
  <c r="H47" i="9" s="1"/>
  <c r="F48" i="9"/>
  <c r="H48" i="9" s="1"/>
  <c r="F49" i="9"/>
  <c r="H49" i="9" s="1"/>
  <c r="F51" i="9"/>
  <c r="H51" i="9" s="1"/>
  <c r="F50" i="9"/>
  <c r="H50" i="9" s="1"/>
  <c r="F52" i="9"/>
  <c r="H52" i="9" s="1"/>
  <c r="F53" i="9"/>
  <c r="H53" i="9" s="1"/>
  <c r="F54" i="9"/>
  <c r="H54" i="9" s="1"/>
  <c r="F55" i="9"/>
  <c r="H55" i="9" s="1"/>
  <c r="F56" i="9"/>
  <c r="H56" i="9" s="1"/>
  <c r="F57" i="9"/>
  <c r="H57" i="9" s="1"/>
  <c r="F58" i="9"/>
  <c r="H58" i="9" s="1"/>
  <c r="F59" i="9"/>
  <c r="H59" i="9" s="1"/>
  <c r="F60" i="9"/>
  <c r="H60" i="9" s="1"/>
  <c r="F61" i="9"/>
  <c r="H61" i="9" s="1"/>
  <c r="F68" i="9"/>
  <c r="H68" i="9" s="1"/>
  <c r="F62" i="9"/>
  <c r="H62" i="9" s="1"/>
  <c r="F63" i="9"/>
  <c r="H63" i="9" s="1"/>
  <c r="F64" i="9"/>
  <c r="H64" i="9" s="1"/>
  <c r="F65" i="9"/>
  <c r="H65" i="9" s="1"/>
  <c r="F66" i="9"/>
  <c r="H66" i="9" s="1"/>
  <c r="F67" i="9"/>
  <c r="H67" i="9" s="1"/>
  <c r="F69" i="9"/>
  <c r="H69" i="9" s="1"/>
  <c r="F70" i="9"/>
  <c r="H70" i="9" s="1"/>
  <c r="F71" i="9"/>
  <c r="H71" i="9" s="1"/>
  <c r="F72" i="9"/>
  <c r="H72" i="9" s="1"/>
  <c r="F73" i="9"/>
  <c r="H73" i="9" s="1"/>
  <c r="F74" i="9"/>
  <c r="H74" i="9" s="1"/>
  <c r="F75" i="9"/>
  <c r="H75" i="9" s="1"/>
  <c r="F76" i="9"/>
  <c r="H76" i="9" s="1"/>
  <c r="F77" i="9"/>
  <c r="H77" i="9" s="1"/>
  <c r="F78" i="9"/>
  <c r="H78" i="9" s="1"/>
  <c r="F82" i="9"/>
  <c r="H82" i="9" s="1"/>
  <c r="F83" i="9"/>
  <c r="H83" i="9" s="1"/>
  <c r="F85" i="9"/>
  <c r="H85" i="9" s="1"/>
  <c r="F79" i="9"/>
  <c r="H79" i="9" s="1"/>
  <c r="F80" i="9"/>
  <c r="H80" i="9" s="1"/>
  <c r="F81" i="9"/>
  <c r="H81" i="9" s="1"/>
  <c r="F84" i="9"/>
  <c r="H84" i="9" s="1"/>
  <c r="F86" i="9"/>
  <c r="H86" i="9" s="1"/>
  <c r="F87" i="9"/>
  <c r="H87" i="9" s="1"/>
  <c r="F88" i="9"/>
  <c r="H88" i="9" s="1"/>
  <c r="F89" i="9"/>
  <c r="H89" i="9" s="1"/>
  <c r="F90" i="9"/>
  <c r="H90" i="9" s="1"/>
  <c r="F91" i="9"/>
  <c r="H91" i="9" s="1"/>
  <c r="F92" i="9"/>
  <c r="H92" i="9" s="1"/>
  <c r="F93" i="9"/>
  <c r="H93" i="9" s="1"/>
  <c r="F94" i="9"/>
  <c r="H94" i="9" s="1"/>
  <c r="F95" i="9"/>
  <c r="H95" i="9" s="1"/>
  <c r="F96" i="9"/>
  <c r="H96" i="9" s="1"/>
  <c r="F97" i="9"/>
  <c r="H97" i="9" s="1"/>
  <c r="F98" i="9"/>
  <c r="H98" i="9" s="1"/>
  <c r="F99" i="9"/>
  <c r="H99" i="9" s="1"/>
  <c r="F100" i="9"/>
  <c r="H100" i="9" s="1"/>
  <c r="F101" i="9"/>
  <c r="H101" i="9" s="1"/>
  <c r="F102" i="9"/>
  <c r="H102" i="9" s="1"/>
  <c r="F105" i="9"/>
  <c r="H105" i="9" s="1"/>
  <c r="F109" i="9"/>
  <c r="H109" i="9" s="1"/>
  <c r="F103" i="9"/>
  <c r="H103" i="9" s="1"/>
  <c r="F104" i="9"/>
  <c r="H104" i="9" s="1"/>
  <c r="F106" i="9"/>
  <c r="H106" i="9" s="1"/>
  <c r="F107" i="9"/>
  <c r="H107" i="9" s="1"/>
  <c r="F108" i="9"/>
  <c r="H108" i="9" s="1"/>
  <c r="F110" i="9"/>
  <c r="H110" i="9" s="1"/>
  <c r="F111" i="9"/>
  <c r="H111" i="9" s="1"/>
  <c r="F112" i="9"/>
  <c r="H112" i="9" s="1"/>
  <c r="F113" i="9"/>
  <c r="H113" i="9" s="1"/>
  <c r="F114" i="9"/>
  <c r="H114" i="9" s="1"/>
  <c r="F115" i="9"/>
  <c r="H115" i="9" s="1"/>
  <c r="F116" i="9"/>
  <c r="H116" i="9" s="1"/>
  <c r="F117" i="9"/>
  <c r="H117" i="9" s="1"/>
  <c r="F118" i="9"/>
  <c r="H118" i="9" s="1"/>
  <c r="F119" i="9"/>
  <c r="H119" i="9" s="1"/>
  <c r="F120" i="9"/>
  <c r="H120" i="9" s="1"/>
  <c r="F121" i="9"/>
  <c r="H121" i="9" s="1"/>
  <c r="F122" i="9"/>
  <c r="H122" i="9" s="1"/>
  <c r="F123" i="9"/>
  <c r="H123" i="9" s="1"/>
  <c r="F124" i="9"/>
  <c r="H124" i="9" s="1"/>
  <c r="F125" i="9"/>
  <c r="H125" i="9" s="1"/>
  <c r="F126" i="9"/>
  <c r="H126" i="9" s="1"/>
  <c r="F127" i="9"/>
  <c r="H127" i="9" s="1"/>
  <c r="F128" i="9"/>
  <c r="H128" i="9" s="1"/>
  <c r="F129" i="9"/>
  <c r="H129" i="9" s="1"/>
  <c r="F130" i="9"/>
  <c r="H130" i="9" s="1"/>
  <c r="F131" i="9"/>
  <c r="H131" i="9" s="1"/>
  <c r="F132" i="9"/>
  <c r="H132" i="9" s="1"/>
  <c r="F133" i="9"/>
  <c r="H133" i="9" s="1"/>
  <c r="F140" i="9"/>
  <c r="H140" i="9" s="1"/>
  <c r="F134" i="9"/>
  <c r="H134" i="9" s="1"/>
  <c r="F135" i="9"/>
  <c r="H135" i="9" s="1"/>
  <c r="F136" i="9"/>
  <c r="H136" i="9" s="1"/>
  <c r="F138" i="9"/>
  <c r="H138" i="9" s="1"/>
  <c r="F137" i="9"/>
  <c r="H137" i="9" s="1"/>
  <c r="F139" i="9"/>
  <c r="H139" i="9" s="1"/>
  <c r="F141" i="9"/>
  <c r="H141" i="9" s="1"/>
  <c r="F142" i="9"/>
  <c r="H142" i="9" s="1"/>
  <c r="F143" i="9"/>
  <c r="H143" i="9" s="1"/>
  <c r="F146" i="9"/>
  <c r="H146" i="9" s="1"/>
  <c r="F8" i="9"/>
  <c r="H8" i="9" s="1"/>
  <c r="E3" i="9"/>
  <c r="G3" i="9" s="1"/>
  <c r="E4" i="9"/>
  <c r="G4" i="9" s="1"/>
  <c r="E5" i="9"/>
  <c r="G5" i="9" s="1"/>
  <c r="E6" i="9"/>
  <c r="G6" i="9" s="1"/>
  <c r="E7" i="9"/>
  <c r="G7" i="9" s="1"/>
  <c r="E9" i="9"/>
  <c r="G9" i="9" s="1"/>
  <c r="E10" i="9"/>
  <c r="G10" i="9" s="1"/>
  <c r="E11" i="9"/>
  <c r="G11" i="9" s="1"/>
  <c r="E14" i="9"/>
  <c r="G14" i="9" s="1"/>
  <c r="E12" i="9"/>
  <c r="G12" i="9" s="1"/>
  <c r="E13" i="9"/>
  <c r="G13" i="9" s="1"/>
  <c r="E15" i="9"/>
  <c r="G15" i="9" s="1"/>
  <c r="E16" i="9"/>
  <c r="G16" i="9" s="1"/>
  <c r="E17" i="9"/>
  <c r="G17" i="9" s="1"/>
  <c r="E19" i="9"/>
  <c r="G19" i="9" s="1"/>
  <c r="E18" i="9"/>
  <c r="G18" i="9" s="1"/>
  <c r="E20" i="9"/>
  <c r="G20" i="9" s="1"/>
  <c r="E21" i="9"/>
  <c r="G21" i="9" s="1"/>
  <c r="E22" i="9"/>
  <c r="G22" i="9" s="1"/>
  <c r="E23" i="9"/>
  <c r="G23" i="9" s="1"/>
  <c r="E24" i="9"/>
  <c r="G24" i="9" s="1"/>
  <c r="E25" i="9"/>
  <c r="G25" i="9" s="1"/>
  <c r="E26" i="9"/>
  <c r="G26" i="9" s="1"/>
  <c r="E27" i="9"/>
  <c r="G27" i="9" s="1"/>
  <c r="E28" i="9"/>
  <c r="G28" i="9" s="1"/>
  <c r="E29" i="9"/>
  <c r="G29" i="9" s="1"/>
  <c r="E30" i="9"/>
  <c r="G30" i="9" s="1"/>
  <c r="E31" i="9"/>
  <c r="G31" i="9" s="1"/>
  <c r="E32" i="9"/>
  <c r="G32" i="9" s="1"/>
  <c r="E33" i="9"/>
  <c r="G33" i="9" s="1"/>
  <c r="E34" i="9"/>
  <c r="G34" i="9" s="1"/>
  <c r="E35" i="9"/>
  <c r="G35" i="9" s="1"/>
  <c r="E36" i="9"/>
  <c r="G36" i="9" s="1"/>
  <c r="E37" i="9"/>
  <c r="G37" i="9" s="1"/>
  <c r="E38" i="9"/>
  <c r="G38" i="9" s="1"/>
  <c r="E39" i="9"/>
  <c r="G39" i="9" s="1"/>
  <c r="E40" i="9"/>
  <c r="G40" i="9" s="1"/>
  <c r="E41" i="9"/>
  <c r="G41" i="9" s="1"/>
  <c r="E42" i="9"/>
  <c r="G42" i="9" s="1"/>
  <c r="E43" i="9"/>
  <c r="G43" i="9" s="1"/>
  <c r="E44" i="9"/>
  <c r="G44" i="9" s="1"/>
  <c r="E45" i="9"/>
  <c r="G45" i="9" s="1"/>
  <c r="E46" i="9"/>
  <c r="G46" i="9" s="1"/>
  <c r="E47" i="9"/>
  <c r="G47" i="9" s="1"/>
  <c r="E48" i="9"/>
  <c r="G48" i="9" s="1"/>
  <c r="E49" i="9"/>
  <c r="G49" i="9" s="1"/>
  <c r="E51" i="9"/>
  <c r="G51" i="9" s="1"/>
  <c r="E50" i="9"/>
  <c r="G50" i="9" s="1"/>
  <c r="E52" i="9"/>
  <c r="G52" i="9" s="1"/>
  <c r="E53" i="9"/>
  <c r="G53" i="9" s="1"/>
  <c r="E54" i="9"/>
  <c r="G54" i="9" s="1"/>
  <c r="E55" i="9"/>
  <c r="G55" i="9" s="1"/>
  <c r="E56" i="9"/>
  <c r="G56" i="9" s="1"/>
  <c r="E57" i="9"/>
  <c r="G57" i="9" s="1"/>
  <c r="E58" i="9"/>
  <c r="G58" i="9" s="1"/>
  <c r="E59" i="9"/>
  <c r="G59" i="9" s="1"/>
  <c r="E60" i="9"/>
  <c r="G60" i="9" s="1"/>
  <c r="E61" i="9"/>
  <c r="G61" i="9" s="1"/>
  <c r="E68" i="9"/>
  <c r="G68" i="9" s="1"/>
  <c r="E62" i="9"/>
  <c r="G62" i="9" s="1"/>
  <c r="E63" i="9"/>
  <c r="G63" i="9" s="1"/>
  <c r="E64" i="9"/>
  <c r="G64" i="9" s="1"/>
  <c r="E65" i="9"/>
  <c r="G65" i="9" s="1"/>
  <c r="E66" i="9"/>
  <c r="G66" i="9" s="1"/>
  <c r="E67" i="9"/>
  <c r="G67" i="9" s="1"/>
  <c r="E69" i="9"/>
  <c r="G69" i="9" s="1"/>
  <c r="E70" i="9"/>
  <c r="G70" i="9" s="1"/>
  <c r="E71" i="9"/>
  <c r="G71" i="9" s="1"/>
  <c r="E72" i="9"/>
  <c r="G72" i="9" s="1"/>
  <c r="E73" i="9"/>
  <c r="G73" i="9" s="1"/>
  <c r="E74" i="9"/>
  <c r="G74" i="9" s="1"/>
  <c r="E75" i="9"/>
  <c r="G75" i="9" s="1"/>
  <c r="E76" i="9"/>
  <c r="G76" i="9" s="1"/>
  <c r="E77" i="9"/>
  <c r="G77" i="9" s="1"/>
  <c r="E78" i="9"/>
  <c r="G78" i="9" s="1"/>
  <c r="E82" i="9"/>
  <c r="G82" i="9" s="1"/>
  <c r="E83" i="9"/>
  <c r="G83" i="9" s="1"/>
  <c r="E85" i="9"/>
  <c r="G85" i="9" s="1"/>
  <c r="E79" i="9"/>
  <c r="G79" i="9" s="1"/>
  <c r="E80" i="9"/>
  <c r="G80" i="9" s="1"/>
  <c r="E81" i="9"/>
  <c r="G81" i="9" s="1"/>
  <c r="E84" i="9"/>
  <c r="G84" i="9" s="1"/>
  <c r="E86" i="9"/>
  <c r="G86" i="9" s="1"/>
  <c r="E87" i="9"/>
  <c r="G87" i="9" s="1"/>
  <c r="E88" i="9"/>
  <c r="G88" i="9" s="1"/>
  <c r="E89" i="9"/>
  <c r="G89" i="9" s="1"/>
  <c r="E90" i="9"/>
  <c r="G90" i="9" s="1"/>
  <c r="E91" i="9"/>
  <c r="G91" i="9" s="1"/>
  <c r="E92" i="9"/>
  <c r="G92" i="9" s="1"/>
  <c r="E93" i="9"/>
  <c r="G93" i="9" s="1"/>
  <c r="E94" i="9"/>
  <c r="G94" i="9" s="1"/>
  <c r="E95" i="9"/>
  <c r="G95" i="9" s="1"/>
  <c r="E96" i="9"/>
  <c r="G96" i="9" s="1"/>
  <c r="E97" i="9"/>
  <c r="G97" i="9" s="1"/>
  <c r="E98" i="9"/>
  <c r="G98" i="9" s="1"/>
  <c r="E99" i="9"/>
  <c r="G99" i="9" s="1"/>
  <c r="E100" i="9"/>
  <c r="G100" i="9" s="1"/>
  <c r="E101" i="9"/>
  <c r="G101" i="9" s="1"/>
  <c r="E102" i="9"/>
  <c r="G102" i="9" s="1"/>
  <c r="E105" i="9"/>
  <c r="G105" i="9" s="1"/>
  <c r="E109" i="9"/>
  <c r="G109" i="9" s="1"/>
  <c r="E103" i="9"/>
  <c r="G103" i="9" s="1"/>
  <c r="E104" i="9"/>
  <c r="G104" i="9" s="1"/>
  <c r="E106" i="9"/>
  <c r="G106" i="9" s="1"/>
  <c r="E107" i="9"/>
  <c r="G107" i="9" s="1"/>
  <c r="E108" i="9"/>
  <c r="G108" i="9" s="1"/>
  <c r="E110" i="9"/>
  <c r="G110" i="9" s="1"/>
  <c r="E111" i="9"/>
  <c r="G111" i="9" s="1"/>
  <c r="E112" i="9"/>
  <c r="G112" i="9" s="1"/>
  <c r="E113" i="9"/>
  <c r="G113" i="9" s="1"/>
  <c r="E114" i="9"/>
  <c r="G114" i="9" s="1"/>
  <c r="E115" i="9"/>
  <c r="G115" i="9" s="1"/>
  <c r="E116" i="9"/>
  <c r="G116" i="9" s="1"/>
  <c r="E117" i="9"/>
  <c r="G117" i="9" s="1"/>
  <c r="E118" i="9"/>
  <c r="G118" i="9" s="1"/>
  <c r="E119" i="9"/>
  <c r="G119" i="9" s="1"/>
  <c r="E120" i="9"/>
  <c r="G120" i="9" s="1"/>
  <c r="E121" i="9"/>
  <c r="G121" i="9" s="1"/>
  <c r="E122" i="9"/>
  <c r="G122" i="9" s="1"/>
  <c r="E123" i="9"/>
  <c r="G123" i="9" s="1"/>
  <c r="E124" i="9"/>
  <c r="G124" i="9" s="1"/>
  <c r="E125" i="9"/>
  <c r="G125" i="9" s="1"/>
  <c r="E126" i="9"/>
  <c r="G126" i="9" s="1"/>
  <c r="E127" i="9"/>
  <c r="G127" i="9" s="1"/>
  <c r="E128" i="9"/>
  <c r="G128" i="9" s="1"/>
  <c r="E129" i="9"/>
  <c r="G129" i="9" s="1"/>
  <c r="E130" i="9"/>
  <c r="G130" i="9" s="1"/>
  <c r="E131" i="9"/>
  <c r="G131" i="9" s="1"/>
  <c r="E132" i="9"/>
  <c r="G132" i="9" s="1"/>
  <c r="E133" i="9"/>
  <c r="G133" i="9" s="1"/>
  <c r="E140" i="9"/>
  <c r="G140" i="9" s="1"/>
  <c r="E134" i="9"/>
  <c r="G134" i="9" s="1"/>
  <c r="E135" i="9"/>
  <c r="G135" i="9" s="1"/>
  <c r="E136" i="9"/>
  <c r="G136" i="9" s="1"/>
  <c r="E138" i="9"/>
  <c r="G138" i="9" s="1"/>
  <c r="E137" i="9"/>
  <c r="G137" i="9" s="1"/>
  <c r="E139" i="9"/>
  <c r="G139" i="9" s="1"/>
  <c r="E141" i="9"/>
  <c r="G141" i="9" s="1"/>
  <c r="E142" i="9"/>
  <c r="G142" i="9" s="1"/>
  <c r="E143" i="9"/>
  <c r="G143" i="9" s="1"/>
  <c r="E146" i="9"/>
  <c r="G146" i="9" s="1"/>
  <c r="E8" i="9"/>
  <c r="G8" i="9" s="1"/>
  <c r="C23" i="2"/>
  <c r="E147" i="9" l="1"/>
  <c r="F147" i="9"/>
  <c r="N18" i="1"/>
  <c r="N34" i="1"/>
  <c r="N50" i="1"/>
  <c r="N66" i="1"/>
  <c r="N82" i="1"/>
  <c r="N98" i="1"/>
  <c r="N114" i="1"/>
  <c r="N130" i="1"/>
  <c r="N146" i="1"/>
  <c r="N118" i="1"/>
  <c r="N87" i="1"/>
  <c r="N104" i="1"/>
  <c r="N60" i="1"/>
  <c r="N61" i="1"/>
  <c r="N126" i="1"/>
  <c r="N19" i="1"/>
  <c r="N35" i="1"/>
  <c r="N51" i="1"/>
  <c r="N67" i="1"/>
  <c r="N83" i="1"/>
  <c r="N99" i="1"/>
  <c r="N115" i="1"/>
  <c r="N131" i="1"/>
  <c r="N3" i="1"/>
  <c r="N103" i="1"/>
  <c r="N44" i="1"/>
  <c r="N29" i="1"/>
  <c r="N46" i="1"/>
  <c r="N17" i="1"/>
  <c r="N4" i="1"/>
  <c r="N20" i="1"/>
  <c r="N36" i="1"/>
  <c r="N52" i="1"/>
  <c r="N68" i="1"/>
  <c r="N84" i="1"/>
  <c r="N100" i="1"/>
  <c r="N116" i="1"/>
  <c r="N132" i="1"/>
  <c r="N102" i="1"/>
  <c r="N71" i="1"/>
  <c r="N135" i="1"/>
  <c r="N136" i="1"/>
  <c r="N92" i="1"/>
  <c r="N93" i="1"/>
  <c r="N110" i="1"/>
  <c r="N81" i="1"/>
  <c r="N5" i="1"/>
  <c r="N21" i="1"/>
  <c r="N37" i="1"/>
  <c r="N53" i="1"/>
  <c r="N69" i="1"/>
  <c r="N85" i="1"/>
  <c r="N101" i="1"/>
  <c r="N117" i="1"/>
  <c r="N133" i="1"/>
  <c r="N134" i="1"/>
  <c r="N119" i="1"/>
  <c r="N14" i="1"/>
  <c r="N49" i="1"/>
  <c r="N6" i="1"/>
  <c r="N22" i="1"/>
  <c r="N38" i="1"/>
  <c r="N54" i="1"/>
  <c r="N70" i="1"/>
  <c r="N86" i="1"/>
  <c r="N124" i="1"/>
  <c r="N125" i="1"/>
  <c r="N7" i="1"/>
  <c r="N23" i="1"/>
  <c r="N39" i="1"/>
  <c r="N55" i="1"/>
  <c r="N140" i="1"/>
  <c r="N45" i="1"/>
  <c r="N94" i="1"/>
  <c r="N97" i="1"/>
  <c r="N8" i="1"/>
  <c r="N24" i="1"/>
  <c r="N40" i="1"/>
  <c r="N56" i="1"/>
  <c r="N72" i="1"/>
  <c r="N88" i="1"/>
  <c r="N120" i="1"/>
  <c r="N77" i="1"/>
  <c r="N30" i="1"/>
  <c r="N142" i="1"/>
  <c r="N33" i="1"/>
  <c r="N9" i="1"/>
  <c r="N25" i="1"/>
  <c r="N41" i="1"/>
  <c r="N57" i="1"/>
  <c r="N73" i="1"/>
  <c r="N89" i="1"/>
  <c r="N105" i="1"/>
  <c r="N121" i="1"/>
  <c r="N137" i="1"/>
  <c r="N141" i="1"/>
  <c r="N78" i="1"/>
  <c r="N10" i="1"/>
  <c r="N26" i="1"/>
  <c r="N42" i="1"/>
  <c r="N58" i="1"/>
  <c r="N74" i="1"/>
  <c r="N90" i="1"/>
  <c r="N106" i="1"/>
  <c r="N122" i="1"/>
  <c r="N138" i="1"/>
  <c r="N108" i="1"/>
  <c r="N13" i="1"/>
  <c r="N109" i="1"/>
  <c r="N62" i="1"/>
  <c r="N65" i="1"/>
  <c r="N11" i="1"/>
  <c r="N27" i="1"/>
  <c r="N43" i="1"/>
  <c r="N59" i="1"/>
  <c r="N75" i="1"/>
  <c r="N91" i="1"/>
  <c r="N107" i="1"/>
  <c r="N123" i="1"/>
  <c r="N139" i="1"/>
  <c r="N12" i="1"/>
  <c r="N28" i="1"/>
  <c r="N76" i="1"/>
  <c r="N113" i="1"/>
  <c r="N15" i="1"/>
  <c r="N31" i="1"/>
  <c r="N47" i="1"/>
  <c r="N63" i="1"/>
  <c r="N79" i="1"/>
  <c r="N95" i="1"/>
  <c r="N111" i="1"/>
  <c r="N127" i="1"/>
  <c r="N143" i="1"/>
  <c r="N129" i="1"/>
  <c r="N16" i="1"/>
  <c r="N32" i="1"/>
  <c r="N48" i="1"/>
  <c r="N64" i="1"/>
  <c r="N80" i="1"/>
  <c r="N96" i="1"/>
  <c r="N112" i="1"/>
  <c r="N128" i="1"/>
  <c r="N144" i="1"/>
  <c r="N145" i="1"/>
  <c r="N147" i="1" l="1"/>
  <c r="AE6" i="8" l="1"/>
  <c r="AE7" i="8"/>
  <c r="AE9" i="8"/>
  <c r="AE11" i="8"/>
  <c r="AE12" i="8"/>
  <c r="AE13" i="8"/>
  <c r="AE32" i="8"/>
  <c r="AE16" i="8"/>
  <c r="AE8" i="8"/>
  <c r="AE23" i="8"/>
  <c r="AE25" i="8"/>
  <c r="AE26" i="8"/>
  <c r="AE27" i="8"/>
  <c r="AE28" i="8"/>
  <c r="AE30" i="8"/>
  <c r="AE31" i="8"/>
  <c r="AE33" i="8"/>
  <c r="AE118" i="8"/>
  <c r="AE37" i="8"/>
  <c r="AE126" i="8"/>
  <c r="AE40" i="8"/>
  <c r="AE43" i="8"/>
  <c r="AE44" i="8"/>
  <c r="AE48" i="8"/>
  <c r="AE50" i="8"/>
  <c r="AE52" i="8"/>
  <c r="AE53" i="8"/>
  <c r="AE54" i="8"/>
  <c r="AE56" i="8"/>
  <c r="AE57" i="8"/>
  <c r="AE58" i="8"/>
  <c r="AE60" i="8"/>
  <c r="AE61" i="8"/>
  <c r="AE62" i="8"/>
  <c r="AE64" i="8"/>
  <c r="AE65" i="8"/>
  <c r="AE69" i="8"/>
  <c r="AE70" i="8"/>
  <c r="AE71" i="8"/>
  <c r="AE35" i="8"/>
  <c r="AE75" i="8"/>
  <c r="AE82" i="8"/>
  <c r="AE143" i="8"/>
  <c r="AE85" i="8"/>
  <c r="AE79" i="8"/>
  <c r="AE89" i="8"/>
  <c r="AE24" i="8"/>
  <c r="AE90" i="8"/>
  <c r="AE91" i="8"/>
  <c r="AE92" i="8"/>
  <c r="AE93" i="8"/>
  <c r="AE94" i="8"/>
  <c r="AE95" i="8"/>
  <c r="AE96" i="8"/>
  <c r="AE59" i="8"/>
  <c r="AE97" i="8"/>
  <c r="AE99" i="8"/>
  <c r="AE87" i="8"/>
  <c r="AE100" i="8"/>
  <c r="AE101" i="8"/>
  <c r="AE102" i="8"/>
  <c r="AE103" i="8"/>
  <c r="AE47" i="8"/>
  <c r="AE104" i="8"/>
  <c r="AE106" i="8"/>
  <c r="AE108" i="8"/>
  <c r="AE110" i="8"/>
  <c r="AE111" i="8"/>
  <c r="AE114" i="8"/>
  <c r="AE115" i="8"/>
  <c r="AE116" i="8"/>
  <c r="AE109" i="8"/>
  <c r="AE121" i="8"/>
  <c r="AE122" i="8"/>
  <c r="AE130" i="8"/>
  <c r="AE123" i="8"/>
  <c r="AE124" i="8"/>
  <c r="AE125" i="8"/>
  <c r="AE127" i="8"/>
  <c r="AE128" i="8"/>
  <c r="AE131" i="8"/>
  <c r="AE41" i="8"/>
  <c r="AE133" i="8"/>
  <c r="AE135" i="8"/>
  <c r="AE136" i="8"/>
  <c r="AE138" i="8"/>
  <c r="AE15" i="8"/>
  <c r="AE144" i="8"/>
  <c r="AE145" i="8"/>
  <c r="AE146" i="8"/>
  <c r="AE105" i="8"/>
  <c r="AE17" i="8"/>
  <c r="AE119" i="8"/>
  <c r="AE39" i="8"/>
  <c r="AE132" i="8"/>
  <c r="AE55" i="8"/>
  <c r="AE49" i="8"/>
  <c r="AE36" i="8"/>
  <c r="AE134" i="8"/>
  <c r="AE139" i="8"/>
  <c r="AE81" i="8"/>
  <c r="AE45" i="8"/>
  <c r="AE88" i="8"/>
  <c r="AE63" i="8"/>
  <c r="AE86" i="8"/>
  <c r="AE10" i="8"/>
  <c r="AE51" i="8"/>
  <c r="AE19" i="8"/>
  <c r="AE76" i="8"/>
  <c r="AE137" i="8"/>
  <c r="AE129" i="8"/>
  <c r="AE21" i="8"/>
  <c r="AE42" i="8"/>
  <c r="AE66" i="8"/>
  <c r="AE67" i="8"/>
  <c r="AE140" i="8"/>
  <c r="AE14" i="8"/>
  <c r="AE20" i="8"/>
  <c r="AE29" i="8"/>
  <c r="AE72" i="8"/>
  <c r="AE78" i="8"/>
  <c r="AE117" i="8"/>
  <c r="AE107" i="8"/>
  <c r="AE84" i="8"/>
  <c r="AE22" i="8"/>
  <c r="AE18" i="8"/>
  <c r="AE3" i="8"/>
  <c r="AE141" i="8"/>
  <c r="AE77" i="8"/>
  <c r="AE120" i="8"/>
  <c r="AE73" i="8"/>
  <c r="AE112" i="8"/>
  <c r="AE38" i="8"/>
  <c r="AE113" i="8"/>
  <c r="AE142" i="8"/>
  <c r="AE98" i="8"/>
  <c r="AE83" i="8"/>
  <c r="AE80" i="8"/>
  <c r="AE74" i="8"/>
  <c r="AE4" i="8"/>
  <c r="AE46" i="8"/>
  <c r="AE68" i="8"/>
  <c r="AE34" i="8"/>
  <c r="AE5" i="8"/>
  <c r="AJ6" i="8"/>
  <c r="AJ7" i="8"/>
  <c r="AJ9" i="8"/>
  <c r="AJ11" i="8"/>
  <c r="AJ12" i="8"/>
  <c r="AJ13" i="8"/>
  <c r="AJ32" i="8"/>
  <c r="AJ16" i="8"/>
  <c r="AJ8" i="8"/>
  <c r="AJ23" i="8"/>
  <c r="AJ25" i="8"/>
  <c r="AJ26" i="8"/>
  <c r="AJ27" i="8"/>
  <c r="AJ28" i="8"/>
  <c r="AJ30" i="8"/>
  <c r="AJ31" i="8"/>
  <c r="AJ33" i="8"/>
  <c r="AJ118" i="8"/>
  <c r="AJ37" i="8"/>
  <c r="AJ126" i="8"/>
  <c r="AJ40" i="8"/>
  <c r="AJ43" i="8"/>
  <c r="AJ44" i="8"/>
  <c r="AJ48" i="8"/>
  <c r="AJ50" i="8"/>
  <c r="AJ52" i="8"/>
  <c r="AJ53" i="8"/>
  <c r="AJ54" i="8"/>
  <c r="AJ56" i="8"/>
  <c r="AJ57" i="8"/>
  <c r="AJ58" i="8"/>
  <c r="AJ60" i="8"/>
  <c r="AJ61" i="8"/>
  <c r="AJ62" i="8"/>
  <c r="AJ64" i="8"/>
  <c r="AJ65" i="8"/>
  <c r="AJ69" i="8"/>
  <c r="AJ70" i="8"/>
  <c r="AJ71" i="8"/>
  <c r="AJ35" i="8"/>
  <c r="AJ75" i="8"/>
  <c r="AJ82" i="8"/>
  <c r="AJ143" i="8"/>
  <c r="AJ85" i="8"/>
  <c r="AJ79" i="8"/>
  <c r="AJ89" i="8"/>
  <c r="AJ24" i="8"/>
  <c r="AJ90" i="8"/>
  <c r="AJ91" i="8"/>
  <c r="AJ92" i="8"/>
  <c r="AJ93" i="8"/>
  <c r="AJ94" i="8"/>
  <c r="AJ95" i="8"/>
  <c r="AJ96" i="8"/>
  <c r="AJ59" i="8"/>
  <c r="AJ97" i="8"/>
  <c r="AJ99" i="8"/>
  <c r="AJ87" i="8"/>
  <c r="AJ100" i="8"/>
  <c r="AJ101" i="8"/>
  <c r="AJ102" i="8"/>
  <c r="AJ103" i="8"/>
  <c r="AJ47" i="8"/>
  <c r="AJ104" i="8"/>
  <c r="AJ106" i="8"/>
  <c r="AJ108" i="8"/>
  <c r="AJ110" i="8"/>
  <c r="AJ111" i="8"/>
  <c r="AJ114" i="8"/>
  <c r="AJ115" i="8"/>
  <c r="AJ116" i="8"/>
  <c r="AJ109" i="8"/>
  <c r="AJ121" i="8"/>
  <c r="AJ122" i="8"/>
  <c r="AJ130" i="8"/>
  <c r="AJ123" i="8"/>
  <c r="AJ124" i="8"/>
  <c r="AJ125" i="8"/>
  <c r="AJ127" i="8"/>
  <c r="AJ128" i="8"/>
  <c r="AJ131" i="8"/>
  <c r="AJ41" i="8"/>
  <c r="AJ133" i="8"/>
  <c r="AJ135" i="8"/>
  <c r="AJ136" i="8"/>
  <c r="AJ138" i="8"/>
  <c r="AJ15" i="8"/>
  <c r="AJ144" i="8"/>
  <c r="AJ145" i="8"/>
  <c r="AJ146" i="8"/>
  <c r="AJ105" i="8"/>
  <c r="AJ17" i="8"/>
  <c r="AJ119" i="8"/>
  <c r="AJ39" i="8"/>
  <c r="AJ132" i="8"/>
  <c r="AJ55" i="8"/>
  <c r="AJ49" i="8"/>
  <c r="AJ36" i="8"/>
  <c r="AJ134" i="8"/>
  <c r="AJ139" i="8"/>
  <c r="AJ81" i="8"/>
  <c r="AJ45" i="8"/>
  <c r="AJ88" i="8"/>
  <c r="AJ63" i="8"/>
  <c r="AJ86" i="8"/>
  <c r="AJ10" i="8"/>
  <c r="AJ51" i="8"/>
  <c r="AJ19" i="8"/>
  <c r="AJ76" i="8"/>
  <c r="AJ137" i="8"/>
  <c r="AJ129" i="8"/>
  <c r="AJ21" i="8"/>
  <c r="AJ42" i="8"/>
  <c r="AJ66" i="8"/>
  <c r="AJ67" i="8"/>
  <c r="AJ140" i="8"/>
  <c r="AJ14" i="8"/>
  <c r="AJ20" i="8"/>
  <c r="AJ29" i="8"/>
  <c r="AJ72" i="8"/>
  <c r="AJ78" i="8"/>
  <c r="AJ117" i="8"/>
  <c r="AJ107" i="8"/>
  <c r="AJ84" i="8"/>
  <c r="AJ22" i="8"/>
  <c r="AJ18" i="8"/>
  <c r="AJ3" i="8"/>
  <c r="AJ141" i="8"/>
  <c r="AJ77" i="8"/>
  <c r="AJ120" i="8"/>
  <c r="AJ73" i="8"/>
  <c r="AJ112" i="8"/>
  <c r="AJ38" i="8"/>
  <c r="AJ113" i="8"/>
  <c r="AJ142" i="8"/>
  <c r="AJ98" i="8"/>
  <c r="AJ83" i="8"/>
  <c r="AJ80" i="8"/>
  <c r="AJ74" i="8"/>
  <c r="AJ4" i="8"/>
  <c r="AJ46" i="8"/>
  <c r="AJ68" i="8"/>
  <c r="AJ34" i="8"/>
  <c r="AJ5" i="8"/>
  <c r="D5" i="8" l="1"/>
  <c r="D6" i="8"/>
  <c r="D7" i="8"/>
  <c r="D9" i="8"/>
  <c r="D11" i="8"/>
  <c r="D12" i="8"/>
  <c r="D13" i="8"/>
  <c r="D32" i="8"/>
  <c r="D16" i="8"/>
  <c r="D8" i="8"/>
  <c r="D23" i="8"/>
  <c r="D25" i="8"/>
  <c r="D26" i="8"/>
  <c r="D27" i="8"/>
  <c r="D28" i="8"/>
  <c r="D30" i="8"/>
  <c r="D31" i="8"/>
  <c r="D33" i="8"/>
  <c r="D118" i="8"/>
  <c r="D37" i="8"/>
  <c r="D126" i="8"/>
  <c r="D40" i="8"/>
  <c r="D43" i="8"/>
  <c r="D44" i="8"/>
  <c r="D48" i="8"/>
  <c r="D50" i="8"/>
  <c r="D52" i="8"/>
  <c r="D53" i="8"/>
  <c r="D54" i="8"/>
  <c r="D56" i="8"/>
  <c r="D57" i="8"/>
  <c r="D58" i="8"/>
  <c r="D60" i="8"/>
  <c r="D61" i="8"/>
  <c r="D62" i="8"/>
  <c r="D64" i="8"/>
  <c r="D65" i="8"/>
  <c r="D69" i="8"/>
  <c r="D70" i="8"/>
  <c r="D71" i="8"/>
  <c r="D35" i="8"/>
  <c r="D75" i="8"/>
  <c r="D82" i="8"/>
  <c r="D143" i="8"/>
  <c r="D85" i="8"/>
  <c r="D79" i="8"/>
  <c r="D89" i="8"/>
  <c r="D24" i="8"/>
  <c r="D90" i="8"/>
  <c r="D91" i="8"/>
  <c r="D92" i="8"/>
  <c r="D93" i="8"/>
  <c r="D94" i="8"/>
  <c r="D95" i="8"/>
  <c r="D96" i="8"/>
  <c r="D59" i="8"/>
  <c r="D97" i="8"/>
  <c r="D99" i="8"/>
  <c r="D87" i="8"/>
  <c r="D100" i="8"/>
  <c r="D101" i="8"/>
  <c r="D102" i="8"/>
  <c r="D103" i="8"/>
  <c r="D47" i="8"/>
  <c r="D104" i="8"/>
  <c r="D106" i="8"/>
  <c r="D108" i="8"/>
  <c r="D110" i="8"/>
  <c r="D111" i="8"/>
  <c r="D114" i="8"/>
  <c r="D115" i="8"/>
  <c r="D116" i="8"/>
  <c r="D109" i="8"/>
  <c r="D121" i="8"/>
  <c r="D122" i="8"/>
  <c r="D130" i="8"/>
  <c r="D123" i="8"/>
  <c r="D124" i="8"/>
  <c r="D125" i="8"/>
  <c r="D127" i="8"/>
  <c r="D128" i="8"/>
  <c r="D131" i="8"/>
  <c r="D41" i="8"/>
  <c r="D133" i="8"/>
  <c r="D135" i="8"/>
  <c r="D136" i="8"/>
  <c r="D138" i="8"/>
  <c r="D15" i="8"/>
  <c r="D144" i="8"/>
  <c r="D145" i="8"/>
  <c r="D146" i="8"/>
  <c r="D105" i="8"/>
  <c r="D17" i="8"/>
  <c r="D119" i="8"/>
  <c r="D39" i="8"/>
  <c r="D132" i="8"/>
  <c r="D55" i="8"/>
  <c r="D49" i="8"/>
  <c r="D36" i="8"/>
  <c r="D134" i="8"/>
  <c r="D139" i="8"/>
  <c r="D81" i="8"/>
  <c r="D45" i="8"/>
  <c r="D88" i="8"/>
  <c r="D63" i="8"/>
  <c r="D86" i="8"/>
  <c r="D10" i="8"/>
  <c r="D51" i="8"/>
  <c r="D19" i="8"/>
  <c r="D76" i="8"/>
  <c r="D137" i="8"/>
  <c r="D129" i="8"/>
  <c r="D21" i="8"/>
  <c r="D42" i="8"/>
  <c r="D66" i="8"/>
  <c r="D67" i="8"/>
  <c r="D140" i="8"/>
  <c r="D14" i="8"/>
  <c r="D20" i="8"/>
  <c r="D29" i="8"/>
  <c r="D72" i="8"/>
  <c r="D78" i="8"/>
  <c r="D117" i="8"/>
  <c r="D107" i="8"/>
  <c r="D84" i="8"/>
  <c r="D22" i="8"/>
  <c r="D18" i="8"/>
  <c r="D141" i="8"/>
  <c r="D77" i="8"/>
  <c r="D120" i="8"/>
  <c r="D73" i="8"/>
  <c r="D112" i="8"/>
  <c r="D38" i="8"/>
  <c r="D113" i="8"/>
  <c r="D142" i="8"/>
  <c r="D98" i="8"/>
  <c r="D83" i="8"/>
  <c r="D80" i="8"/>
  <c r="D74" i="8"/>
  <c r="D4" i="8"/>
  <c r="D46" i="8"/>
  <c r="D68" i="8"/>
  <c r="D34" i="8"/>
  <c r="M6" i="8" l="1"/>
  <c r="M7" i="8"/>
  <c r="M9" i="8"/>
  <c r="I9" i="9" s="1"/>
  <c r="M11" i="8"/>
  <c r="I11" i="9" s="1"/>
  <c r="M12" i="8"/>
  <c r="M13" i="8"/>
  <c r="I12" i="9" s="1"/>
  <c r="M32" i="8"/>
  <c r="M16" i="8"/>
  <c r="M8" i="8"/>
  <c r="M23" i="8"/>
  <c r="M25" i="8"/>
  <c r="I25" i="9" s="1"/>
  <c r="M26" i="8"/>
  <c r="I26" i="9" s="1"/>
  <c r="M27" i="8"/>
  <c r="I27" i="9" s="1"/>
  <c r="M28" i="8"/>
  <c r="M30" i="8"/>
  <c r="M31" i="8"/>
  <c r="M33" i="8"/>
  <c r="I33" i="9" s="1"/>
  <c r="M118" i="8"/>
  <c r="M37" i="8"/>
  <c r="M126" i="8"/>
  <c r="M40" i="8"/>
  <c r="M43" i="8"/>
  <c r="M44" i="8"/>
  <c r="M48" i="8"/>
  <c r="M50" i="8"/>
  <c r="M52" i="8"/>
  <c r="M53" i="8"/>
  <c r="M54" i="8"/>
  <c r="M56" i="8"/>
  <c r="M57" i="8"/>
  <c r="M58" i="8"/>
  <c r="M60" i="8"/>
  <c r="M61" i="8"/>
  <c r="M62" i="8"/>
  <c r="M64" i="8"/>
  <c r="M65" i="8"/>
  <c r="M69" i="8"/>
  <c r="M70" i="8"/>
  <c r="M71" i="8"/>
  <c r="M35" i="8"/>
  <c r="M75" i="8"/>
  <c r="M82" i="8"/>
  <c r="M143" i="8"/>
  <c r="M85" i="8"/>
  <c r="I85" i="9" s="1"/>
  <c r="M79" i="8"/>
  <c r="M89" i="8"/>
  <c r="M24" i="8"/>
  <c r="M90" i="8"/>
  <c r="M91" i="8"/>
  <c r="M92" i="8"/>
  <c r="M93" i="8"/>
  <c r="M94" i="8"/>
  <c r="M95" i="8"/>
  <c r="M96" i="8"/>
  <c r="M59" i="8"/>
  <c r="M97" i="8"/>
  <c r="M99" i="8"/>
  <c r="M87" i="8"/>
  <c r="M100" i="8"/>
  <c r="M101" i="8"/>
  <c r="M102" i="8"/>
  <c r="M103" i="8"/>
  <c r="M47" i="8"/>
  <c r="M104" i="8"/>
  <c r="I101" i="9" s="1"/>
  <c r="M106" i="8"/>
  <c r="M108" i="8"/>
  <c r="M110" i="8"/>
  <c r="M111" i="8"/>
  <c r="M114" i="8"/>
  <c r="M115" i="8"/>
  <c r="M116" i="8"/>
  <c r="M109" i="8"/>
  <c r="M121" i="8"/>
  <c r="M122" i="8"/>
  <c r="M130" i="8"/>
  <c r="M123" i="8"/>
  <c r="M124" i="8"/>
  <c r="M125" i="8"/>
  <c r="M127" i="8"/>
  <c r="M128" i="8"/>
  <c r="M131" i="8"/>
  <c r="M41" i="8"/>
  <c r="M133" i="8"/>
  <c r="M135" i="8"/>
  <c r="M136" i="8"/>
  <c r="M138" i="8"/>
  <c r="M15" i="8"/>
  <c r="I15" i="9" s="1"/>
  <c r="M144" i="8"/>
  <c r="M145" i="8"/>
  <c r="M146" i="8"/>
  <c r="I146" i="9" s="1"/>
  <c r="M105" i="8"/>
  <c r="M17" i="8"/>
  <c r="M119" i="8"/>
  <c r="M39" i="8"/>
  <c r="M132" i="8"/>
  <c r="M55" i="8"/>
  <c r="M49" i="8"/>
  <c r="M36" i="8"/>
  <c r="M134" i="8"/>
  <c r="M139" i="8"/>
  <c r="M81" i="8"/>
  <c r="M45" i="8"/>
  <c r="M88" i="8"/>
  <c r="M63" i="8"/>
  <c r="M86" i="8"/>
  <c r="M10" i="8"/>
  <c r="I10" i="9" s="1"/>
  <c r="M51" i="8"/>
  <c r="I51" i="9" s="1"/>
  <c r="M19" i="8"/>
  <c r="M76" i="8"/>
  <c r="M137" i="8"/>
  <c r="M129" i="8"/>
  <c r="M21" i="8"/>
  <c r="M42" i="8"/>
  <c r="M66" i="8"/>
  <c r="M67" i="8"/>
  <c r="M140" i="8"/>
  <c r="M14" i="8"/>
  <c r="M20" i="8"/>
  <c r="I20" i="9" s="1"/>
  <c r="M29" i="8"/>
  <c r="I29" i="9" s="1"/>
  <c r="M72" i="8"/>
  <c r="M78" i="8"/>
  <c r="I75" i="9" s="1"/>
  <c r="M117" i="8"/>
  <c r="I114" i="9" s="1"/>
  <c r="M107" i="8"/>
  <c r="M84" i="8"/>
  <c r="M22" i="8"/>
  <c r="M18" i="8"/>
  <c r="M3" i="8"/>
  <c r="M141" i="8"/>
  <c r="M77" i="8"/>
  <c r="M120" i="8"/>
  <c r="M73" i="8"/>
  <c r="M112" i="8"/>
  <c r="M38" i="8"/>
  <c r="M113" i="8"/>
  <c r="M142" i="8"/>
  <c r="M98" i="8"/>
  <c r="M83" i="8"/>
  <c r="M80" i="8"/>
  <c r="M74" i="8"/>
  <c r="M4" i="8"/>
  <c r="M46" i="8"/>
  <c r="M68" i="8"/>
  <c r="M34" i="8"/>
  <c r="I83" i="9" l="1"/>
  <c r="I87" i="9"/>
  <c r="I59" i="9"/>
  <c r="I120" i="9"/>
  <c r="I45" i="9"/>
  <c r="I118" i="9"/>
  <c r="I96" i="9"/>
  <c r="I7" i="9"/>
  <c r="I98" i="9"/>
  <c r="I72" i="9"/>
  <c r="I109" i="9"/>
  <c r="I37" i="9"/>
  <c r="I116" i="9"/>
  <c r="I73" i="9"/>
  <c r="I49" i="9"/>
  <c r="I135" i="9"/>
  <c r="I121" i="9"/>
  <c r="I99" i="9"/>
  <c r="I97" i="9"/>
  <c r="I140" i="9"/>
  <c r="I133" i="9"/>
  <c r="I76" i="9"/>
  <c r="I43" i="9"/>
  <c r="I91" i="9"/>
  <c r="I61" i="9"/>
  <c r="I6" i="9"/>
  <c r="I64" i="9"/>
  <c r="I136" i="9"/>
  <c r="I65" i="9"/>
  <c r="I44" i="9"/>
  <c r="I13" i="9"/>
  <c r="I138" i="9"/>
  <c r="I40" i="9"/>
  <c r="I80" i="9"/>
  <c r="I92" i="9"/>
  <c r="I41" i="9"/>
  <c r="I141" i="9"/>
  <c r="I127" i="9"/>
  <c r="I79" i="9"/>
  <c r="I113" i="9"/>
  <c r="I58" i="9"/>
  <c r="I112" i="9"/>
  <c r="I42" i="9"/>
  <c r="I39" i="9"/>
  <c r="I14" i="9"/>
  <c r="I55" i="9"/>
  <c r="I34" i="9"/>
  <c r="I107" i="9"/>
  <c r="I143" i="9"/>
  <c r="I145" i="9"/>
  <c r="I104" i="9"/>
  <c r="I90" i="9"/>
  <c r="I128" i="9"/>
  <c r="I18" i="9"/>
  <c r="I117" i="9"/>
  <c r="I103" i="9"/>
  <c r="I89" i="9"/>
  <c r="I115" i="9"/>
  <c r="I3" i="9"/>
  <c r="I119" i="9"/>
  <c r="I142" i="9"/>
  <c r="I144" i="9"/>
  <c r="I74" i="9"/>
  <c r="I105" i="9"/>
  <c r="I88" i="9"/>
  <c r="I60" i="9"/>
  <c r="I66" i="9"/>
  <c r="I110" i="9"/>
  <c r="I78" i="9"/>
  <c r="I62" i="9"/>
  <c r="I139" i="9"/>
  <c r="I108" i="9"/>
  <c r="I93" i="9"/>
  <c r="I137" i="9"/>
  <c r="I125" i="9"/>
  <c r="I132" i="9"/>
  <c r="I131" i="9"/>
  <c r="I54" i="9"/>
  <c r="I31" i="9"/>
  <c r="I129" i="9"/>
  <c r="I36" i="9"/>
  <c r="I21" i="9"/>
  <c r="I71" i="9"/>
  <c r="I106" i="9"/>
  <c r="I63" i="9"/>
  <c r="I94" i="9"/>
  <c r="I47" i="9"/>
  <c r="I17" i="9"/>
  <c r="I77" i="9"/>
  <c r="I68" i="9"/>
  <c r="I16" i="9"/>
  <c r="I38" i="9"/>
  <c r="I134" i="9"/>
  <c r="I24" i="9"/>
  <c r="I84" i="9"/>
  <c r="I53" i="9"/>
  <c r="I22" i="9"/>
  <c r="I123" i="9"/>
  <c r="I57" i="9"/>
  <c r="I30" i="9"/>
  <c r="I124" i="9"/>
  <c r="I122" i="9"/>
  <c r="I56" i="9"/>
  <c r="I69" i="9"/>
  <c r="I130" i="9"/>
  <c r="I50" i="9"/>
  <c r="I35" i="9"/>
  <c r="I28" i="9"/>
  <c r="I102" i="9"/>
  <c r="I81" i="9"/>
  <c r="I67" i="9"/>
  <c r="I86" i="9"/>
  <c r="I100" i="9"/>
  <c r="I46" i="9"/>
  <c r="I70" i="9"/>
  <c r="I23" i="9"/>
  <c r="I52" i="9"/>
  <c r="I126" i="9"/>
  <c r="I111" i="9"/>
  <c r="I95" i="9"/>
  <c r="I82" i="9"/>
  <c r="I48" i="9"/>
  <c r="I32" i="9"/>
  <c r="I19" i="9"/>
  <c r="L6" i="8"/>
  <c r="L7" i="8"/>
  <c r="L9" i="8"/>
  <c r="L11" i="8"/>
  <c r="L12" i="8"/>
  <c r="L13" i="8"/>
  <c r="L32" i="8"/>
  <c r="L16" i="8"/>
  <c r="L8" i="8"/>
  <c r="L23" i="8"/>
  <c r="L25" i="8"/>
  <c r="L26" i="8"/>
  <c r="L27" i="8"/>
  <c r="L28" i="8"/>
  <c r="L30" i="8"/>
  <c r="L31" i="8"/>
  <c r="L33" i="8"/>
  <c r="L118" i="8"/>
  <c r="L37" i="8"/>
  <c r="L126" i="8"/>
  <c r="L40" i="8"/>
  <c r="L43" i="8"/>
  <c r="L44" i="8"/>
  <c r="L48" i="8"/>
  <c r="L50" i="8"/>
  <c r="L52" i="8"/>
  <c r="L53" i="8"/>
  <c r="L54" i="8"/>
  <c r="L56" i="8"/>
  <c r="L57" i="8"/>
  <c r="L58" i="8"/>
  <c r="L60" i="8"/>
  <c r="L61" i="8"/>
  <c r="L62" i="8"/>
  <c r="L64" i="8"/>
  <c r="L65" i="8"/>
  <c r="L69" i="8"/>
  <c r="L70" i="8"/>
  <c r="L71" i="8"/>
  <c r="L35" i="8"/>
  <c r="L75" i="8"/>
  <c r="L82" i="8"/>
  <c r="L143" i="8"/>
  <c r="L85" i="8"/>
  <c r="L79" i="8"/>
  <c r="L89" i="8"/>
  <c r="L24" i="8"/>
  <c r="L90" i="8"/>
  <c r="L91" i="8"/>
  <c r="L92" i="8"/>
  <c r="L93" i="8"/>
  <c r="L94" i="8"/>
  <c r="L95" i="8"/>
  <c r="L96" i="8"/>
  <c r="L59" i="8"/>
  <c r="L97" i="8"/>
  <c r="L99" i="8"/>
  <c r="L87" i="8"/>
  <c r="L100" i="8"/>
  <c r="L101" i="8"/>
  <c r="L102" i="8"/>
  <c r="L103" i="8"/>
  <c r="L47" i="8"/>
  <c r="L104" i="8"/>
  <c r="L106" i="8"/>
  <c r="L108" i="8"/>
  <c r="L110" i="8"/>
  <c r="L111" i="8"/>
  <c r="L114" i="8"/>
  <c r="L115" i="8"/>
  <c r="L116" i="8"/>
  <c r="L109" i="8"/>
  <c r="L121" i="8"/>
  <c r="L122" i="8"/>
  <c r="L130" i="8"/>
  <c r="L123" i="8"/>
  <c r="L124" i="8"/>
  <c r="L125" i="8"/>
  <c r="L127" i="8"/>
  <c r="L128" i="8"/>
  <c r="L131" i="8"/>
  <c r="L41" i="8"/>
  <c r="L133" i="8"/>
  <c r="L135" i="8"/>
  <c r="L136" i="8"/>
  <c r="L138" i="8"/>
  <c r="L15" i="8"/>
  <c r="L144" i="8"/>
  <c r="L145" i="8"/>
  <c r="L146" i="8"/>
  <c r="L105" i="8"/>
  <c r="L17" i="8"/>
  <c r="L119" i="8"/>
  <c r="L39" i="8"/>
  <c r="L132" i="8"/>
  <c r="L55" i="8"/>
  <c r="L49" i="8"/>
  <c r="L36" i="8"/>
  <c r="L134" i="8"/>
  <c r="L139" i="8"/>
  <c r="L81" i="8"/>
  <c r="L45" i="8"/>
  <c r="L88" i="8"/>
  <c r="L63" i="8"/>
  <c r="L86" i="8"/>
  <c r="L10" i="8"/>
  <c r="L51" i="8"/>
  <c r="L19" i="8"/>
  <c r="L76" i="8"/>
  <c r="L137" i="8"/>
  <c r="L129" i="8"/>
  <c r="L21" i="8"/>
  <c r="L42" i="8"/>
  <c r="L66" i="8"/>
  <c r="L67" i="8"/>
  <c r="L140" i="8"/>
  <c r="L14" i="8"/>
  <c r="L20" i="8"/>
  <c r="L29" i="8"/>
  <c r="L72" i="8"/>
  <c r="L78" i="8"/>
  <c r="L117" i="8"/>
  <c r="L107" i="8"/>
  <c r="L84" i="8"/>
  <c r="L22" i="8"/>
  <c r="L18" i="8"/>
  <c r="L3" i="8"/>
  <c r="L141" i="8"/>
  <c r="L77" i="8"/>
  <c r="L120" i="8"/>
  <c r="L73" i="8"/>
  <c r="L112" i="8"/>
  <c r="L38" i="8"/>
  <c r="L113" i="8"/>
  <c r="L142" i="8"/>
  <c r="L98" i="8"/>
  <c r="L83" i="8"/>
  <c r="L80" i="8"/>
  <c r="L74" i="8"/>
  <c r="L4" i="8"/>
  <c r="L46" i="8"/>
  <c r="L68" i="8"/>
  <c r="L34" i="8"/>
  <c r="L5" i="8"/>
  <c r="L6" i="1" l="1"/>
  <c r="L9" i="1"/>
  <c r="L11" i="1"/>
  <c r="L12" i="1"/>
  <c r="L13" i="1"/>
  <c r="L32" i="1"/>
  <c r="L16" i="1"/>
  <c r="L8" i="1"/>
  <c r="L23" i="1"/>
  <c r="L25" i="1"/>
  <c r="L26" i="1"/>
  <c r="L27" i="1"/>
  <c r="L28" i="1"/>
  <c r="L30" i="1"/>
  <c r="L31" i="1"/>
  <c r="L33" i="1"/>
  <c r="L118" i="1"/>
  <c r="L37" i="1"/>
  <c r="L126" i="1"/>
  <c r="L40" i="1"/>
  <c r="L43" i="1"/>
  <c r="L44" i="1"/>
  <c r="L48" i="1"/>
  <c r="L50" i="1"/>
  <c r="L52" i="1"/>
  <c r="L53" i="1"/>
  <c r="L54" i="1"/>
  <c r="L56" i="1"/>
  <c r="L57" i="1"/>
  <c r="L58" i="1"/>
  <c r="L60" i="1"/>
  <c r="L61" i="1"/>
  <c r="L62" i="1"/>
  <c r="L64" i="1"/>
  <c r="L65" i="1"/>
  <c r="L69" i="1"/>
  <c r="L70" i="1"/>
  <c r="L71" i="1"/>
  <c r="L35" i="1"/>
  <c r="L75" i="1"/>
  <c r="L82" i="1"/>
  <c r="L143" i="1"/>
  <c r="L85" i="1"/>
  <c r="L79" i="1"/>
  <c r="L89" i="1"/>
  <c r="L24" i="1"/>
  <c r="L90" i="1"/>
  <c r="L91" i="1"/>
  <c r="L92" i="1"/>
  <c r="L93" i="1"/>
  <c r="L94" i="1"/>
  <c r="L95" i="1"/>
  <c r="L96" i="1"/>
  <c r="L59" i="1"/>
  <c r="L97" i="1"/>
  <c r="L99" i="1"/>
  <c r="L87" i="1"/>
  <c r="L100" i="1"/>
  <c r="L101" i="1"/>
  <c r="L102" i="1"/>
  <c r="L103" i="1"/>
  <c r="L47" i="1"/>
  <c r="L104" i="1"/>
  <c r="L106" i="1"/>
  <c r="L108" i="1"/>
  <c r="L110" i="1"/>
  <c r="L111" i="1"/>
  <c r="L114" i="1"/>
  <c r="L115" i="1"/>
  <c r="L116" i="1"/>
  <c r="L109" i="1"/>
  <c r="L121" i="1"/>
  <c r="L122" i="1"/>
  <c r="L130" i="1"/>
  <c r="L123" i="1"/>
  <c r="L124" i="1"/>
  <c r="L125" i="1"/>
  <c r="L127" i="1"/>
  <c r="L128" i="1"/>
  <c r="L131" i="1"/>
  <c r="L41" i="1"/>
  <c r="L133" i="1"/>
  <c r="L135" i="1"/>
  <c r="L136" i="1"/>
  <c r="L138" i="1"/>
  <c r="L15" i="1"/>
  <c r="L144" i="1"/>
  <c r="L145" i="1"/>
  <c r="L146" i="1"/>
  <c r="L105" i="1"/>
  <c r="L17" i="1"/>
  <c r="L119" i="1"/>
  <c r="L39" i="1"/>
  <c r="L132" i="1"/>
  <c r="L55" i="1"/>
  <c r="L49" i="1"/>
  <c r="L36" i="1"/>
  <c r="L134" i="1"/>
  <c r="L139" i="1"/>
  <c r="L81" i="1"/>
  <c r="L45" i="1"/>
  <c r="L88" i="1"/>
  <c r="L63" i="1"/>
  <c r="L86" i="1"/>
  <c r="L10" i="1"/>
  <c r="L51" i="1"/>
  <c r="L19" i="1"/>
  <c r="L76" i="1"/>
  <c r="L137" i="1"/>
  <c r="L129" i="1"/>
  <c r="L21" i="1"/>
  <c r="L42" i="1"/>
  <c r="L66" i="1"/>
  <c r="L67" i="1"/>
  <c r="L140" i="1"/>
  <c r="L14" i="1"/>
  <c r="L20" i="1"/>
  <c r="L29" i="1"/>
  <c r="L72" i="1"/>
  <c r="L78" i="1"/>
  <c r="L117" i="1"/>
  <c r="L107" i="1"/>
  <c r="L84" i="1"/>
  <c r="L22" i="1"/>
  <c r="L18" i="1"/>
  <c r="L3" i="1"/>
  <c r="L141" i="1"/>
  <c r="L77" i="1"/>
  <c r="L120" i="1"/>
  <c r="L73" i="1"/>
  <c r="L112" i="1"/>
  <c r="L38" i="1"/>
  <c r="L113" i="1"/>
  <c r="L142" i="1"/>
  <c r="L98" i="1"/>
  <c r="L83" i="1"/>
  <c r="L80" i="1"/>
  <c r="L74" i="1"/>
  <c r="L4" i="1"/>
  <c r="L46" i="1"/>
  <c r="L68" i="1"/>
  <c r="L34" i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4" i="4"/>
  <c r="D3" i="5" l="1"/>
  <c r="D3" i="4"/>
  <c r="M5" i="8"/>
  <c r="I5" i="9" s="1"/>
  <c r="I6" i="8"/>
  <c r="I7" i="8"/>
  <c r="I9" i="8"/>
  <c r="I11" i="8"/>
  <c r="I12" i="8"/>
  <c r="I13" i="8"/>
  <c r="I32" i="8"/>
  <c r="I16" i="8"/>
  <c r="I8" i="8"/>
  <c r="I23" i="8"/>
  <c r="I25" i="8"/>
  <c r="I26" i="8"/>
  <c r="I27" i="8"/>
  <c r="I28" i="8"/>
  <c r="I30" i="8"/>
  <c r="I31" i="8"/>
  <c r="I33" i="8"/>
  <c r="I118" i="8"/>
  <c r="I37" i="8"/>
  <c r="I126" i="8"/>
  <c r="I40" i="8"/>
  <c r="I43" i="8"/>
  <c r="I44" i="8"/>
  <c r="I48" i="8"/>
  <c r="I50" i="8"/>
  <c r="I52" i="8"/>
  <c r="I53" i="8"/>
  <c r="I54" i="8"/>
  <c r="I56" i="8"/>
  <c r="I57" i="8"/>
  <c r="I58" i="8"/>
  <c r="I60" i="8"/>
  <c r="I61" i="8"/>
  <c r="I62" i="8"/>
  <c r="I64" i="8"/>
  <c r="I65" i="8"/>
  <c r="I69" i="8"/>
  <c r="I70" i="8"/>
  <c r="I71" i="8"/>
  <c r="I35" i="8"/>
  <c r="I75" i="8"/>
  <c r="I82" i="8"/>
  <c r="I143" i="8"/>
  <c r="I85" i="8"/>
  <c r="I79" i="8"/>
  <c r="I89" i="8"/>
  <c r="I24" i="8"/>
  <c r="I90" i="8"/>
  <c r="I91" i="8"/>
  <c r="I92" i="8"/>
  <c r="I93" i="8"/>
  <c r="I94" i="8"/>
  <c r="I95" i="8"/>
  <c r="I96" i="8"/>
  <c r="I59" i="8"/>
  <c r="I97" i="8"/>
  <c r="I99" i="8"/>
  <c r="I87" i="8"/>
  <c r="I100" i="8"/>
  <c r="I101" i="8"/>
  <c r="I102" i="8"/>
  <c r="I103" i="8"/>
  <c r="I47" i="8"/>
  <c r="I104" i="8"/>
  <c r="I106" i="8"/>
  <c r="I108" i="8"/>
  <c r="I110" i="8"/>
  <c r="I111" i="8"/>
  <c r="I114" i="8"/>
  <c r="I115" i="8"/>
  <c r="I116" i="8"/>
  <c r="I109" i="8"/>
  <c r="I121" i="8"/>
  <c r="I122" i="8"/>
  <c r="I130" i="8"/>
  <c r="I123" i="8"/>
  <c r="I124" i="8"/>
  <c r="I125" i="8"/>
  <c r="I127" i="8"/>
  <c r="I128" i="8"/>
  <c r="I131" i="8"/>
  <c r="I41" i="8"/>
  <c r="I133" i="8"/>
  <c r="I135" i="8"/>
  <c r="I136" i="8"/>
  <c r="I138" i="8"/>
  <c r="I15" i="8"/>
  <c r="I144" i="8"/>
  <c r="I145" i="8"/>
  <c r="I146" i="8"/>
  <c r="I105" i="8"/>
  <c r="I17" i="8"/>
  <c r="I119" i="8"/>
  <c r="I39" i="8"/>
  <c r="I132" i="8"/>
  <c r="I55" i="8"/>
  <c r="I49" i="8"/>
  <c r="I36" i="8"/>
  <c r="I134" i="8"/>
  <c r="I139" i="8"/>
  <c r="I81" i="8"/>
  <c r="I45" i="8"/>
  <c r="I88" i="8"/>
  <c r="I63" i="8"/>
  <c r="I86" i="8"/>
  <c r="I10" i="8"/>
  <c r="I51" i="8"/>
  <c r="I19" i="8"/>
  <c r="I76" i="8"/>
  <c r="I137" i="8"/>
  <c r="I129" i="8"/>
  <c r="I21" i="8"/>
  <c r="I42" i="8"/>
  <c r="I66" i="8"/>
  <c r="I67" i="8"/>
  <c r="I140" i="8"/>
  <c r="I14" i="8"/>
  <c r="I20" i="8"/>
  <c r="I29" i="8"/>
  <c r="I72" i="8"/>
  <c r="I78" i="8"/>
  <c r="I117" i="8"/>
  <c r="I107" i="8"/>
  <c r="I84" i="8"/>
  <c r="I22" i="8"/>
  <c r="I18" i="8"/>
  <c r="I3" i="8"/>
  <c r="I141" i="8"/>
  <c r="I77" i="8"/>
  <c r="I120" i="8"/>
  <c r="I73" i="8"/>
  <c r="I112" i="8"/>
  <c r="I38" i="8"/>
  <c r="I113" i="8"/>
  <c r="I142" i="8"/>
  <c r="I98" i="8"/>
  <c r="I83" i="8"/>
  <c r="I80" i="8"/>
  <c r="I74" i="8"/>
  <c r="I4" i="8"/>
  <c r="I46" i="8"/>
  <c r="I68" i="8"/>
  <c r="I34" i="8"/>
  <c r="I5" i="8"/>
  <c r="G6" i="8"/>
  <c r="G7" i="8"/>
  <c r="G9" i="8"/>
  <c r="G11" i="8"/>
  <c r="G12" i="8"/>
  <c r="G13" i="8"/>
  <c r="G32" i="8"/>
  <c r="G16" i="8"/>
  <c r="G8" i="8"/>
  <c r="G23" i="8"/>
  <c r="G25" i="8"/>
  <c r="G26" i="8"/>
  <c r="G27" i="8"/>
  <c r="G28" i="8"/>
  <c r="G30" i="8"/>
  <c r="G31" i="8"/>
  <c r="G33" i="8"/>
  <c r="G118" i="8"/>
  <c r="G37" i="8"/>
  <c r="G126" i="8"/>
  <c r="G40" i="8"/>
  <c r="G43" i="8"/>
  <c r="G44" i="8"/>
  <c r="G48" i="8"/>
  <c r="G50" i="8"/>
  <c r="G52" i="8"/>
  <c r="G53" i="8"/>
  <c r="G54" i="8"/>
  <c r="G56" i="8"/>
  <c r="G57" i="8"/>
  <c r="G58" i="8"/>
  <c r="G60" i="8"/>
  <c r="G61" i="8"/>
  <c r="G62" i="8"/>
  <c r="G64" i="8"/>
  <c r="G65" i="8"/>
  <c r="G69" i="8"/>
  <c r="G70" i="8"/>
  <c r="G71" i="8"/>
  <c r="G35" i="8"/>
  <c r="G75" i="8"/>
  <c r="G82" i="8"/>
  <c r="G143" i="8"/>
  <c r="G85" i="8"/>
  <c r="G79" i="8"/>
  <c r="G89" i="8"/>
  <c r="G24" i="8"/>
  <c r="G90" i="8"/>
  <c r="G91" i="8"/>
  <c r="G92" i="8"/>
  <c r="G93" i="8"/>
  <c r="G94" i="8"/>
  <c r="G95" i="8"/>
  <c r="G96" i="8"/>
  <c r="G59" i="8"/>
  <c r="G97" i="8"/>
  <c r="G99" i="8"/>
  <c r="G87" i="8"/>
  <c r="G100" i="8"/>
  <c r="G101" i="8"/>
  <c r="G102" i="8"/>
  <c r="G103" i="8"/>
  <c r="G47" i="8"/>
  <c r="G104" i="8"/>
  <c r="G106" i="8"/>
  <c r="G108" i="8"/>
  <c r="G110" i="8"/>
  <c r="G111" i="8"/>
  <c r="G114" i="8"/>
  <c r="G115" i="8"/>
  <c r="G116" i="8"/>
  <c r="G109" i="8"/>
  <c r="G121" i="8"/>
  <c r="G122" i="8"/>
  <c r="G130" i="8"/>
  <c r="G123" i="8"/>
  <c r="G124" i="8"/>
  <c r="G125" i="8"/>
  <c r="G127" i="8"/>
  <c r="G128" i="8"/>
  <c r="G131" i="8"/>
  <c r="G41" i="8"/>
  <c r="G133" i="8"/>
  <c r="G135" i="8"/>
  <c r="G136" i="8"/>
  <c r="G138" i="8"/>
  <c r="G15" i="8"/>
  <c r="G144" i="8"/>
  <c r="G145" i="8"/>
  <c r="G146" i="8"/>
  <c r="G105" i="8"/>
  <c r="G17" i="8"/>
  <c r="G119" i="8"/>
  <c r="G39" i="8"/>
  <c r="G132" i="8"/>
  <c r="G55" i="8"/>
  <c r="G49" i="8"/>
  <c r="G36" i="8"/>
  <c r="G134" i="8"/>
  <c r="G139" i="8"/>
  <c r="G81" i="8"/>
  <c r="G45" i="8"/>
  <c r="G88" i="8"/>
  <c r="G63" i="8"/>
  <c r="G86" i="8"/>
  <c r="G10" i="8"/>
  <c r="G51" i="8"/>
  <c r="G19" i="8"/>
  <c r="G76" i="8"/>
  <c r="G137" i="8"/>
  <c r="G129" i="8"/>
  <c r="G21" i="8"/>
  <c r="G42" i="8"/>
  <c r="G66" i="8"/>
  <c r="G67" i="8"/>
  <c r="G140" i="8"/>
  <c r="G14" i="8"/>
  <c r="G20" i="8"/>
  <c r="G29" i="8"/>
  <c r="G72" i="8"/>
  <c r="G78" i="8"/>
  <c r="G117" i="8"/>
  <c r="G107" i="8"/>
  <c r="G84" i="8"/>
  <c r="G22" i="8"/>
  <c r="G18" i="8"/>
  <c r="G3" i="8"/>
  <c r="G141" i="8"/>
  <c r="G77" i="8"/>
  <c r="G120" i="8"/>
  <c r="G73" i="8"/>
  <c r="G112" i="8"/>
  <c r="G38" i="8"/>
  <c r="G113" i="8"/>
  <c r="G142" i="8"/>
  <c r="G98" i="8"/>
  <c r="G83" i="8"/>
  <c r="G80" i="8"/>
  <c r="G74" i="8"/>
  <c r="G4" i="8"/>
  <c r="G46" i="8"/>
  <c r="G68" i="8"/>
  <c r="G34" i="8"/>
  <c r="G5" i="8"/>
  <c r="I4" i="9" l="1"/>
  <c r="L5" i="1"/>
  <c r="I8" i="9"/>
  <c r="L7" i="1"/>
  <c r="E85" i="1"/>
  <c r="I147" i="9" l="1"/>
  <c r="G111" i="1" l="1"/>
  <c r="E111" i="1"/>
  <c r="E89" i="1"/>
  <c r="AK34" i="8"/>
  <c r="AK68" i="8"/>
  <c r="J46" i="8"/>
  <c r="E41" i="1"/>
  <c r="F46" i="8"/>
  <c r="F4" i="8"/>
  <c r="AK74" i="8"/>
  <c r="G34" i="1"/>
  <c r="K80" i="8"/>
  <c r="E21" i="1"/>
  <c r="F80" i="8"/>
  <c r="K83" i="8"/>
  <c r="AK98" i="8"/>
  <c r="AF142" i="8"/>
  <c r="E121" i="1"/>
  <c r="F142" i="8"/>
  <c r="F113" i="8"/>
  <c r="K38" i="8"/>
  <c r="E123" i="1"/>
  <c r="AF38" i="8"/>
  <c r="J112" i="8"/>
  <c r="E68" i="1"/>
  <c r="F112" i="8"/>
  <c r="K73" i="8"/>
  <c r="E5" i="1"/>
  <c r="AK120" i="8"/>
  <c r="E31" i="1"/>
  <c r="F120" i="8"/>
  <c r="AF120" i="8"/>
  <c r="F77" i="8"/>
  <c r="AF77" i="8"/>
  <c r="AK141" i="8"/>
  <c r="E133" i="1"/>
  <c r="AK3" i="8"/>
  <c r="K18" i="8"/>
  <c r="E140" i="1"/>
  <c r="AF18" i="8"/>
  <c r="AF22" i="8"/>
  <c r="E124" i="1"/>
  <c r="F22" i="8"/>
  <c r="F84" i="8"/>
  <c r="K107" i="8"/>
  <c r="AF117" i="8"/>
  <c r="E118" i="1"/>
  <c r="F117" i="8"/>
  <c r="AK78" i="8"/>
  <c r="E25" i="1"/>
  <c r="K72" i="8"/>
  <c r="E46" i="1"/>
  <c r="F29" i="8"/>
  <c r="F20" i="8"/>
  <c r="E108" i="1"/>
  <c r="F14" i="8"/>
  <c r="AF14" i="8"/>
  <c r="E82" i="1"/>
  <c r="E126" i="1"/>
  <c r="F67" i="8"/>
  <c r="E77" i="1"/>
  <c r="F66" i="8"/>
  <c r="J66" i="8"/>
  <c r="J42" i="8"/>
  <c r="E80" i="1"/>
  <c r="K21" i="8"/>
  <c r="AF21" i="8"/>
  <c r="E73" i="1"/>
  <c r="F21" i="8"/>
  <c r="E33" i="1"/>
  <c r="E93" i="1"/>
  <c r="E32" i="1"/>
  <c r="F76" i="8"/>
  <c r="K19" i="8"/>
  <c r="F19" i="8"/>
  <c r="J19" i="8"/>
  <c r="AK51" i="8"/>
  <c r="J51" i="8"/>
  <c r="AK10" i="8"/>
  <c r="E15" i="1"/>
  <c r="F10" i="8"/>
  <c r="E79" i="1"/>
  <c r="F63" i="8"/>
  <c r="E4" i="1"/>
  <c r="F88" i="8"/>
  <c r="G142" i="1"/>
  <c r="F45" i="8"/>
  <c r="K81" i="8"/>
  <c r="E65" i="1"/>
  <c r="F81" i="8"/>
  <c r="AF81" i="8"/>
  <c r="AF139" i="8"/>
  <c r="G91" i="1"/>
  <c r="E91" i="1"/>
  <c r="K134" i="8"/>
  <c r="G59" i="1"/>
  <c r="E59" i="1"/>
  <c r="F134" i="8"/>
  <c r="AK36" i="8"/>
  <c r="E38" i="1"/>
  <c r="J36" i="8"/>
  <c r="J49" i="8"/>
  <c r="AK55" i="8"/>
  <c r="J55" i="8"/>
  <c r="E20" i="1"/>
  <c r="AK132" i="8"/>
  <c r="K39" i="8"/>
  <c r="E63" i="1"/>
  <c r="AF39" i="8"/>
  <c r="F119" i="8"/>
  <c r="F17" i="8"/>
  <c r="AF17" i="8"/>
  <c r="K105" i="8"/>
  <c r="J105" i="8"/>
  <c r="E26" i="1"/>
  <c r="AK145" i="8"/>
  <c r="E74" i="1"/>
  <c r="F144" i="8"/>
  <c r="K144" i="9" s="1"/>
  <c r="G98" i="1"/>
  <c r="E98" i="1"/>
  <c r="F15" i="8"/>
  <c r="F138" i="8"/>
  <c r="AK136" i="8"/>
  <c r="E75" i="1"/>
  <c r="F136" i="8"/>
  <c r="AF136" i="8"/>
  <c r="J135" i="8"/>
  <c r="G112" i="1"/>
  <c r="E112" i="1"/>
  <c r="K133" i="8"/>
  <c r="E141" i="1"/>
  <c r="F133" i="8"/>
  <c r="AK41" i="8"/>
  <c r="E3" i="1"/>
  <c r="J41" i="8"/>
  <c r="F131" i="8"/>
  <c r="K128" i="8"/>
  <c r="J128" i="8"/>
  <c r="G84" i="1"/>
  <c r="E84" i="1"/>
  <c r="F128" i="8"/>
  <c r="G107" i="1"/>
  <c r="E107" i="1"/>
  <c r="AK125" i="8"/>
  <c r="E117" i="1"/>
  <c r="AF124" i="8"/>
  <c r="E120" i="1"/>
  <c r="F124" i="8"/>
  <c r="F123" i="8"/>
  <c r="AF123" i="8"/>
  <c r="K130" i="8"/>
  <c r="I72" i="1" s="1"/>
  <c r="G72" i="1"/>
  <c r="F130" i="8"/>
  <c r="J130" i="8"/>
  <c r="J122" i="8"/>
  <c r="E19" i="1"/>
  <c r="F122" i="8"/>
  <c r="AK121" i="8"/>
  <c r="F109" i="8"/>
  <c r="J116" i="8"/>
  <c r="H42" i="1" s="1"/>
  <c r="E42" i="1"/>
  <c r="F115" i="8"/>
  <c r="E76" i="1"/>
  <c r="F114" i="8"/>
  <c r="J114" i="8"/>
  <c r="AF111" i="8"/>
  <c r="E51" i="1"/>
  <c r="K110" i="8"/>
  <c r="J110" i="8"/>
  <c r="E86" i="1"/>
  <c r="F110" i="8"/>
  <c r="K108" i="8"/>
  <c r="G88" i="1"/>
  <c r="E88" i="1"/>
  <c r="J108" i="8"/>
  <c r="F106" i="8"/>
  <c r="AK104" i="8"/>
  <c r="AF104" i="8"/>
  <c r="E45" i="1"/>
  <c r="F104" i="8"/>
  <c r="E81" i="1"/>
  <c r="AK103" i="8"/>
  <c r="E139" i="1"/>
  <c r="E134" i="1"/>
  <c r="K101" i="8"/>
  <c r="G138" i="1"/>
  <c r="J101" i="8"/>
  <c r="AK100" i="8"/>
  <c r="K87" i="8"/>
  <c r="E55" i="1"/>
  <c r="E100" i="1"/>
  <c r="E39" i="1"/>
  <c r="G119" i="1"/>
  <c r="J96" i="8"/>
  <c r="F96" i="8"/>
  <c r="AK95" i="8"/>
  <c r="E17" i="1"/>
  <c r="E105" i="1"/>
  <c r="AK93" i="8"/>
  <c r="J93" i="8"/>
  <c r="E146" i="1"/>
  <c r="AK92" i="8"/>
  <c r="G145" i="1"/>
  <c r="E145" i="1"/>
  <c r="AF92" i="8"/>
  <c r="AK91" i="8"/>
  <c r="F91" i="8"/>
  <c r="AK90" i="8"/>
  <c r="E144" i="1"/>
  <c r="E125" i="1"/>
  <c r="K89" i="8"/>
  <c r="I89" i="1" s="1"/>
  <c r="E135" i="1"/>
  <c r="AF79" i="8"/>
  <c r="F85" i="8"/>
  <c r="AF85" i="8"/>
  <c r="G130" i="1"/>
  <c r="J82" i="8"/>
  <c r="E64" i="1"/>
  <c r="E116" i="1"/>
  <c r="AK35" i="8"/>
  <c r="F35" i="8"/>
  <c r="E114" i="1"/>
  <c r="F71" i="8"/>
  <c r="G106" i="1"/>
  <c r="F70" i="8"/>
  <c r="K69" i="8"/>
  <c r="E104" i="1"/>
  <c r="F69" i="8"/>
  <c r="J69" i="8"/>
  <c r="E103" i="1"/>
  <c r="K64" i="8"/>
  <c r="AF64" i="8"/>
  <c r="E102" i="1"/>
  <c r="F64" i="8"/>
  <c r="K62" i="8"/>
  <c r="G101" i="1"/>
  <c r="E101" i="1"/>
  <c r="J62" i="8"/>
  <c r="H62" i="1" s="1"/>
  <c r="F61" i="8"/>
  <c r="G87" i="1"/>
  <c r="K60" i="8"/>
  <c r="G99" i="1"/>
  <c r="E99" i="1"/>
  <c r="F60" i="8"/>
  <c r="K58" i="8"/>
  <c r="G97" i="1"/>
  <c r="E97" i="1"/>
  <c r="E96" i="1"/>
  <c r="J57" i="8"/>
  <c r="J56" i="8"/>
  <c r="E95" i="1"/>
  <c r="F56" i="8"/>
  <c r="F54" i="8"/>
  <c r="J54" i="8"/>
  <c r="AK52" i="8"/>
  <c r="AF52" i="8"/>
  <c r="E90" i="1"/>
  <c r="F52" i="8"/>
  <c r="K50" i="8"/>
  <c r="F48" i="8"/>
  <c r="AF44" i="8"/>
  <c r="E35" i="1"/>
  <c r="F44" i="8"/>
  <c r="E18" i="1"/>
  <c r="F43" i="8"/>
  <c r="E69" i="1"/>
  <c r="F40" i="8"/>
  <c r="J40" i="8"/>
  <c r="K126" i="8"/>
  <c r="J126" i="8"/>
  <c r="E14" i="1"/>
  <c r="K37" i="8"/>
  <c r="J37" i="8"/>
  <c r="E61" i="1"/>
  <c r="F37" i="8"/>
  <c r="E58" i="1"/>
  <c r="AF118" i="8"/>
  <c r="K33" i="8"/>
  <c r="AK31" i="8"/>
  <c r="AF31" i="8"/>
  <c r="G53" i="1"/>
  <c r="E53" i="1"/>
  <c r="F31" i="8"/>
  <c r="K30" i="8"/>
  <c r="G52" i="1"/>
  <c r="E52" i="1"/>
  <c r="E50" i="1"/>
  <c r="E48" i="1"/>
  <c r="AK26" i="8"/>
  <c r="G43" i="1"/>
  <c r="J26" i="8"/>
  <c r="AK23" i="8"/>
  <c r="J23" i="8"/>
  <c r="E28" i="1"/>
  <c r="E27" i="1"/>
  <c r="AK16" i="8"/>
  <c r="F16" i="8"/>
  <c r="E37" i="1"/>
  <c r="J13" i="8"/>
  <c r="F13" i="8"/>
  <c r="AK12" i="8"/>
  <c r="E8" i="1"/>
  <c r="AF11" i="8"/>
  <c r="E16" i="1"/>
  <c r="AF9" i="8"/>
  <c r="E13" i="1"/>
  <c r="F9" i="8"/>
  <c r="AK7" i="8"/>
  <c r="G11" i="1"/>
  <c r="E11" i="1"/>
  <c r="F7" i="8"/>
  <c r="J7" i="8"/>
  <c r="K6" i="8"/>
  <c r="AF6" i="8"/>
  <c r="K5" i="8"/>
  <c r="AF5" i="8"/>
  <c r="E7" i="1"/>
  <c r="F5" i="8"/>
  <c r="E94" i="1"/>
  <c r="E106" i="1"/>
  <c r="E136" i="1"/>
  <c r="E49" i="1"/>
  <c r="C17" i="2"/>
  <c r="AG34" i="8" s="1"/>
  <c r="E62" i="1"/>
  <c r="AF34" i="8"/>
  <c r="F34" i="8"/>
  <c r="J34" i="8"/>
  <c r="F24" i="8"/>
  <c r="F47" i="8"/>
  <c r="F127" i="8"/>
  <c r="F132" i="8"/>
  <c r="F129" i="8"/>
  <c r="AK13" i="8"/>
  <c r="AK43" i="8"/>
  <c r="AF30" i="8"/>
  <c r="AK61" i="8"/>
  <c r="AK79" i="8"/>
  <c r="AF24" i="8"/>
  <c r="AF97" i="8"/>
  <c r="AF99" i="8"/>
  <c r="AK87" i="8"/>
  <c r="AF115" i="8"/>
  <c r="AK116" i="8"/>
  <c r="AK65" i="8"/>
  <c r="AF144" i="8"/>
  <c r="AK45" i="8"/>
  <c r="AK88" i="8"/>
  <c r="AK76" i="8"/>
  <c r="AK117" i="8"/>
  <c r="AK112" i="8"/>
  <c r="AK18" i="8"/>
  <c r="AF4" i="8"/>
  <c r="AK46" i="8"/>
  <c r="AF35" i="8"/>
  <c r="AK138" i="8"/>
  <c r="AF113" i="8"/>
  <c r="AF73" i="8"/>
  <c r="AK29" i="8"/>
  <c r="AF110" i="8"/>
  <c r="AF78" i="8"/>
  <c r="AK15" i="8"/>
  <c r="J16" i="8"/>
  <c r="J43" i="8"/>
  <c r="J30" i="8"/>
  <c r="J58" i="8"/>
  <c r="J20" i="8"/>
  <c r="J70" i="8"/>
  <c r="J75" i="8"/>
  <c r="K79" i="8"/>
  <c r="J97" i="8"/>
  <c r="K102" i="8"/>
  <c r="K106" i="8"/>
  <c r="K115" i="8"/>
  <c r="K65" i="8"/>
  <c r="K52" i="8"/>
  <c r="J145" i="8"/>
  <c r="K146" i="8"/>
  <c r="K139" i="8"/>
  <c r="J45" i="8"/>
  <c r="J129" i="8"/>
  <c r="J67" i="8"/>
  <c r="K140" i="8"/>
  <c r="K112" i="8"/>
  <c r="J84" i="8"/>
  <c r="J3" i="8"/>
  <c r="K77" i="8"/>
  <c r="J120" i="8"/>
  <c r="J4" i="8"/>
  <c r="K46" i="8"/>
  <c r="J86" i="8"/>
  <c r="J72" i="8"/>
  <c r="J83" i="8"/>
  <c r="K59" i="8"/>
  <c r="K68" i="8"/>
  <c r="J73" i="8"/>
  <c r="K29" i="8"/>
  <c r="K44" i="8"/>
  <c r="K111" i="8"/>
  <c r="J38" i="8"/>
  <c r="K57" i="8"/>
  <c r="K124" i="8"/>
  <c r="J133" i="8"/>
  <c r="J78" i="8"/>
  <c r="K71" i="8"/>
  <c r="J134" i="8"/>
  <c r="K42" i="8"/>
  <c r="K11" i="8"/>
  <c r="J99" i="8"/>
  <c r="J48" i="8"/>
  <c r="J132" i="8"/>
  <c r="K70" i="8"/>
  <c r="K94" i="8"/>
  <c r="I105" i="1" s="1"/>
  <c r="K49" i="8"/>
  <c r="J136" i="8"/>
  <c r="J22" i="8"/>
  <c r="K22" i="8"/>
  <c r="K76" i="8"/>
  <c r="J121" i="8"/>
  <c r="E78" i="1"/>
  <c r="J138" i="8"/>
  <c r="K119" i="8"/>
  <c r="J98" i="8"/>
  <c r="J47" i="8"/>
  <c r="J115" i="8"/>
  <c r="K88" i="8"/>
  <c r="K116" i="8"/>
  <c r="E70" i="1"/>
  <c r="J113" i="8"/>
  <c r="J24" i="8"/>
  <c r="G70" i="1"/>
  <c r="J63" i="8"/>
  <c r="K91" i="8"/>
  <c r="J85" i="8"/>
  <c r="J8" i="8"/>
  <c r="K10" i="8"/>
  <c r="J127" i="8"/>
  <c r="E131" i="1"/>
  <c r="K142" i="8"/>
  <c r="K43" i="8"/>
  <c r="K135" i="8"/>
  <c r="G79" i="1"/>
  <c r="K96" i="8"/>
  <c r="K138" i="8"/>
  <c r="K141" i="8"/>
  <c r="K122" i="8"/>
  <c r="K32" i="8"/>
  <c r="K15" i="8"/>
  <c r="J17" i="8"/>
  <c r="J123" i="8"/>
  <c r="K27" i="8"/>
  <c r="K120" i="8"/>
  <c r="G74" i="1"/>
  <c r="J92" i="8"/>
  <c r="K56" i="8"/>
  <c r="E109" i="1"/>
  <c r="G67" i="1"/>
  <c r="G113" i="1"/>
  <c r="K117" i="8"/>
  <c r="K82" i="8"/>
  <c r="G85" i="1"/>
  <c r="J109" i="8"/>
  <c r="K45" i="8"/>
  <c r="K61" i="8"/>
  <c r="K13" i="8"/>
  <c r="K113" i="8"/>
  <c r="J9" i="8"/>
  <c r="J14" i="8"/>
  <c r="J144" i="8"/>
  <c r="K51" i="8"/>
  <c r="K131" i="8"/>
  <c r="J50" i="8"/>
  <c r="K20" i="8"/>
  <c r="J35" i="8"/>
  <c r="AG102" i="8"/>
  <c r="AG27" i="8"/>
  <c r="AF98" i="8"/>
  <c r="AK59" i="8"/>
  <c r="AF83" i="8"/>
  <c r="AK73" i="8"/>
  <c r="AF55" i="8"/>
  <c r="AK22" i="8"/>
  <c r="AK56" i="8"/>
  <c r="AF3" i="8"/>
  <c r="AK113" i="8"/>
  <c r="AK115" i="8"/>
  <c r="AF58" i="8"/>
  <c r="AF54" i="8"/>
  <c r="AK140" i="8"/>
  <c r="AF45" i="8"/>
  <c r="J142" i="1" s="1"/>
  <c r="AK80" i="8"/>
  <c r="AF72" i="8"/>
  <c r="AF127" i="8"/>
  <c r="AF13" i="8"/>
  <c r="AF67" i="8"/>
  <c r="AF132" i="8"/>
  <c r="AF43" i="8"/>
  <c r="AF138" i="8"/>
  <c r="AF121" i="8"/>
  <c r="AK82" i="8"/>
  <c r="AF134" i="8"/>
  <c r="AK126" i="8"/>
  <c r="AF8" i="8"/>
  <c r="AK139" i="8"/>
  <c r="AK94" i="8"/>
  <c r="AF50" i="8"/>
  <c r="AK102" i="8"/>
  <c r="AK20" i="8"/>
  <c r="AF20" i="8"/>
  <c r="AF16" i="8"/>
  <c r="AF145" i="8"/>
  <c r="AK122" i="8"/>
  <c r="AK77" i="8"/>
  <c r="AF48" i="8"/>
  <c r="AK133" i="8"/>
  <c r="AF133" i="8"/>
  <c r="AF63" i="8"/>
  <c r="AF101" i="8"/>
  <c r="AK44" i="8"/>
  <c r="AF109" i="8"/>
  <c r="AK33" i="8"/>
  <c r="AF84" i="8"/>
  <c r="AF47" i="8"/>
  <c r="AK96" i="8"/>
  <c r="AF96" i="8"/>
  <c r="AK142" i="8"/>
  <c r="AK105" i="8"/>
  <c r="AK111" i="8"/>
  <c r="AF129" i="8"/>
  <c r="AK119" i="8"/>
  <c r="AF75" i="8"/>
  <c r="AF26" i="8"/>
  <c r="AF19" i="8"/>
  <c r="AF70" i="8"/>
  <c r="AK70" i="8"/>
  <c r="AK106" i="8"/>
  <c r="AK11" i="8"/>
  <c r="AK146" i="8"/>
  <c r="AK71" i="8"/>
  <c r="AK27" i="8"/>
  <c r="AK135" i="8"/>
  <c r="AK49" i="8"/>
  <c r="AF93" i="8"/>
  <c r="AK32" i="8"/>
  <c r="AK42" i="8"/>
  <c r="AK57" i="8"/>
  <c r="AF86" i="8"/>
  <c r="J79" i="1" s="1"/>
  <c r="AK124" i="8"/>
  <c r="AK131" i="8"/>
  <c r="J143" i="9"/>
  <c r="J146" i="9"/>
  <c r="J142" i="9"/>
  <c r="J98" i="9"/>
  <c r="J50" i="9"/>
  <c r="J141" i="9"/>
  <c r="J117" i="9"/>
  <c r="J40" i="9"/>
  <c r="J134" i="9"/>
  <c r="J131" i="9"/>
  <c r="J4" i="9"/>
  <c r="J97" i="9"/>
  <c r="J10" i="9"/>
  <c r="J79" i="9"/>
  <c r="J48" i="9"/>
  <c r="J99" i="9"/>
  <c r="J93" i="9"/>
  <c r="J113" i="9"/>
  <c r="J82" i="9"/>
  <c r="J85" i="9"/>
  <c r="J135" i="9"/>
  <c r="J7" i="9"/>
  <c r="J13" i="9"/>
  <c r="J66" i="9"/>
  <c r="J35" i="9"/>
  <c r="J8" i="9"/>
  <c r="J109" i="9"/>
  <c r="J137" i="9"/>
  <c r="J22" i="9"/>
  <c r="J47" i="9"/>
  <c r="J54" i="9"/>
  <c r="J116" i="9"/>
  <c r="J45" i="9"/>
  <c r="J127" i="9"/>
  <c r="J125" i="9"/>
  <c r="J140" i="9"/>
  <c r="J90" i="9"/>
  <c r="J12" i="9"/>
  <c r="J53" i="9"/>
  <c r="J38" i="9"/>
  <c r="J74" i="9"/>
  <c r="J100" i="9"/>
  <c r="J126" i="9"/>
  <c r="J72" i="9"/>
  <c r="J11" i="9"/>
  <c r="J29" i="9"/>
  <c r="J138" i="9"/>
  <c r="J139" i="9"/>
  <c r="J118" i="9"/>
  <c r="J20" i="9"/>
  <c r="J42" i="9"/>
  <c r="J101" i="9"/>
  <c r="J9" i="9"/>
  <c r="J46" i="9"/>
  <c r="J44" i="9"/>
  <c r="J75" i="9"/>
  <c r="J30" i="9"/>
  <c r="J136" i="9"/>
  <c r="J86" i="9"/>
  <c r="J132" i="9"/>
  <c r="J21" i="9"/>
  <c r="J5" i="9"/>
  <c r="J128" i="9"/>
  <c r="J96" i="9"/>
  <c r="J95" i="9"/>
  <c r="J60" i="9"/>
  <c r="J69" i="9"/>
  <c r="J24" i="9"/>
  <c r="J55" i="9"/>
  <c r="J36" i="9"/>
  <c r="J52" i="9"/>
  <c r="J119" i="9"/>
  <c r="J70" i="9"/>
  <c r="J68" i="9"/>
  <c r="J58" i="9"/>
  <c r="J78" i="9"/>
  <c r="J81" i="9"/>
  <c r="J102" i="9"/>
  <c r="J89" i="9"/>
  <c r="J133" i="9"/>
  <c r="J108" i="9"/>
  <c r="J122" i="9"/>
  <c r="J114" i="9"/>
  <c r="J120" i="9"/>
  <c r="J51" i="9"/>
  <c r="J62" i="9"/>
  <c r="J106" i="9"/>
  <c r="J56" i="9"/>
  <c r="J61" i="9"/>
  <c r="J27" i="9"/>
  <c r="J64" i="9"/>
  <c r="J57" i="9"/>
  <c r="J105" i="9"/>
  <c r="J17" i="9"/>
  <c r="J88" i="9"/>
  <c r="J15" i="9"/>
  <c r="J59" i="9"/>
  <c r="J28" i="9"/>
  <c r="J26" i="9"/>
  <c r="J123" i="9"/>
  <c r="J91" i="9"/>
  <c r="J110" i="9"/>
  <c r="J65" i="9"/>
  <c r="J49" i="9"/>
  <c r="J73" i="9"/>
  <c r="J124" i="9"/>
  <c r="J107" i="9"/>
  <c r="J83" i="9"/>
  <c r="J33" i="9"/>
  <c r="J112" i="9"/>
  <c r="J111" i="9"/>
  <c r="J25" i="9"/>
  <c r="J37" i="9"/>
  <c r="J16" i="9"/>
  <c r="J63" i="9"/>
  <c r="J71" i="9"/>
  <c r="J121" i="9"/>
  <c r="J32" i="9"/>
  <c r="J14" i="9"/>
  <c r="J39" i="9"/>
  <c r="J92" i="9"/>
  <c r="J31" i="9"/>
  <c r="J76" i="9"/>
  <c r="J87" i="9"/>
  <c r="J115" i="9"/>
  <c r="J41" i="9"/>
  <c r="J67" i="9"/>
  <c r="J103" i="9"/>
  <c r="J129" i="9"/>
  <c r="J104" i="9"/>
  <c r="J18" i="9"/>
  <c r="J3" i="9"/>
  <c r="J84" i="9"/>
  <c r="J77" i="9"/>
  <c r="J80" i="9"/>
  <c r="J6" i="9"/>
  <c r="J19" i="9"/>
  <c r="J34" i="9"/>
  <c r="J130" i="9"/>
  <c r="J43" i="9"/>
  <c r="J23" i="9"/>
  <c r="J94" i="9"/>
  <c r="J52" i="1" l="1"/>
  <c r="H126" i="1"/>
  <c r="I133" i="1"/>
  <c r="I44" i="1"/>
  <c r="I18" i="1"/>
  <c r="I21" i="1"/>
  <c r="H49" i="1"/>
  <c r="H96" i="1"/>
  <c r="C115" i="1"/>
  <c r="D115" i="1" s="1"/>
  <c r="O6" i="1"/>
  <c r="O10" i="1"/>
  <c r="O14" i="1"/>
  <c r="O18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134" i="1"/>
  <c r="O138" i="1"/>
  <c r="O142" i="1"/>
  <c r="O146" i="1"/>
  <c r="O7" i="1"/>
  <c r="O11" i="1"/>
  <c r="O15" i="1"/>
  <c r="O19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143" i="1"/>
  <c r="O3" i="1"/>
  <c r="O4" i="1"/>
  <c r="O8" i="1"/>
  <c r="O12" i="1"/>
  <c r="O16" i="1"/>
  <c r="O20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144" i="1"/>
  <c r="O5" i="1"/>
  <c r="O9" i="1"/>
  <c r="O13" i="1"/>
  <c r="O17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145" i="1"/>
  <c r="T6" i="1"/>
  <c r="T69" i="1"/>
  <c r="T128" i="1"/>
  <c r="T67" i="1"/>
  <c r="AM12" i="8"/>
  <c r="E56" i="4" s="1"/>
  <c r="H56" i="4" s="1"/>
  <c r="AM40" i="8"/>
  <c r="AM70" i="8"/>
  <c r="AM96" i="8"/>
  <c r="AM115" i="8"/>
  <c r="AM138" i="8"/>
  <c r="AM45" i="8"/>
  <c r="AM20" i="8"/>
  <c r="AM113" i="8"/>
  <c r="E85" i="4" s="1"/>
  <c r="H85" i="4" s="1"/>
  <c r="T8" i="1"/>
  <c r="T93" i="1"/>
  <c r="T15" i="1"/>
  <c r="T77" i="1"/>
  <c r="AM23" i="8"/>
  <c r="AM53" i="8"/>
  <c r="AM143" i="8"/>
  <c r="AM100" i="8"/>
  <c r="AM130" i="8"/>
  <c r="T104" i="1"/>
  <c r="T83" i="1"/>
  <c r="AM60" i="8"/>
  <c r="AM104" i="8"/>
  <c r="E68" i="4" s="1"/>
  <c r="AM145" i="8"/>
  <c r="AM129" i="8"/>
  <c r="AM112" i="8"/>
  <c r="E50" i="4" s="1"/>
  <c r="T44" i="1"/>
  <c r="T45" i="1"/>
  <c r="AM31" i="8"/>
  <c r="AM91" i="8"/>
  <c r="AM128" i="8"/>
  <c r="AM81" i="8"/>
  <c r="E35" i="4" s="1"/>
  <c r="AM107" i="8"/>
  <c r="E45" i="4" s="1"/>
  <c r="T31" i="1"/>
  <c r="T145" i="1"/>
  <c r="AM25" i="8"/>
  <c r="AM85" i="8"/>
  <c r="E62" i="4" s="1"/>
  <c r="AM123" i="8"/>
  <c r="AM49" i="8"/>
  <c r="AM29" i="8"/>
  <c r="AM46" i="8"/>
  <c r="T121" i="1"/>
  <c r="AM11" i="8"/>
  <c r="AM69" i="8"/>
  <c r="E61" i="4" s="1"/>
  <c r="AM114" i="8"/>
  <c r="AM119" i="8"/>
  <c r="AM67" i="8"/>
  <c r="AM83" i="8"/>
  <c r="T79" i="1"/>
  <c r="T107" i="1"/>
  <c r="T82" i="1"/>
  <c r="T63" i="1"/>
  <c r="T118" i="1"/>
  <c r="T28" i="1"/>
  <c r="T123" i="1"/>
  <c r="T89" i="1"/>
  <c r="T127" i="1"/>
  <c r="T120" i="1"/>
  <c r="T94" i="1"/>
  <c r="T27" i="1"/>
  <c r="T105" i="1"/>
  <c r="T23" i="1"/>
  <c r="T109" i="1"/>
  <c r="T20" i="1"/>
  <c r="T102" i="1"/>
  <c r="T74" i="1"/>
  <c r="T87" i="1"/>
  <c r="T72" i="1"/>
  <c r="T62" i="1"/>
  <c r="T32" i="1"/>
  <c r="T91" i="1"/>
  <c r="T138" i="1"/>
  <c r="T141" i="1"/>
  <c r="AM8" i="8"/>
  <c r="AM52" i="8"/>
  <c r="E13" i="4" s="1"/>
  <c r="AM82" i="8"/>
  <c r="AM87" i="8"/>
  <c r="AM122" i="8"/>
  <c r="AM146" i="8"/>
  <c r="AM10" i="8"/>
  <c r="AM117" i="8"/>
  <c r="AM74" i="8"/>
  <c r="E82" i="4" s="1"/>
  <c r="T40" i="1"/>
  <c r="T99" i="1"/>
  <c r="T134" i="1"/>
  <c r="T142" i="1"/>
  <c r="AM28" i="8"/>
  <c r="AM58" i="8"/>
  <c r="AM24" i="8"/>
  <c r="E63" i="4" s="1"/>
  <c r="AM47" i="8"/>
  <c r="T12" i="1"/>
  <c r="T133" i="1"/>
  <c r="AM32" i="8"/>
  <c r="AM35" i="8"/>
  <c r="AM109" i="8"/>
  <c r="E24" i="4" s="1"/>
  <c r="AM132" i="8"/>
  <c r="AM140" i="8"/>
  <c r="AM80" i="8"/>
  <c r="T90" i="1"/>
  <c r="T78" i="1"/>
  <c r="AM50" i="8"/>
  <c r="AM99" i="8"/>
  <c r="AM136" i="8"/>
  <c r="AM51" i="8"/>
  <c r="E37" i="4" s="1"/>
  <c r="AM141" i="8"/>
  <c r="T61" i="1"/>
  <c r="T21" i="1"/>
  <c r="AM37" i="8"/>
  <c r="AM94" i="8"/>
  <c r="AM131" i="8"/>
  <c r="AM88" i="8"/>
  <c r="AM84" i="8"/>
  <c r="T33" i="1"/>
  <c r="T55" i="1"/>
  <c r="AM26" i="8"/>
  <c r="AM79" i="8"/>
  <c r="AM124" i="8"/>
  <c r="E70" i="4" s="1"/>
  <c r="AM134" i="8"/>
  <c r="AM72" i="8"/>
  <c r="AM68" i="8"/>
  <c r="T103" i="1"/>
  <c r="T100" i="1"/>
  <c r="T57" i="1"/>
  <c r="T35" i="1"/>
  <c r="T112" i="1"/>
  <c r="T119" i="1"/>
  <c r="T26" i="1"/>
  <c r="T146" i="1"/>
  <c r="T30" i="1"/>
  <c r="T108" i="1"/>
  <c r="AM98" i="8"/>
  <c r="T84" i="1"/>
  <c r="T53" i="1"/>
  <c r="T16" i="1"/>
  <c r="T139" i="1"/>
  <c r="T68" i="1"/>
  <c r="T130" i="1"/>
  <c r="T18" i="1"/>
  <c r="T97" i="1"/>
  <c r="T70" i="1"/>
  <c r="T37" i="1"/>
  <c r="T59" i="1"/>
  <c r="T49" i="1"/>
  <c r="T113" i="1"/>
  <c r="AM27" i="8"/>
  <c r="AM57" i="8"/>
  <c r="AM89" i="8"/>
  <c r="AM103" i="8"/>
  <c r="AM125" i="8"/>
  <c r="AM39" i="8"/>
  <c r="AM137" i="8"/>
  <c r="E39" i="4" s="1"/>
  <c r="AM18" i="8"/>
  <c r="AM34" i="8"/>
  <c r="T110" i="1"/>
  <c r="AM62" i="8"/>
  <c r="AM36" i="8"/>
  <c r="E34" i="4" s="1"/>
  <c r="T60" i="1"/>
  <c r="T86" i="1"/>
  <c r="AM118" i="8"/>
  <c r="AM93" i="8"/>
  <c r="E64" i="4" s="1"/>
  <c r="T43" i="1"/>
  <c r="AM30" i="8"/>
  <c r="AM127" i="8"/>
  <c r="E26" i="4" s="1"/>
  <c r="AM78" i="8"/>
  <c r="T106" i="1"/>
  <c r="AM61" i="8"/>
  <c r="E60" i="4" s="1"/>
  <c r="AM105" i="8"/>
  <c r="AM38" i="8"/>
  <c r="E51" i="4" s="1"/>
  <c r="T73" i="1"/>
  <c r="AM101" i="8"/>
  <c r="AM19" i="8"/>
  <c r="T64" i="1"/>
  <c r="AM126" i="8"/>
  <c r="AM133" i="8"/>
  <c r="AM22" i="8"/>
  <c r="T17" i="1"/>
  <c r="T132" i="1"/>
  <c r="T111" i="1"/>
  <c r="T51" i="1"/>
  <c r="T144" i="1"/>
  <c r="T46" i="1"/>
  <c r="T80" i="1"/>
  <c r="T66" i="1"/>
  <c r="T19" i="1"/>
  <c r="T129" i="1"/>
  <c r="T135" i="1"/>
  <c r="T88" i="1"/>
  <c r="AM92" i="8"/>
  <c r="AM66" i="8"/>
  <c r="T71" i="1"/>
  <c r="T14" i="1"/>
  <c r="AM44" i="8"/>
  <c r="AM59" i="8"/>
  <c r="T75" i="1"/>
  <c r="AM48" i="8"/>
  <c r="AM135" i="8"/>
  <c r="AM3" i="8"/>
  <c r="E47" i="4" s="1"/>
  <c r="T136" i="1"/>
  <c r="AM75" i="8"/>
  <c r="AM55" i="8"/>
  <c r="AM4" i="8"/>
  <c r="E54" i="4" s="1"/>
  <c r="AM9" i="8"/>
  <c r="E6" i="4" s="1"/>
  <c r="AM111" i="8"/>
  <c r="E22" i="4" s="1"/>
  <c r="AM42" i="8"/>
  <c r="T96" i="1"/>
  <c r="AM56" i="8"/>
  <c r="AM144" i="8"/>
  <c r="AM73" i="8"/>
  <c r="E80" i="4" s="1"/>
  <c r="T54" i="1"/>
  <c r="T58" i="1"/>
  <c r="T11" i="1"/>
  <c r="T143" i="1"/>
  <c r="T48" i="1"/>
  <c r="T124" i="1"/>
  <c r="T122" i="1"/>
  <c r="T92" i="1"/>
  <c r="T85" i="1"/>
  <c r="T24" i="1"/>
  <c r="T126" i="1"/>
  <c r="AM6" i="8"/>
  <c r="E5" i="4" s="1"/>
  <c r="AM108" i="8"/>
  <c r="AM120" i="8"/>
  <c r="T114" i="1"/>
  <c r="AM7" i="8"/>
  <c r="AM64" i="8"/>
  <c r="AM110" i="8"/>
  <c r="T81" i="1"/>
  <c r="AM90" i="8"/>
  <c r="AM139" i="8"/>
  <c r="AM5" i="8"/>
  <c r="E4" i="4" s="1"/>
  <c r="T5" i="1"/>
  <c r="AM106" i="8"/>
  <c r="AM21" i="8"/>
  <c r="T95" i="1"/>
  <c r="AM54" i="8"/>
  <c r="AM15" i="8"/>
  <c r="AM77" i="8"/>
  <c r="T42" i="1"/>
  <c r="AM95" i="8"/>
  <c r="E65" i="4" s="1"/>
  <c r="AM63" i="8"/>
  <c r="E36" i="4" s="1"/>
  <c r="T125" i="1"/>
  <c r="T137" i="1"/>
  <c r="T115" i="1"/>
  <c r="T56" i="1"/>
  <c r="T52" i="1"/>
  <c r="T7" i="1"/>
  <c r="T101" i="1"/>
  <c r="T47" i="1"/>
  <c r="T65" i="1"/>
  <c r="T25" i="1"/>
  <c r="AM43" i="8"/>
  <c r="T50" i="1"/>
  <c r="AM33" i="8"/>
  <c r="AM41" i="8"/>
  <c r="T9" i="1"/>
  <c r="T131" i="1"/>
  <c r="AM13" i="8"/>
  <c r="AM71" i="8"/>
  <c r="AM116" i="8"/>
  <c r="T29" i="1"/>
  <c r="AM97" i="8"/>
  <c r="AM86" i="8"/>
  <c r="T13" i="1"/>
  <c r="AM16" i="8"/>
  <c r="AM121" i="8"/>
  <c r="AM14" i="8"/>
  <c r="T116" i="1"/>
  <c r="AM65" i="8"/>
  <c r="AM17" i="8"/>
  <c r="AM142" i="8"/>
  <c r="T38" i="1"/>
  <c r="AM102" i="8"/>
  <c r="AM76" i="8"/>
  <c r="T76" i="1"/>
  <c r="T10" i="1"/>
  <c r="T41" i="1"/>
  <c r="T4" i="1"/>
  <c r="T34" i="1"/>
  <c r="T140" i="1"/>
  <c r="T39" i="1"/>
  <c r="T98" i="1"/>
  <c r="T22" i="1"/>
  <c r="T117" i="1"/>
  <c r="T36" i="1"/>
  <c r="AG52" i="8"/>
  <c r="AH52" i="8" s="1"/>
  <c r="AI52" i="8" s="1"/>
  <c r="AG69" i="8"/>
  <c r="AG106" i="8"/>
  <c r="I22" i="1"/>
  <c r="I101" i="1"/>
  <c r="C81" i="1"/>
  <c r="D81" i="1" s="1"/>
  <c r="H23" i="1"/>
  <c r="J145" i="1"/>
  <c r="H47" i="1"/>
  <c r="J118" i="1"/>
  <c r="I110" i="1"/>
  <c r="I39" i="1"/>
  <c r="J83" i="1"/>
  <c r="J113" i="1"/>
  <c r="H85" i="1"/>
  <c r="I112" i="1"/>
  <c r="H70" i="1"/>
  <c r="I124" i="1"/>
  <c r="I37" i="1"/>
  <c r="H122" i="1"/>
  <c r="J67" i="1"/>
  <c r="C45" i="1"/>
  <c r="D45" i="1" s="1"/>
  <c r="J20" i="1"/>
  <c r="H19" i="1"/>
  <c r="H129" i="1"/>
  <c r="H113" i="1"/>
  <c r="K96" i="1"/>
  <c r="I134" i="1"/>
  <c r="H67" i="1"/>
  <c r="K41" i="1"/>
  <c r="H30" i="1"/>
  <c r="H128" i="1"/>
  <c r="H110" i="1"/>
  <c r="C142" i="1"/>
  <c r="D142" i="1" s="1"/>
  <c r="K106" i="1"/>
  <c r="K80" i="1"/>
  <c r="I29" i="1"/>
  <c r="I96" i="1"/>
  <c r="I82" i="1"/>
  <c r="I19" i="1"/>
  <c r="C124" i="1"/>
  <c r="D124" i="1" s="1"/>
  <c r="H112" i="1"/>
  <c r="J138" i="1"/>
  <c r="H57" i="1"/>
  <c r="J86" i="1"/>
  <c r="J124" i="1"/>
  <c r="J18" i="1"/>
  <c r="H132" i="1"/>
  <c r="H43" i="1"/>
  <c r="H116" i="1"/>
  <c r="H66" i="1"/>
  <c r="J120" i="1"/>
  <c r="J81" i="1"/>
  <c r="J5" i="1"/>
  <c r="I52" i="1"/>
  <c r="C66" i="1"/>
  <c r="D66" i="1" s="1"/>
  <c r="I59" i="1"/>
  <c r="C31" i="1"/>
  <c r="D31" i="1" s="1"/>
  <c r="J136" i="1"/>
  <c r="H138" i="1"/>
  <c r="I88" i="1"/>
  <c r="H136" i="1"/>
  <c r="C109" i="1"/>
  <c r="D109" i="1" s="1"/>
  <c r="K120" i="1"/>
  <c r="H145" i="1"/>
  <c r="C122" i="1"/>
  <c r="D122" i="1" s="1"/>
  <c r="C136" i="1"/>
  <c r="D136" i="1" s="1"/>
  <c r="I5" i="1"/>
  <c r="H13" i="1"/>
  <c r="J132" i="1"/>
  <c r="I56" i="1"/>
  <c r="I102" i="1"/>
  <c r="H86" i="1"/>
  <c r="J115" i="1"/>
  <c r="I62" i="1"/>
  <c r="J147" i="9"/>
  <c r="K51" i="1"/>
  <c r="H78" i="1"/>
  <c r="I32" i="1"/>
  <c r="I120" i="1"/>
  <c r="H3" i="1"/>
  <c r="J70" i="1"/>
  <c r="C13" i="1"/>
  <c r="D13" i="1" s="1"/>
  <c r="J78" i="1"/>
  <c r="C110" i="1"/>
  <c r="D110" i="1" s="1"/>
  <c r="I140" i="1"/>
  <c r="H41" i="1"/>
  <c r="I142" i="1"/>
  <c r="H123" i="1"/>
  <c r="C4" i="1"/>
  <c r="D4" i="1" s="1"/>
  <c r="C29" i="1"/>
  <c r="D29" i="1" s="1"/>
  <c r="I71" i="1"/>
  <c r="K23" i="1"/>
  <c r="I61" i="1"/>
  <c r="I141" i="1"/>
  <c r="J85" i="1"/>
  <c r="I64" i="1"/>
  <c r="I113" i="1"/>
  <c r="C15" i="1"/>
  <c r="D15" i="1" s="1"/>
  <c r="C40" i="1"/>
  <c r="D40" i="1" s="1"/>
  <c r="H115" i="1"/>
  <c r="I119" i="1"/>
  <c r="I42" i="1"/>
  <c r="I91" i="1"/>
  <c r="C24" i="1"/>
  <c r="D24" i="1" s="1"/>
  <c r="J75" i="1"/>
  <c r="J43" i="1"/>
  <c r="K46" i="1"/>
  <c r="J9" i="1"/>
  <c r="K115" i="1"/>
  <c r="J63" i="1"/>
  <c r="J30" i="1"/>
  <c r="J58" i="1"/>
  <c r="J35" i="1"/>
  <c r="K146" i="1"/>
  <c r="J123" i="1"/>
  <c r="K18" i="1"/>
  <c r="J129" i="1"/>
  <c r="J13" i="1"/>
  <c r="J45" i="1"/>
  <c r="J73" i="1"/>
  <c r="J109" i="1"/>
  <c r="J16" i="1"/>
  <c r="J110" i="1"/>
  <c r="K56" i="1"/>
  <c r="K105" i="1"/>
  <c r="K82" i="1"/>
  <c r="J121" i="1"/>
  <c r="J31" i="1"/>
  <c r="J97" i="1"/>
  <c r="AG62" i="8"/>
  <c r="AG64" i="8"/>
  <c r="M94" i="1"/>
  <c r="M70" i="1"/>
  <c r="AL70" i="8"/>
  <c r="AG37" i="8"/>
  <c r="AG87" i="8"/>
  <c r="AL122" i="8"/>
  <c r="K122" i="1" s="1"/>
  <c r="AG111" i="8"/>
  <c r="M4" i="1"/>
  <c r="M59" i="1"/>
  <c r="M13" i="1"/>
  <c r="AG89" i="8"/>
  <c r="AG138" i="8"/>
  <c r="AG10" i="8"/>
  <c r="AL113" i="8"/>
  <c r="K113" i="1" s="1"/>
  <c r="AL43" i="8"/>
  <c r="K43" i="1" s="1"/>
  <c r="AL116" i="8"/>
  <c r="AL20" i="8"/>
  <c r="K20" i="1" s="1"/>
  <c r="AL96" i="8"/>
  <c r="AG91" i="8"/>
  <c r="AL126" i="8"/>
  <c r="AG75" i="8"/>
  <c r="AL13" i="8"/>
  <c r="AL141" i="8"/>
  <c r="K141" i="1" s="1"/>
  <c r="AG57" i="8"/>
  <c r="AL121" i="8"/>
  <c r="K121" i="1" s="1"/>
  <c r="AL105" i="8"/>
  <c r="AL146" i="8"/>
  <c r="AG86" i="8"/>
  <c r="AG30" i="8"/>
  <c r="AG78" i="8"/>
  <c r="AL27" i="8"/>
  <c r="AL3" i="8"/>
  <c r="K3" i="1" s="1"/>
  <c r="AG141" i="8"/>
  <c r="AL80" i="8"/>
  <c r="AG60" i="8"/>
  <c r="AL51" i="8"/>
  <c r="AG50" i="8"/>
  <c r="AG45" i="8"/>
  <c r="M23" i="1"/>
  <c r="AL68" i="8"/>
  <c r="K68" i="1" s="1"/>
  <c r="AG119" i="8"/>
  <c r="AL135" i="8"/>
  <c r="M126" i="1"/>
  <c r="M39" i="1"/>
  <c r="M15" i="1"/>
  <c r="M78" i="1"/>
  <c r="AG33" i="8"/>
  <c r="AG14" i="8"/>
  <c r="AG103" i="8"/>
  <c r="AG125" i="8"/>
  <c r="M63" i="1"/>
  <c r="AG39" i="8"/>
  <c r="M16" i="1"/>
  <c r="AL93" i="8"/>
  <c r="M65" i="1"/>
  <c r="M140" i="1"/>
  <c r="AG11" i="8"/>
  <c r="AG115" i="8"/>
  <c r="AL18" i="8"/>
  <c r="M36" i="1"/>
  <c r="AG84" i="8"/>
  <c r="AL26" i="8"/>
  <c r="K26" i="1" s="1"/>
  <c r="AL44" i="8"/>
  <c r="K44" i="1" s="1"/>
  <c r="M84" i="1"/>
  <c r="M20" i="1"/>
  <c r="AG139" i="8"/>
  <c r="AG88" i="8"/>
  <c r="M53" i="1"/>
  <c r="AG48" i="8"/>
  <c r="M135" i="1"/>
  <c r="AG114" i="8"/>
  <c r="M71" i="1"/>
  <c r="AL140" i="8"/>
  <c r="K140" i="1" s="1"/>
  <c r="AG77" i="8"/>
  <c r="M127" i="1"/>
  <c r="AF46" i="8"/>
  <c r="J104" i="8"/>
  <c r="H104" i="1" s="1"/>
  <c r="F72" i="8"/>
  <c r="AF128" i="8"/>
  <c r="J84" i="1" s="1"/>
  <c r="AL106" i="8"/>
  <c r="G133" i="1"/>
  <c r="K125" i="8"/>
  <c r="I117" i="1" s="1"/>
  <c r="J5" i="8"/>
  <c r="H7" i="1" s="1"/>
  <c r="J139" i="8"/>
  <c r="H111" i="8"/>
  <c r="F111" i="1" s="1"/>
  <c r="AF42" i="8"/>
  <c r="J77" i="8"/>
  <c r="H40" i="1" s="1"/>
  <c r="F146" i="8"/>
  <c r="J111" i="8"/>
  <c r="H51" i="1" s="1"/>
  <c r="K41" i="8"/>
  <c r="I41" i="1" s="1"/>
  <c r="AK72" i="8"/>
  <c r="H120" i="8"/>
  <c r="K36" i="8"/>
  <c r="I38" i="1" s="1"/>
  <c r="K3" i="8"/>
  <c r="I10" i="1" s="1"/>
  <c r="G42" i="1"/>
  <c r="J117" i="8"/>
  <c r="K132" i="8"/>
  <c r="I30" i="1" s="1"/>
  <c r="AF56" i="8"/>
  <c r="M83" i="1"/>
  <c r="M57" i="1"/>
  <c r="M29" i="1"/>
  <c r="H20" i="1"/>
  <c r="K26" i="8"/>
  <c r="I43" i="1" s="1"/>
  <c r="I51" i="1"/>
  <c r="F95" i="8"/>
  <c r="G35" i="1"/>
  <c r="J11" i="8"/>
  <c r="H16" i="1" s="1"/>
  <c r="K28" i="8"/>
  <c r="AK28" i="8"/>
  <c r="AF60" i="8"/>
  <c r="J99" i="1" s="1"/>
  <c r="J60" i="8"/>
  <c r="H99" i="1" s="1"/>
  <c r="AL142" i="8"/>
  <c r="K142" i="1" s="1"/>
  <c r="K92" i="8"/>
  <c r="J6" i="1"/>
  <c r="AF126" i="8"/>
  <c r="J14" i="1" s="1"/>
  <c r="H142" i="8"/>
  <c r="G39" i="1"/>
  <c r="M80" i="1"/>
  <c r="AF87" i="8"/>
  <c r="J55" i="1" s="1"/>
  <c r="J87" i="8"/>
  <c r="H55" i="1" s="1"/>
  <c r="AK143" i="8"/>
  <c r="K143" i="8"/>
  <c r="J79" i="8"/>
  <c r="H79" i="1" s="1"/>
  <c r="F73" i="8"/>
  <c r="AF135" i="8"/>
  <c r="I111" i="1"/>
  <c r="AF90" i="8"/>
  <c r="J144" i="1" s="1"/>
  <c r="J90" i="8"/>
  <c r="H144" i="1" s="1"/>
  <c r="K103" i="8"/>
  <c r="I139" i="1" s="1"/>
  <c r="F42" i="8"/>
  <c r="AF74" i="8"/>
  <c r="J34" i="1" s="1"/>
  <c r="J74" i="8"/>
  <c r="H74" i="1" s="1"/>
  <c r="AF65" i="8"/>
  <c r="J65" i="1" s="1"/>
  <c r="J65" i="8"/>
  <c r="J94" i="8"/>
  <c r="H105" i="1" s="1"/>
  <c r="AF94" i="8"/>
  <c r="AF140" i="8"/>
  <c r="J140" i="8"/>
  <c r="H82" i="1" s="1"/>
  <c r="AK108" i="8"/>
  <c r="AK137" i="8"/>
  <c r="K137" i="8"/>
  <c r="I137" i="1" s="1"/>
  <c r="J141" i="8"/>
  <c r="H141" i="1" s="1"/>
  <c r="AF141" i="8"/>
  <c r="J133" i="1" s="1"/>
  <c r="AF112" i="8"/>
  <c r="H105" i="8"/>
  <c r="J21" i="8"/>
  <c r="H73" i="1" s="1"/>
  <c r="M49" i="1"/>
  <c r="AK86" i="8"/>
  <c r="K86" i="8"/>
  <c r="I86" i="1" s="1"/>
  <c r="K118" i="8"/>
  <c r="I118" i="1" s="1"/>
  <c r="AK118" i="8"/>
  <c r="AF122" i="8"/>
  <c r="J19" i="1" s="1"/>
  <c r="K12" i="8"/>
  <c r="J31" i="8"/>
  <c r="H31" i="1" s="1"/>
  <c r="AK39" i="8"/>
  <c r="AK62" i="8"/>
  <c r="K7" i="8"/>
  <c r="I7" i="1" s="1"/>
  <c r="K136" i="8"/>
  <c r="I136" i="1" s="1"/>
  <c r="AK89" i="8"/>
  <c r="AF107" i="8"/>
  <c r="J54" i="1" s="1"/>
  <c r="J107" i="8"/>
  <c r="H107" i="1" s="1"/>
  <c r="K66" i="8"/>
  <c r="AK66" i="8"/>
  <c r="K77" i="1" s="1"/>
  <c r="G47" i="1"/>
  <c r="G116" i="1"/>
  <c r="H75" i="8"/>
  <c r="K78" i="8"/>
  <c r="AK83" i="8"/>
  <c r="E71" i="1"/>
  <c r="G140" i="1"/>
  <c r="E40" i="1"/>
  <c r="M129" i="1"/>
  <c r="K23" i="8"/>
  <c r="I23" i="1" s="1"/>
  <c r="E23" i="1"/>
  <c r="E60" i="1"/>
  <c r="F8" i="8"/>
  <c r="F25" i="8"/>
  <c r="M48" i="1"/>
  <c r="M52" i="1"/>
  <c r="G61" i="1"/>
  <c r="G69" i="1"/>
  <c r="E143" i="1"/>
  <c r="F50" i="8"/>
  <c r="F53" i="8"/>
  <c r="M95" i="1"/>
  <c r="M97" i="1"/>
  <c r="G102" i="1"/>
  <c r="G104" i="1"/>
  <c r="E115" i="1"/>
  <c r="F75" i="8"/>
  <c r="F143" i="8"/>
  <c r="G17" i="1"/>
  <c r="E119" i="1"/>
  <c r="E132" i="1"/>
  <c r="F99" i="8"/>
  <c r="F100" i="8"/>
  <c r="G86" i="1"/>
  <c r="E137" i="1"/>
  <c r="E66" i="1"/>
  <c r="F121" i="8"/>
  <c r="M120" i="1"/>
  <c r="M107" i="1"/>
  <c r="G141" i="1"/>
  <c r="G75" i="1"/>
  <c r="E113" i="1"/>
  <c r="E83" i="1"/>
  <c r="F145" i="8"/>
  <c r="K145" i="9" s="1"/>
  <c r="F105" i="8"/>
  <c r="M30" i="1"/>
  <c r="H81" i="8"/>
  <c r="E142" i="1"/>
  <c r="E128" i="1"/>
  <c r="F51" i="8"/>
  <c r="M32" i="1"/>
  <c r="M33" i="1"/>
  <c r="G108" i="1"/>
  <c r="E110" i="1"/>
  <c r="E57" i="1"/>
  <c r="F78" i="8"/>
  <c r="F107" i="8"/>
  <c r="M124" i="1"/>
  <c r="M10" i="1"/>
  <c r="E29" i="1"/>
  <c r="E129" i="1"/>
  <c r="F83" i="8"/>
  <c r="F74" i="8"/>
  <c r="M41" i="1"/>
  <c r="M122" i="1"/>
  <c r="G62" i="1"/>
  <c r="E54" i="1"/>
  <c r="C7" i="1"/>
  <c r="D7" i="1" s="1"/>
  <c r="I73" i="1"/>
  <c r="I6" i="1"/>
  <c r="H101" i="1"/>
  <c r="C131" i="1"/>
  <c r="D131" i="1" s="1"/>
  <c r="AK128" i="8"/>
  <c r="K90" i="8"/>
  <c r="I90" i="1" s="1"/>
  <c r="J118" i="8"/>
  <c r="J52" i="8"/>
  <c r="AF66" i="8"/>
  <c r="J77" i="1" s="1"/>
  <c r="E9" i="1"/>
  <c r="F11" i="8"/>
  <c r="M60" i="1"/>
  <c r="G50" i="1"/>
  <c r="E56" i="1"/>
  <c r="F126" i="8"/>
  <c r="M143" i="1"/>
  <c r="E87" i="1"/>
  <c r="F65" i="8"/>
  <c r="M115" i="1"/>
  <c r="G135" i="1"/>
  <c r="E44" i="1"/>
  <c r="F94" i="8"/>
  <c r="M132" i="1"/>
  <c r="E24" i="1"/>
  <c r="F111" i="8"/>
  <c r="M66" i="1"/>
  <c r="E22" i="1"/>
  <c r="F135" i="8"/>
  <c r="E30" i="1"/>
  <c r="F36" i="8"/>
  <c r="G136" i="1"/>
  <c r="G109" i="1"/>
  <c r="E10" i="1"/>
  <c r="E122" i="1"/>
  <c r="AF108" i="8"/>
  <c r="AK5" i="8"/>
  <c r="K104" i="8"/>
  <c r="I104" i="1" s="1"/>
  <c r="K31" i="8"/>
  <c r="I31" i="1" s="1"/>
  <c r="AF41" i="8"/>
  <c r="J3" i="1" s="1"/>
  <c r="J111" i="1"/>
  <c r="H121" i="8"/>
  <c r="G8" i="1"/>
  <c r="G7" i="1"/>
  <c r="AF36" i="8"/>
  <c r="J38" i="1" s="1"/>
  <c r="AF114" i="8"/>
  <c r="AK110" i="8"/>
  <c r="G18" i="1"/>
  <c r="K55" i="8"/>
  <c r="I20" i="1" s="1"/>
  <c r="AK21" i="8"/>
  <c r="M58" i="1"/>
  <c r="M101" i="1"/>
  <c r="E130" i="1"/>
  <c r="G132" i="1"/>
  <c r="M3" i="1"/>
  <c r="M38" i="1"/>
  <c r="M77" i="1"/>
  <c r="M31" i="1"/>
  <c r="AF62" i="8"/>
  <c r="M121" i="1"/>
  <c r="E127" i="1"/>
  <c r="E6" i="1"/>
  <c r="AF69" i="8"/>
  <c r="J104" i="1" s="1"/>
  <c r="G6" i="1"/>
  <c r="AK37" i="8"/>
  <c r="AF7" i="8"/>
  <c r="J11" i="1" s="1"/>
  <c r="AL78" i="8"/>
  <c r="G76" i="1"/>
  <c r="F86" i="8"/>
  <c r="AK60" i="8"/>
  <c r="G23" i="1"/>
  <c r="F26" i="8"/>
  <c r="F101" i="8"/>
  <c r="E67" i="1"/>
  <c r="J44" i="8"/>
  <c r="H35" i="1" s="1"/>
  <c r="G12" i="1"/>
  <c r="G123" i="1"/>
  <c r="G37" i="1"/>
  <c r="G27" i="1"/>
  <c r="E43" i="1"/>
  <c r="F27" i="8"/>
  <c r="F30" i="8"/>
  <c r="F58" i="8"/>
  <c r="F79" i="8"/>
  <c r="E138" i="1"/>
  <c r="F102" i="8"/>
  <c r="G13" i="1"/>
  <c r="H15" i="8"/>
  <c r="AF57" i="8"/>
  <c r="J96" i="1" s="1"/>
  <c r="AK64" i="8"/>
  <c r="K102" i="1" s="1"/>
  <c r="G66" i="1"/>
  <c r="K93" i="8"/>
  <c r="I146" i="1" s="1"/>
  <c r="G146" i="1"/>
  <c r="AF23" i="8"/>
  <c r="J23" i="1" s="1"/>
  <c r="AL16" i="8"/>
  <c r="K16" i="1" s="1"/>
  <c r="H86" i="8"/>
  <c r="M116" i="1"/>
  <c r="M112" i="1"/>
  <c r="M130" i="1"/>
  <c r="G103" i="1"/>
  <c r="H65" i="8"/>
  <c r="M105" i="1"/>
  <c r="M106" i="1"/>
  <c r="M119" i="1"/>
  <c r="G78" i="1"/>
  <c r="H123" i="8"/>
  <c r="M27" i="1"/>
  <c r="G94" i="1"/>
  <c r="H54" i="8"/>
  <c r="F62" i="8"/>
  <c r="G131" i="1"/>
  <c r="F41" i="8"/>
  <c r="I70" i="1"/>
  <c r="C19" i="1"/>
  <c r="D19" i="1" s="1"/>
  <c r="M136" i="1"/>
  <c r="M93" i="1"/>
  <c r="G82" i="1"/>
  <c r="H140" i="8"/>
  <c r="G100" i="1"/>
  <c r="H99" i="8"/>
  <c r="I106" i="1"/>
  <c r="J18" i="8"/>
  <c r="H18" i="1" s="1"/>
  <c r="AF100" i="8"/>
  <c r="J100" i="1" s="1"/>
  <c r="J100" i="8"/>
  <c r="H100" i="1" s="1"/>
  <c r="M137" i="1"/>
  <c r="F108" i="8"/>
  <c r="K54" i="8"/>
  <c r="I94" i="1" s="1"/>
  <c r="AK54" i="8"/>
  <c r="J89" i="8"/>
  <c r="H89" i="1" s="1"/>
  <c r="AF89" i="8"/>
  <c r="J89" i="1" s="1"/>
  <c r="I138" i="1"/>
  <c r="F116" i="8"/>
  <c r="AK84" i="8"/>
  <c r="K84" i="8"/>
  <c r="I84" i="1" s="1"/>
  <c r="C60" i="1"/>
  <c r="D60" i="1" s="1"/>
  <c r="K47" i="8"/>
  <c r="I47" i="1" s="1"/>
  <c r="AK47" i="8"/>
  <c r="G90" i="1"/>
  <c r="F90" i="8"/>
  <c r="M51" i="1"/>
  <c r="J88" i="8"/>
  <c r="H88" i="1" s="1"/>
  <c r="AF88" i="8"/>
  <c r="J4" i="1" s="1"/>
  <c r="I135" i="1"/>
  <c r="F6" i="8"/>
  <c r="H27" i="8"/>
  <c r="F33" i="8"/>
  <c r="AK48" i="8"/>
  <c r="K48" i="8"/>
  <c r="I48" i="1" s="1"/>
  <c r="G92" i="1"/>
  <c r="H53" i="8"/>
  <c r="G95" i="1"/>
  <c r="M104" i="1"/>
  <c r="M114" i="1"/>
  <c r="F93" i="8"/>
  <c r="M17" i="1"/>
  <c r="K97" i="8"/>
  <c r="AK97" i="8"/>
  <c r="K132" i="1" s="1"/>
  <c r="H102" i="8"/>
  <c r="M42" i="1"/>
  <c r="K109" i="8"/>
  <c r="AK109" i="8"/>
  <c r="C22" i="1"/>
  <c r="D22" i="1" s="1"/>
  <c r="K144" i="8"/>
  <c r="AK144" i="8"/>
  <c r="J146" i="8"/>
  <c r="AF146" i="8"/>
  <c r="J26" i="1" s="1"/>
  <c r="F49" i="8"/>
  <c r="AK63" i="8"/>
  <c r="K63" i="8"/>
  <c r="I63" i="1" s="1"/>
  <c r="J10" i="8"/>
  <c r="H10" i="1" s="1"/>
  <c r="AF10" i="8"/>
  <c r="H72" i="1"/>
  <c r="F12" i="8"/>
  <c r="AL12" i="8"/>
  <c r="G30" i="1"/>
  <c r="H132" i="8"/>
  <c r="J137" i="8"/>
  <c r="H93" i="1" s="1"/>
  <c r="AF137" i="8"/>
  <c r="J93" i="1" s="1"/>
  <c r="G14" i="1"/>
  <c r="AK24" i="8"/>
  <c r="K125" i="1" s="1"/>
  <c r="K24" i="8"/>
  <c r="I24" i="1" s="1"/>
  <c r="F87" i="8"/>
  <c r="G20" i="1"/>
  <c r="H55" i="8"/>
  <c r="H109" i="1"/>
  <c r="G28" i="1"/>
  <c r="H23" i="8"/>
  <c r="J71" i="8"/>
  <c r="H114" i="1" s="1"/>
  <c r="AF71" i="8"/>
  <c r="G55" i="1"/>
  <c r="G19" i="1"/>
  <c r="C84" i="1"/>
  <c r="D84" i="1" s="1"/>
  <c r="G26" i="1"/>
  <c r="H146" i="8"/>
  <c r="G15" i="1"/>
  <c r="H10" i="8"/>
  <c r="F137" i="8"/>
  <c r="I87" i="1"/>
  <c r="M7" i="1"/>
  <c r="I68" i="1"/>
  <c r="M8" i="1"/>
  <c r="M69" i="1"/>
  <c r="AK19" i="8"/>
  <c r="AK38" i="8"/>
  <c r="M90" i="1"/>
  <c r="M9" i="1"/>
  <c r="J142" i="8"/>
  <c r="H142" i="1" s="1"/>
  <c r="K35" i="8"/>
  <c r="I35" i="1" s="1"/>
  <c r="AF82" i="8"/>
  <c r="J64" i="1" s="1"/>
  <c r="C120" i="1"/>
  <c r="D120" i="1" s="1"/>
  <c r="AK25" i="8"/>
  <c r="K12" i="1" s="1"/>
  <c r="K25" i="8"/>
  <c r="AF27" i="8"/>
  <c r="J48" i="1" s="1"/>
  <c r="J27" i="8"/>
  <c r="H27" i="1" s="1"/>
  <c r="C119" i="1"/>
  <c r="D119" i="1" s="1"/>
  <c r="M19" i="1"/>
  <c r="C113" i="1"/>
  <c r="D113" i="1" s="1"/>
  <c r="M26" i="1"/>
  <c r="AK69" i="8"/>
  <c r="K104" i="1" s="1"/>
  <c r="M81" i="1"/>
  <c r="I57" i="1"/>
  <c r="H75" i="1"/>
  <c r="AK8" i="8"/>
  <c r="K27" i="1" s="1"/>
  <c r="K8" i="8"/>
  <c r="I27" i="1" s="1"/>
  <c r="F118" i="8"/>
  <c r="AF53" i="8"/>
  <c r="J92" i="1" s="1"/>
  <c r="J53" i="8"/>
  <c r="K99" i="8"/>
  <c r="I99" i="1" s="1"/>
  <c r="AK99" i="8"/>
  <c r="M43" i="1"/>
  <c r="M12" i="1"/>
  <c r="C35" i="1"/>
  <c r="D35" i="1" s="1"/>
  <c r="G44" i="1"/>
  <c r="J125" i="8"/>
  <c r="H125" i="1" s="1"/>
  <c r="AF125" i="8"/>
  <c r="J117" i="1" s="1"/>
  <c r="F38" i="8"/>
  <c r="G89" i="1"/>
  <c r="M96" i="1"/>
  <c r="J143" i="8"/>
  <c r="H130" i="1" s="1"/>
  <c r="AF143" i="8"/>
  <c r="M100" i="1"/>
  <c r="AF28" i="8"/>
  <c r="J50" i="1" s="1"/>
  <c r="J28" i="8"/>
  <c r="H50" i="1" s="1"/>
  <c r="C69" i="1"/>
  <c r="D69" i="1" s="1"/>
  <c r="AK85" i="8"/>
  <c r="K85" i="8"/>
  <c r="I85" i="1" s="1"/>
  <c r="F59" i="8"/>
  <c r="AF103" i="8"/>
  <c r="J139" i="1" s="1"/>
  <c r="J103" i="8"/>
  <c r="M79" i="1"/>
  <c r="G80" i="1"/>
  <c r="G40" i="1"/>
  <c r="H77" i="8"/>
  <c r="K4" i="8"/>
  <c r="I4" i="1" s="1"/>
  <c r="AK4" i="8"/>
  <c r="F23" i="8"/>
  <c r="J25" i="8"/>
  <c r="H25" i="1" s="1"/>
  <c r="AF25" i="8"/>
  <c r="J25" i="1" s="1"/>
  <c r="AK75" i="8"/>
  <c r="K116" i="1" s="1"/>
  <c r="K75" i="8"/>
  <c r="AL92" i="8"/>
  <c r="F92" i="8"/>
  <c r="M47" i="1"/>
  <c r="G56" i="1"/>
  <c r="G81" i="1"/>
  <c r="H47" i="8"/>
  <c r="C76" i="1"/>
  <c r="D76" i="1" s="1"/>
  <c r="K123" i="8"/>
  <c r="I123" i="1" s="1"/>
  <c r="AK123" i="8"/>
  <c r="K78" i="1" s="1"/>
  <c r="M25" i="1"/>
  <c r="M34" i="1"/>
  <c r="G125" i="1"/>
  <c r="AF33" i="8"/>
  <c r="J33" i="8"/>
  <c r="H33" i="1" s="1"/>
  <c r="F82" i="8"/>
  <c r="J91" i="8"/>
  <c r="AF91" i="8"/>
  <c r="J44" i="1" s="1"/>
  <c r="AF106" i="8"/>
  <c r="J24" i="1" s="1"/>
  <c r="J106" i="8"/>
  <c r="H106" i="1" s="1"/>
  <c r="AK101" i="8"/>
  <c r="K138" i="1" s="1"/>
  <c r="J32" i="8"/>
  <c r="AF32" i="8"/>
  <c r="K40" i="8"/>
  <c r="I40" i="1" s="1"/>
  <c r="AK40" i="8"/>
  <c r="G64" i="1"/>
  <c r="AF59" i="8"/>
  <c r="J39" i="1" s="1"/>
  <c r="J59" i="8"/>
  <c r="H59" i="1" s="1"/>
  <c r="AK114" i="8"/>
  <c r="K114" i="8"/>
  <c r="I114" i="1" s="1"/>
  <c r="AK14" i="8"/>
  <c r="K14" i="8"/>
  <c r="I14" i="1" s="1"/>
  <c r="AK30" i="8"/>
  <c r="K52" i="1" s="1"/>
  <c r="H61" i="8"/>
  <c r="K121" i="8"/>
  <c r="I121" i="1" s="1"/>
  <c r="G38" i="1"/>
  <c r="H36" i="8"/>
  <c r="K17" i="8"/>
  <c r="AK17" i="8"/>
  <c r="C46" i="1"/>
  <c r="D46" i="1" s="1"/>
  <c r="AF68" i="8"/>
  <c r="J127" i="1" s="1"/>
  <c r="J68" i="8"/>
  <c r="H68" i="1" s="1"/>
  <c r="AF130" i="8"/>
  <c r="J72" i="1" s="1"/>
  <c r="J61" i="8"/>
  <c r="H61" i="1" s="1"/>
  <c r="AF61" i="8"/>
  <c r="M138" i="1"/>
  <c r="M14" i="1"/>
  <c r="M103" i="1"/>
  <c r="AF15" i="8"/>
  <c r="J98" i="1" s="1"/>
  <c r="J15" i="8"/>
  <c r="G118" i="1"/>
  <c r="F141" i="8"/>
  <c r="M68" i="1"/>
  <c r="G129" i="1"/>
  <c r="J6" i="8"/>
  <c r="H6" i="1" s="1"/>
  <c r="AF116" i="8"/>
  <c r="J39" i="8"/>
  <c r="H38" i="1"/>
  <c r="AK81" i="8"/>
  <c r="M5" i="1"/>
  <c r="I80" i="1"/>
  <c r="K16" i="8"/>
  <c r="I16" i="1" s="1"/>
  <c r="F32" i="8"/>
  <c r="G22" i="1"/>
  <c r="G71" i="1"/>
  <c r="M54" i="1"/>
  <c r="F97" i="8"/>
  <c r="F55" i="8"/>
  <c r="I65" i="1"/>
  <c r="AF29" i="8"/>
  <c r="J29" i="8"/>
  <c r="H46" i="1" s="1"/>
  <c r="G21" i="1"/>
  <c r="H80" i="8"/>
  <c r="C10" i="1"/>
  <c r="D10" i="1" s="1"/>
  <c r="AK50" i="8"/>
  <c r="M73" i="1"/>
  <c r="AL41" i="8"/>
  <c r="K95" i="8"/>
  <c r="I95" i="1" s="1"/>
  <c r="E12" i="1"/>
  <c r="F89" i="8"/>
  <c r="M144" i="1"/>
  <c r="G137" i="1"/>
  <c r="H115" i="8"/>
  <c r="E72" i="1"/>
  <c r="F39" i="8"/>
  <c r="I46" i="1"/>
  <c r="AK58" i="8"/>
  <c r="F57" i="8"/>
  <c r="AK127" i="8"/>
  <c r="K127" i="8"/>
  <c r="I127" i="1" s="1"/>
  <c r="AF131" i="8"/>
  <c r="J22" i="1" s="1"/>
  <c r="J131" i="8"/>
  <c r="H22" i="1" s="1"/>
  <c r="AK129" i="8"/>
  <c r="K33" i="1" s="1"/>
  <c r="K129" i="8"/>
  <c r="G68" i="1"/>
  <c r="F98" i="8"/>
  <c r="K74" i="8"/>
  <c r="F139" i="8"/>
  <c r="G54" i="1"/>
  <c r="H107" i="8"/>
  <c r="G124" i="1"/>
  <c r="H22" i="8"/>
  <c r="J80" i="8"/>
  <c r="AF80" i="8"/>
  <c r="J21" i="1" s="1"/>
  <c r="K53" i="8"/>
  <c r="AK53" i="8"/>
  <c r="C106" i="1"/>
  <c r="D106" i="1" s="1"/>
  <c r="AF102" i="8"/>
  <c r="J134" i="1" s="1"/>
  <c r="J102" i="8"/>
  <c r="H134" i="1" s="1"/>
  <c r="G45" i="1"/>
  <c r="AF119" i="8"/>
  <c r="J119" i="1" s="1"/>
  <c r="J119" i="8"/>
  <c r="H119" i="1" s="1"/>
  <c r="AF76" i="8"/>
  <c r="J76" i="8"/>
  <c r="H76" i="1" s="1"/>
  <c r="M118" i="1"/>
  <c r="AK107" i="8"/>
  <c r="G110" i="1"/>
  <c r="H20" i="8"/>
  <c r="H108" i="1"/>
  <c r="J124" i="8"/>
  <c r="H124" i="1" s="1"/>
  <c r="AK130" i="8"/>
  <c r="G41" i="1"/>
  <c r="I15" i="1"/>
  <c r="J81" i="8"/>
  <c r="C77" i="1"/>
  <c r="D77" i="1" s="1"/>
  <c r="AF40" i="8"/>
  <c r="G144" i="1"/>
  <c r="H139" i="8"/>
  <c r="M61" i="1"/>
  <c r="H14" i="1"/>
  <c r="K98" i="8"/>
  <c r="I98" i="1" s="1"/>
  <c r="H83" i="1"/>
  <c r="H97" i="1"/>
  <c r="AF49" i="8"/>
  <c r="AK134" i="8"/>
  <c r="K59" i="1" s="1"/>
  <c r="H45" i="8"/>
  <c r="G49" i="1"/>
  <c r="H4" i="8"/>
  <c r="K100" i="8"/>
  <c r="K34" i="8"/>
  <c r="G128" i="1"/>
  <c r="E47" i="1"/>
  <c r="K67" i="8"/>
  <c r="I126" i="1" s="1"/>
  <c r="AK67" i="8"/>
  <c r="K126" i="1" s="1"/>
  <c r="G57" i="1"/>
  <c r="F18" i="8"/>
  <c r="G29" i="1"/>
  <c r="H113" i="8"/>
  <c r="E34" i="1"/>
  <c r="F68" i="8"/>
  <c r="M146" i="1"/>
  <c r="K9" i="8"/>
  <c r="I13" i="1" s="1"/>
  <c r="AK9" i="8"/>
  <c r="J12" i="8"/>
  <c r="AF12" i="8"/>
  <c r="J8" i="1" s="1"/>
  <c r="G60" i="1"/>
  <c r="F28" i="8"/>
  <c r="H69" i="1"/>
  <c r="E92" i="1"/>
  <c r="G115" i="1"/>
  <c r="AF95" i="8"/>
  <c r="J17" i="1" s="1"/>
  <c r="J95" i="8"/>
  <c r="H17" i="1" s="1"/>
  <c r="E36" i="1"/>
  <c r="F103" i="8"/>
  <c r="F125" i="8"/>
  <c r="H84" i="1"/>
  <c r="AK6" i="8"/>
  <c r="G93" i="1"/>
  <c r="F140" i="8"/>
  <c r="AF105" i="8"/>
  <c r="AF37" i="8"/>
  <c r="G63" i="1"/>
  <c r="K145" i="8"/>
  <c r="J64" i="8"/>
  <c r="H64" i="1" s="1"/>
  <c r="AF51" i="8"/>
  <c r="J47" i="1" s="1"/>
  <c r="C21" i="1"/>
  <c r="D21" i="1" s="1"/>
  <c r="C44" i="1"/>
  <c r="D44" i="1" s="1"/>
  <c r="C128" i="1"/>
  <c r="D128" i="1" s="1"/>
  <c r="C61" i="1"/>
  <c r="D61" i="1" s="1"/>
  <c r="C114" i="1"/>
  <c r="D114" i="1" s="1"/>
  <c r="C104" i="1"/>
  <c r="D104" i="1" s="1"/>
  <c r="H96" i="8"/>
  <c r="H7" i="8"/>
  <c r="H92" i="8"/>
  <c r="H134" i="8"/>
  <c r="H127" i="8"/>
  <c r="H31" i="8"/>
  <c r="H62" i="8"/>
  <c r="AL71" i="8"/>
  <c r="K71" i="1" s="1"/>
  <c r="H58" i="8"/>
  <c r="H143" i="8"/>
  <c r="H135" i="8"/>
  <c r="H30" i="8"/>
  <c r="H145" i="8"/>
  <c r="H128" i="8"/>
  <c r="H70" i="8"/>
  <c r="AL139" i="8"/>
  <c r="K139" i="1" s="1"/>
  <c r="AL22" i="8"/>
  <c r="K22" i="1" s="1"/>
  <c r="AG110" i="8"/>
  <c r="AG72" i="8"/>
  <c r="AL11" i="8"/>
  <c r="K11" i="1" s="1"/>
  <c r="AG94" i="8"/>
  <c r="AG117" i="8"/>
  <c r="AL46" i="8"/>
  <c r="AG23" i="8"/>
  <c r="AG83" i="8"/>
  <c r="AL57" i="8"/>
  <c r="AG49" i="8"/>
  <c r="AG133" i="8"/>
  <c r="AG53" i="8"/>
  <c r="AG122" i="8"/>
  <c r="AG68" i="8"/>
  <c r="AG113" i="8"/>
  <c r="AL94" i="8"/>
  <c r="AL32" i="8"/>
  <c r="K32" i="1" s="1"/>
  <c r="AL120" i="8"/>
  <c r="AG90" i="8"/>
  <c r="AG121" i="8"/>
  <c r="AL29" i="8"/>
  <c r="K29" i="1" s="1"/>
  <c r="AG140" i="8"/>
  <c r="AG18" i="8"/>
  <c r="AG26" i="8"/>
  <c r="AG82" i="8"/>
  <c r="AG135" i="8"/>
  <c r="AG5" i="8"/>
  <c r="AL111" i="8"/>
  <c r="K111" i="1" s="1"/>
  <c r="AG21" i="8"/>
  <c r="AL61" i="8"/>
  <c r="AL36" i="8"/>
  <c r="K36" i="1" s="1"/>
  <c r="AL79" i="8"/>
  <c r="AG44" i="8"/>
  <c r="AL104" i="8"/>
  <c r="AG112" i="8"/>
  <c r="AL87" i="8"/>
  <c r="K87" i="1" s="1"/>
  <c r="AL117" i="8"/>
  <c r="K117" i="1" s="1"/>
  <c r="AG43" i="8"/>
  <c r="AG3" i="8"/>
  <c r="AG40" i="8"/>
  <c r="AG56" i="8"/>
  <c r="AL145" i="8"/>
  <c r="K145" i="1" s="1"/>
  <c r="AG118" i="8"/>
  <c r="AL76" i="8"/>
  <c r="AL98" i="8"/>
  <c r="K98" i="1" s="1"/>
  <c r="AL10" i="8"/>
  <c r="K10" i="1" s="1"/>
  <c r="AL125" i="8"/>
  <c r="AG109" i="8"/>
  <c r="AL133" i="8"/>
  <c r="K133" i="1" s="1"/>
  <c r="AG36" i="8"/>
  <c r="AG17" i="8"/>
  <c r="AL90" i="8"/>
  <c r="K90" i="1" s="1"/>
  <c r="AL136" i="8"/>
  <c r="AG25" i="8"/>
  <c r="AG24" i="8"/>
  <c r="AG100" i="8"/>
  <c r="AG97" i="8"/>
  <c r="AL73" i="8"/>
  <c r="AG96" i="8"/>
  <c r="AL56" i="8"/>
  <c r="AL102" i="8"/>
  <c r="AG41" i="8"/>
  <c r="AL33" i="8"/>
  <c r="AL7" i="8"/>
  <c r="AG29" i="8"/>
  <c r="AG131" i="8"/>
  <c r="AG134" i="8"/>
  <c r="AL138" i="8"/>
  <c r="AL124" i="8"/>
  <c r="K124" i="1" s="1"/>
  <c r="AL15" i="8"/>
  <c r="K15" i="1" s="1"/>
  <c r="AG31" i="8"/>
  <c r="AG144" i="8"/>
  <c r="AG59" i="8"/>
  <c r="AL103" i="8"/>
  <c r="K103" i="1" s="1"/>
  <c r="AL132" i="8"/>
  <c r="AL74" i="8"/>
  <c r="K74" i="1" s="1"/>
  <c r="AG58" i="8"/>
  <c r="AG128" i="8"/>
  <c r="AL91" i="8"/>
  <c r="K91" i="1" s="1"/>
  <c r="AL112" i="8"/>
  <c r="K112" i="1" s="1"/>
  <c r="AG107" i="8"/>
  <c r="AG63" i="8"/>
  <c r="AG7" i="8"/>
  <c r="AG13" i="8"/>
  <c r="AG66" i="8"/>
  <c r="AG123" i="8"/>
  <c r="AG99" i="8"/>
  <c r="AG28" i="8"/>
  <c r="AG95" i="8"/>
  <c r="AL59" i="8"/>
  <c r="AL45" i="8"/>
  <c r="K45" i="1" s="1"/>
  <c r="AH34" i="8"/>
  <c r="AI34" i="8" s="1"/>
  <c r="AG42" i="8"/>
  <c r="AG4" i="8"/>
  <c r="AG16" i="8"/>
  <c r="AL65" i="8"/>
  <c r="AG124" i="8"/>
  <c r="AL35" i="8"/>
  <c r="K35" i="1" s="1"/>
  <c r="AG108" i="8"/>
  <c r="AG74" i="8"/>
  <c r="AG130" i="8"/>
  <c r="AG71" i="8"/>
  <c r="AG142" i="8"/>
  <c r="AL88" i="8"/>
  <c r="AG73" i="8"/>
  <c r="AG145" i="8"/>
  <c r="AG55" i="8"/>
  <c r="AL49" i="8"/>
  <c r="AG15" i="8"/>
  <c r="AG51" i="8"/>
  <c r="AG98" i="8"/>
  <c r="AG136" i="8"/>
  <c r="AG93" i="8"/>
  <c r="AG70" i="8"/>
  <c r="AG12" i="8"/>
  <c r="AG92" i="8"/>
  <c r="AG85" i="8"/>
  <c r="AG120" i="8"/>
  <c r="AG9" i="8"/>
  <c r="AG6" i="8"/>
  <c r="AG8" i="8"/>
  <c r="AG105" i="8"/>
  <c r="AL115" i="8"/>
  <c r="AL55" i="8"/>
  <c r="K55" i="1" s="1"/>
  <c r="AG129" i="8"/>
  <c r="AG65" i="8"/>
  <c r="AG104" i="8"/>
  <c r="AG46" i="8"/>
  <c r="AG137" i="8"/>
  <c r="AL100" i="8"/>
  <c r="AL52" i="8"/>
  <c r="AG19" i="8"/>
  <c r="AG116" i="8"/>
  <c r="AL95" i="8"/>
  <c r="K95" i="1" s="1"/>
  <c r="AG126" i="8"/>
  <c r="AG20" i="8"/>
  <c r="AG143" i="8"/>
  <c r="AG80" i="8"/>
  <c r="AL31" i="8"/>
  <c r="K31" i="1" s="1"/>
  <c r="M142" i="1"/>
  <c r="M92" i="1"/>
  <c r="M86" i="1"/>
  <c r="M76" i="1"/>
  <c r="AL119" i="8"/>
  <c r="K119" i="1" s="1"/>
  <c r="AG127" i="8"/>
  <c r="AG54" i="8"/>
  <c r="AG146" i="8"/>
  <c r="AL23" i="8"/>
  <c r="AG132" i="8"/>
  <c r="AG35" i="8"/>
  <c r="AG38" i="8"/>
  <c r="AG61" i="8"/>
  <c r="AG101" i="8"/>
  <c r="AG81" i="8"/>
  <c r="AG79" i="8"/>
  <c r="AG76" i="8"/>
  <c r="AL77" i="8"/>
  <c r="AG67" i="8"/>
  <c r="AL82" i="8"/>
  <c r="AL42" i="8"/>
  <c r="K42" i="1" s="1"/>
  <c r="AL34" i="8"/>
  <c r="K34" i="1" s="1"/>
  <c r="AL131" i="8"/>
  <c r="AG22" i="8"/>
  <c r="AG32" i="8"/>
  <c r="AG47" i="8"/>
  <c r="M28" i="1"/>
  <c r="M139" i="1"/>
  <c r="M123" i="1"/>
  <c r="M131" i="1"/>
  <c r="M45" i="1"/>
  <c r="M37" i="1"/>
  <c r="M21" i="1"/>
  <c r="M40" i="1"/>
  <c r="M108" i="1"/>
  <c r="M35" i="1"/>
  <c r="M64" i="1"/>
  <c r="M85" i="1"/>
  <c r="M82" i="1"/>
  <c r="M75" i="1"/>
  <c r="M113" i="1"/>
  <c r="M133" i="1"/>
  <c r="M46" i="1"/>
  <c r="M102" i="1"/>
  <c r="M110" i="1"/>
  <c r="M72" i="1"/>
  <c r="M44" i="1"/>
  <c r="M50" i="1"/>
  <c r="M109" i="1"/>
  <c r="M55" i="1"/>
  <c r="M6" i="1"/>
  <c r="M56" i="1"/>
  <c r="M74" i="1"/>
  <c r="M24" i="1"/>
  <c r="M141" i="1"/>
  <c r="M98" i="1"/>
  <c r="M89" i="1"/>
  <c r="M22" i="1"/>
  <c r="M62" i="1"/>
  <c r="M91" i="1"/>
  <c r="M117" i="1"/>
  <c r="G122" i="1"/>
  <c r="H34" i="8"/>
  <c r="G25" i="1"/>
  <c r="H78" i="8"/>
  <c r="G77" i="1"/>
  <c r="H66" i="8"/>
  <c r="G114" i="1"/>
  <c r="H71" i="8"/>
  <c r="G73" i="1"/>
  <c r="H21" i="8"/>
  <c r="G4" i="1"/>
  <c r="H88" i="8"/>
  <c r="G58" i="1"/>
  <c r="H118" i="8"/>
  <c r="G36" i="1"/>
  <c r="H100" i="8"/>
  <c r="H130" i="8"/>
  <c r="H17" i="8"/>
  <c r="H108" i="8"/>
  <c r="H83" i="8"/>
  <c r="H74" i="8"/>
  <c r="H138" i="8"/>
  <c r="H26" i="8"/>
  <c r="H101" i="8"/>
  <c r="H60" i="8"/>
  <c r="H38" i="8"/>
  <c r="H50" i="8"/>
  <c r="Q22" i="1" l="1"/>
  <c r="Q113" i="1"/>
  <c r="Q104" i="1"/>
  <c r="Q44" i="1"/>
  <c r="Q77" i="1"/>
  <c r="Q35" i="1"/>
  <c r="Q142" i="1"/>
  <c r="Q45" i="1"/>
  <c r="Q119" i="1"/>
  <c r="Q124" i="1"/>
  <c r="Q115" i="1"/>
  <c r="J56" i="1"/>
  <c r="C102" i="1"/>
  <c r="D102" i="1" s="1"/>
  <c r="C5" i="1"/>
  <c r="D5" i="1" s="1"/>
  <c r="C137" i="1"/>
  <c r="D137" i="1" s="1"/>
  <c r="C48" i="1"/>
  <c r="D48" i="1" s="1"/>
  <c r="C112" i="1"/>
  <c r="D112" i="1" s="1"/>
  <c r="C78" i="1"/>
  <c r="D78" i="1" s="1"/>
  <c r="Q78" i="1" s="1"/>
  <c r="C99" i="1"/>
  <c r="D99" i="1" s="1"/>
  <c r="C130" i="1"/>
  <c r="D130" i="1" s="1"/>
  <c r="K143" i="9"/>
  <c r="C85" i="1"/>
  <c r="D85" i="1" s="1"/>
  <c r="C98" i="1"/>
  <c r="D98" i="1" s="1"/>
  <c r="Q98" i="1" s="1"/>
  <c r="C23" i="1"/>
  <c r="D23" i="1" s="1"/>
  <c r="Q23" i="1" s="1"/>
  <c r="C6" i="1"/>
  <c r="D6" i="1" s="1"/>
  <c r="C3" i="1"/>
  <c r="D3" i="1" s="1"/>
  <c r="C14" i="1"/>
  <c r="D14" i="1" s="1"/>
  <c r="C16" i="1"/>
  <c r="D16" i="1" s="1"/>
  <c r="C34" i="1"/>
  <c r="D34" i="1" s="1"/>
  <c r="Q34" i="1" s="1"/>
  <c r="C75" i="1"/>
  <c r="D75" i="1" s="1"/>
  <c r="C80" i="1"/>
  <c r="D80" i="1" s="1"/>
  <c r="C68" i="1"/>
  <c r="D68" i="1" s="1"/>
  <c r="C91" i="1"/>
  <c r="D91" i="1" s="1"/>
  <c r="C37" i="1"/>
  <c r="D37" i="1" s="1"/>
  <c r="C87" i="1"/>
  <c r="D87" i="1" s="1"/>
  <c r="C33" i="1"/>
  <c r="D33" i="1" s="1"/>
  <c r="C88" i="1"/>
  <c r="D88" i="1" s="1"/>
  <c r="C52" i="1"/>
  <c r="D52" i="1" s="1"/>
  <c r="Q52" i="1" s="1"/>
  <c r="C54" i="1"/>
  <c r="D54" i="1" s="1"/>
  <c r="C67" i="1"/>
  <c r="D67" i="1" s="1"/>
  <c r="C53" i="1"/>
  <c r="D53" i="1" s="1"/>
  <c r="C117" i="1"/>
  <c r="D117" i="1" s="1"/>
  <c r="C138" i="1"/>
  <c r="D138" i="1" s="1"/>
  <c r="Q138" i="1" s="1"/>
  <c r="C20" i="1"/>
  <c r="D20" i="1" s="1"/>
  <c r="Q20" i="1" s="1"/>
  <c r="C141" i="1"/>
  <c r="D141" i="1" s="1"/>
  <c r="C59" i="1"/>
  <c r="D59" i="1" s="1"/>
  <c r="C49" i="1"/>
  <c r="D49" i="1" s="1"/>
  <c r="C144" i="1"/>
  <c r="D144" i="1" s="1"/>
  <c r="C70" i="1"/>
  <c r="D70" i="1" s="1"/>
  <c r="C47" i="1"/>
  <c r="D47" i="1" s="1"/>
  <c r="C17" i="1"/>
  <c r="D17" i="1" s="1"/>
  <c r="C72" i="1"/>
  <c r="D72" i="1" s="1"/>
  <c r="R4" i="1"/>
  <c r="O147" i="1"/>
  <c r="R17" i="1"/>
  <c r="T147" i="1"/>
  <c r="J87" i="1"/>
  <c r="I92" i="1"/>
  <c r="I132" i="1"/>
  <c r="F113" i="1"/>
  <c r="H65" i="1"/>
  <c r="J114" i="1"/>
  <c r="C79" i="1"/>
  <c r="D79" i="1" s="1"/>
  <c r="J42" i="1"/>
  <c r="F99" i="1"/>
  <c r="H111" i="1"/>
  <c r="F81" i="1"/>
  <c r="K136" i="1"/>
  <c r="P136" i="1" s="1"/>
  <c r="C11" i="1"/>
  <c r="D11" i="1" s="1"/>
  <c r="C135" i="1"/>
  <c r="D135" i="1" s="1"/>
  <c r="K131" i="1"/>
  <c r="F142" i="1"/>
  <c r="K100" i="1"/>
  <c r="S100" i="1" s="1"/>
  <c r="K79" i="1"/>
  <c r="K76" i="1"/>
  <c r="K7" i="1"/>
  <c r="K92" i="1"/>
  <c r="S92" i="1" s="1"/>
  <c r="K93" i="1"/>
  <c r="K65" i="1"/>
  <c r="K49" i="1"/>
  <c r="S49" i="1" s="1"/>
  <c r="K73" i="1"/>
  <c r="K88" i="1"/>
  <c r="K57" i="1"/>
  <c r="K94" i="1"/>
  <c r="K61" i="1"/>
  <c r="H77" i="1"/>
  <c r="F34" i="1"/>
  <c r="K70" i="1"/>
  <c r="K13" i="1"/>
  <c r="Q13" i="1" s="1"/>
  <c r="I25" i="1"/>
  <c r="F138" i="1"/>
  <c r="C58" i="1"/>
  <c r="D58" i="1" s="1"/>
  <c r="C143" i="1"/>
  <c r="D143" i="1" s="1"/>
  <c r="C145" i="1"/>
  <c r="D145" i="1" s="1"/>
  <c r="I8" i="1"/>
  <c r="K128" i="1"/>
  <c r="F26" i="1"/>
  <c r="F54" i="1"/>
  <c r="C92" i="1"/>
  <c r="D92" i="1" s="1"/>
  <c r="H137" i="1"/>
  <c r="H90" i="1"/>
  <c r="H118" i="1"/>
  <c r="H21" i="1"/>
  <c r="J61" i="1"/>
  <c r="H95" i="1"/>
  <c r="H71" i="1"/>
  <c r="H146" i="1"/>
  <c r="F38" i="1"/>
  <c r="F74" i="1"/>
  <c r="F78" i="1"/>
  <c r="F100" i="1"/>
  <c r="F70" i="1"/>
  <c r="F88" i="1"/>
  <c r="F15" i="1"/>
  <c r="F92" i="1"/>
  <c r="P124" i="1"/>
  <c r="C86" i="1"/>
  <c r="D86" i="1" s="1"/>
  <c r="C139" i="1"/>
  <c r="D139" i="1" s="1"/>
  <c r="C100" i="1"/>
  <c r="D100" i="1" s="1"/>
  <c r="C30" i="1"/>
  <c r="D30" i="1" s="1"/>
  <c r="C95" i="1"/>
  <c r="D95" i="1" s="1"/>
  <c r="C51" i="1"/>
  <c r="D51" i="1" s="1"/>
  <c r="C27" i="1"/>
  <c r="D27" i="1" s="1"/>
  <c r="C41" i="1"/>
  <c r="D41" i="1" s="1"/>
  <c r="C126" i="1"/>
  <c r="D126" i="1" s="1"/>
  <c r="F77" i="1"/>
  <c r="E59" i="4"/>
  <c r="E19" i="4"/>
  <c r="F130" i="1"/>
  <c r="I67" i="1"/>
  <c r="F30" i="1"/>
  <c r="C89" i="1"/>
  <c r="D89" i="1" s="1"/>
  <c r="J88" i="1"/>
  <c r="C105" i="1"/>
  <c r="D105" i="1" s="1"/>
  <c r="C36" i="1"/>
  <c r="D36" i="1" s="1"/>
  <c r="F31" i="1"/>
  <c r="E32" i="4"/>
  <c r="E77" i="4"/>
  <c r="P142" i="1"/>
  <c r="I54" i="1"/>
  <c r="E79" i="4"/>
  <c r="H79" i="4" s="1"/>
  <c r="E66" i="4"/>
  <c r="J69" i="1"/>
  <c r="C111" i="1"/>
  <c r="D111" i="1" s="1"/>
  <c r="F65" i="1"/>
  <c r="I3" i="1"/>
  <c r="I55" i="1"/>
  <c r="H5" i="1"/>
  <c r="F53" i="1"/>
  <c r="F21" i="1"/>
  <c r="C103" i="1"/>
  <c r="D103" i="1" s="1"/>
  <c r="C12" i="1"/>
  <c r="D12" i="1" s="1"/>
  <c r="F121" i="1"/>
  <c r="C118" i="1"/>
  <c r="D118" i="1" s="1"/>
  <c r="C83" i="1"/>
  <c r="D83" i="1" s="1"/>
  <c r="C108" i="1"/>
  <c r="D108" i="1" s="1"/>
  <c r="E12" i="4"/>
  <c r="J71" i="1"/>
  <c r="F134" i="1"/>
  <c r="C74" i="1"/>
  <c r="D74" i="1" s="1"/>
  <c r="P45" i="1"/>
  <c r="P31" i="1"/>
  <c r="H80" i="1"/>
  <c r="C94" i="1"/>
  <c r="D94" i="1" s="1"/>
  <c r="J15" i="1"/>
  <c r="P15" i="1" s="1"/>
  <c r="H11" i="1"/>
  <c r="J68" i="1"/>
  <c r="H28" i="1"/>
  <c r="E41" i="4"/>
  <c r="F101" i="1"/>
  <c r="E76" i="4"/>
  <c r="F145" i="1"/>
  <c r="J46" i="1"/>
  <c r="H94" i="1"/>
  <c r="C38" i="1"/>
  <c r="D38" i="1" s="1"/>
  <c r="C116" i="1"/>
  <c r="D116" i="1" s="1"/>
  <c r="I75" i="1"/>
  <c r="F58" i="1"/>
  <c r="H12" i="1"/>
  <c r="F20" i="1"/>
  <c r="C25" i="1"/>
  <c r="D25" i="1" s="1"/>
  <c r="I28" i="1"/>
  <c r="J7" i="1"/>
  <c r="J107" i="1"/>
  <c r="H60" i="1"/>
  <c r="H52" i="1"/>
  <c r="C73" i="1"/>
  <c r="D73" i="1" s="1"/>
  <c r="C65" i="1"/>
  <c r="D65" i="1" s="1"/>
  <c r="C107" i="1"/>
  <c r="D107" i="1" s="1"/>
  <c r="J82" i="1"/>
  <c r="E40" i="4"/>
  <c r="H131" i="1"/>
  <c r="E8" i="4"/>
  <c r="E16" i="4"/>
  <c r="C140" i="1"/>
  <c r="D140" i="1" s="1"/>
  <c r="C121" i="1"/>
  <c r="D121" i="1" s="1"/>
  <c r="E14" i="4"/>
  <c r="I100" i="1"/>
  <c r="C101" i="1"/>
  <c r="D101" i="1" s="1"/>
  <c r="I93" i="1"/>
  <c r="C18" i="1"/>
  <c r="D18" i="1" s="1"/>
  <c r="I26" i="1"/>
  <c r="F107" i="1"/>
  <c r="F4" i="1"/>
  <c r="E44" i="4"/>
  <c r="F44" i="4" s="1"/>
  <c r="I9" i="1"/>
  <c r="J130" i="1"/>
  <c r="C55" i="1"/>
  <c r="D55" i="1" s="1"/>
  <c r="Q55" i="1" s="1"/>
  <c r="J36" i="1"/>
  <c r="C32" i="1"/>
  <c r="D32" i="1" s="1"/>
  <c r="H91" i="1"/>
  <c r="J27" i="1"/>
  <c r="H29" i="1"/>
  <c r="I97" i="1"/>
  <c r="H81" i="1"/>
  <c r="I103" i="1"/>
  <c r="H143" i="1"/>
  <c r="F36" i="1"/>
  <c r="J32" i="1"/>
  <c r="E18" i="4"/>
  <c r="F18" i="4" s="1"/>
  <c r="F123" i="1"/>
  <c r="E43" i="4"/>
  <c r="H53" i="1"/>
  <c r="J112" i="1"/>
  <c r="C125" i="1"/>
  <c r="D125" i="1" s="1"/>
  <c r="C90" i="1"/>
  <c r="D90" i="1" s="1"/>
  <c r="P35" i="1"/>
  <c r="P44" i="1"/>
  <c r="P119" i="1"/>
  <c r="P120" i="1"/>
  <c r="P77" i="1"/>
  <c r="P115" i="1"/>
  <c r="P104" i="1"/>
  <c r="P113" i="1"/>
  <c r="P22" i="1"/>
  <c r="J102" i="1"/>
  <c r="J140" i="1"/>
  <c r="J29" i="1"/>
  <c r="P29" i="1" s="1"/>
  <c r="J91" i="1"/>
  <c r="E53" i="4"/>
  <c r="F53" i="4" s="1"/>
  <c r="J37" i="1"/>
  <c r="J28" i="1"/>
  <c r="J101" i="1"/>
  <c r="J62" i="1"/>
  <c r="K84" i="1"/>
  <c r="Q84" i="1" s="1"/>
  <c r="K114" i="1"/>
  <c r="J131" i="1"/>
  <c r="Q131" i="1" s="1"/>
  <c r="E58" i="4"/>
  <c r="E81" i="4"/>
  <c r="J76" i="1"/>
  <c r="J60" i="1"/>
  <c r="K40" i="1"/>
  <c r="E55" i="4"/>
  <c r="H55" i="4" s="1"/>
  <c r="E52" i="4"/>
  <c r="F52" i="4" s="1"/>
  <c r="J135" i="1"/>
  <c r="E74" i="4"/>
  <c r="H74" i="4" s="1"/>
  <c r="S139" i="1" s="1"/>
  <c r="J33" i="1"/>
  <c r="J57" i="1"/>
  <c r="K5" i="1"/>
  <c r="J105" i="1"/>
  <c r="K24" i="1"/>
  <c r="J146" i="1"/>
  <c r="J137" i="1"/>
  <c r="J80" i="1"/>
  <c r="J94" i="1"/>
  <c r="J125" i="1"/>
  <c r="J108" i="1"/>
  <c r="K135" i="1"/>
  <c r="E57" i="4"/>
  <c r="H57" i="4" s="1"/>
  <c r="S11" i="1" s="1"/>
  <c r="E38" i="4"/>
  <c r="E27" i="4"/>
  <c r="J95" i="1"/>
  <c r="J41" i="1"/>
  <c r="E30" i="4"/>
  <c r="J66" i="1"/>
  <c r="J90" i="1"/>
  <c r="J59" i="1"/>
  <c r="E69" i="4"/>
  <c r="E33" i="4"/>
  <c r="K6" i="1"/>
  <c r="E20" i="4"/>
  <c r="J103" i="1"/>
  <c r="J116" i="1"/>
  <c r="K137" i="1"/>
  <c r="J128" i="1"/>
  <c r="J106" i="1"/>
  <c r="Q106" i="1" s="1"/>
  <c r="E84" i="4"/>
  <c r="H84" i="4" s="1"/>
  <c r="E78" i="4"/>
  <c r="E72" i="4"/>
  <c r="E48" i="4"/>
  <c r="E73" i="4"/>
  <c r="J40" i="1"/>
  <c r="Q40" i="1" s="1"/>
  <c r="J51" i="1"/>
  <c r="J143" i="1"/>
  <c r="J49" i="1"/>
  <c r="J53" i="1"/>
  <c r="E83" i="4"/>
  <c r="H83" i="4" s="1"/>
  <c r="K107" i="1"/>
  <c r="K81" i="1"/>
  <c r="Q81" i="1" s="1"/>
  <c r="E71" i="4"/>
  <c r="J10" i="1"/>
  <c r="J126" i="1"/>
  <c r="E75" i="4"/>
  <c r="J12" i="1"/>
  <c r="E67" i="4"/>
  <c r="H67" i="4" s="1"/>
  <c r="J141" i="1"/>
  <c r="J74" i="1"/>
  <c r="J122" i="1"/>
  <c r="P122" i="1" s="1"/>
  <c r="E29" i="4"/>
  <c r="E25" i="4"/>
  <c r="E7" i="4"/>
  <c r="E15" i="4"/>
  <c r="E42" i="4"/>
  <c r="E49" i="4"/>
  <c r="E9" i="4"/>
  <c r="E10" i="4"/>
  <c r="E31" i="4"/>
  <c r="F31" i="4" s="1"/>
  <c r="E46" i="4"/>
  <c r="F46" i="4" s="1"/>
  <c r="E17" i="4"/>
  <c r="E28" i="4"/>
  <c r="F28" i="4" s="1"/>
  <c r="E23" i="4"/>
  <c r="E21" i="4"/>
  <c r="F21" i="4" s="1"/>
  <c r="E11" i="4"/>
  <c r="H87" i="1"/>
  <c r="AH84" i="8"/>
  <c r="AI84" i="8" s="1"/>
  <c r="AH78" i="8"/>
  <c r="AI78" i="8" s="1"/>
  <c r="AH45" i="8"/>
  <c r="AI45" i="8" s="1"/>
  <c r="E92" i="5" s="1"/>
  <c r="F92" i="5" s="1"/>
  <c r="AH30" i="8"/>
  <c r="AI30" i="8" s="1"/>
  <c r="AH111" i="8"/>
  <c r="AI111" i="8" s="1"/>
  <c r="AH75" i="8"/>
  <c r="AI75" i="8" s="1"/>
  <c r="AH50" i="8"/>
  <c r="AI50" i="8" s="1"/>
  <c r="AH11" i="8"/>
  <c r="AI11" i="8" s="1"/>
  <c r="E7" i="5" s="1"/>
  <c r="F7" i="5" s="1"/>
  <c r="AH7" i="8"/>
  <c r="AI7" i="8" s="1"/>
  <c r="AH86" i="8"/>
  <c r="AI86" i="8" s="1"/>
  <c r="S106" i="1"/>
  <c r="AH64" i="8"/>
  <c r="AI64" i="8" s="1"/>
  <c r="AH138" i="8"/>
  <c r="AI138" i="8" s="1"/>
  <c r="E86" i="4"/>
  <c r="S29" i="1"/>
  <c r="AL72" i="8"/>
  <c r="K72" i="1" s="1"/>
  <c r="S90" i="1"/>
  <c r="S145" i="1"/>
  <c r="F36" i="4"/>
  <c r="H62" i="4"/>
  <c r="H68" i="4"/>
  <c r="S87" i="1"/>
  <c r="S103" i="1"/>
  <c r="F24" i="4"/>
  <c r="F45" i="4"/>
  <c r="F51" i="4"/>
  <c r="F13" i="4"/>
  <c r="F5" i="4"/>
  <c r="AH48" i="8"/>
  <c r="AI48" i="8" s="1"/>
  <c r="S115" i="1"/>
  <c r="S32" i="1"/>
  <c r="F54" i="4"/>
  <c r="H64" i="4"/>
  <c r="F22" i="4"/>
  <c r="H70" i="4"/>
  <c r="S124" i="1" s="1"/>
  <c r="AH115" i="8"/>
  <c r="AI115" i="8" s="1"/>
  <c r="F37" i="4"/>
  <c r="S133" i="1"/>
  <c r="AH39" i="8"/>
  <c r="AI39" i="8" s="1"/>
  <c r="AH14" i="8"/>
  <c r="AI14" i="8" s="1"/>
  <c r="AH60" i="8"/>
  <c r="AI60" i="8" s="1"/>
  <c r="AH139" i="8"/>
  <c r="AI139" i="8" s="1"/>
  <c r="AH77" i="8"/>
  <c r="AI77" i="8" s="1"/>
  <c r="H85" i="8"/>
  <c r="F85" i="1" s="1"/>
  <c r="H122" i="8"/>
  <c r="F122" i="1" s="1"/>
  <c r="AL64" i="8"/>
  <c r="K64" i="1" s="1"/>
  <c r="H54" i="1"/>
  <c r="AL38" i="8"/>
  <c r="K38" i="1" s="1"/>
  <c r="G31" i="1"/>
  <c r="Q31" i="1" s="1"/>
  <c r="AL53" i="8"/>
  <c r="K53" i="1" s="1"/>
  <c r="H126" i="8"/>
  <c r="H32" i="8"/>
  <c r="H45" i="1"/>
  <c r="G121" i="1"/>
  <c r="AL62" i="8"/>
  <c r="K62" i="1" s="1"/>
  <c r="S62" i="1" s="1"/>
  <c r="G65" i="1"/>
  <c r="AL130" i="8"/>
  <c r="K130" i="1" s="1"/>
  <c r="C57" i="1"/>
  <c r="M128" i="1"/>
  <c r="G51" i="1"/>
  <c r="H69" i="8"/>
  <c r="I79" i="1"/>
  <c r="H64" i="8"/>
  <c r="F102" i="1" s="1"/>
  <c r="H141" i="8"/>
  <c r="H8" i="8"/>
  <c r="F27" i="1" s="1"/>
  <c r="AL81" i="8"/>
  <c r="AH62" i="8"/>
  <c r="AI62" i="8" s="1"/>
  <c r="AL86" i="8"/>
  <c r="K86" i="1" s="1"/>
  <c r="H97" i="8"/>
  <c r="F132" i="1" s="1"/>
  <c r="H109" i="8"/>
  <c r="F66" i="1" s="1"/>
  <c r="H84" i="8"/>
  <c r="C26" i="1"/>
  <c r="K142" i="9"/>
  <c r="AH141" i="8"/>
  <c r="AI141" i="8" s="1"/>
  <c r="H116" i="8"/>
  <c r="AH117" i="8"/>
  <c r="AI117" i="8" s="1"/>
  <c r="AH33" i="8"/>
  <c r="AI33" i="8" s="1"/>
  <c r="AL128" i="8"/>
  <c r="AL28" i="8"/>
  <c r="K28" i="1" s="1"/>
  <c r="H5" i="8"/>
  <c r="F7" i="1" s="1"/>
  <c r="AH114" i="8"/>
  <c r="AI114" i="8" s="1"/>
  <c r="H89" i="8"/>
  <c r="AH69" i="8"/>
  <c r="AI69" i="8" s="1"/>
  <c r="H13" i="8"/>
  <c r="F23" i="1" s="1"/>
  <c r="H14" i="8"/>
  <c r="F108" i="1" s="1"/>
  <c r="H114" i="8"/>
  <c r="AH10" i="8"/>
  <c r="AL5" i="8"/>
  <c r="F62" i="1"/>
  <c r="AL60" i="8"/>
  <c r="K60" i="1" s="1"/>
  <c r="H133" i="8"/>
  <c r="AL67" i="8"/>
  <c r="K67" i="1" s="1"/>
  <c r="AL108" i="8"/>
  <c r="K108" i="1" s="1"/>
  <c r="AL118" i="8"/>
  <c r="K118" i="1" s="1"/>
  <c r="AL66" i="8"/>
  <c r="K66" i="1" s="1"/>
  <c r="AL58" i="8"/>
  <c r="K58" i="1" s="1"/>
  <c r="I130" i="1"/>
  <c r="H110" i="8"/>
  <c r="F86" i="1" s="1"/>
  <c r="AH27" i="8"/>
  <c r="AI27" i="8" s="1"/>
  <c r="AL24" i="8"/>
  <c r="AH100" i="8"/>
  <c r="AI100" i="8" s="1"/>
  <c r="H90" i="8"/>
  <c r="AL89" i="8"/>
  <c r="K89" i="1" s="1"/>
  <c r="H95" i="8"/>
  <c r="F17" i="1" s="1"/>
  <c r="AL37" i="8"/>
  <c r="K37" i="1" s="1"/>
  <c r="H34" i="1"/>
  <c r="I145" i="1"/>
  <c r="H133" i="1"/>
  <c r="AL107" i="8"/>
  <c r="AL69" i="8"/>
  <c r="K69" i="1" s="1"/>
  <c r="AH128" i="8"/>
  <c r="AI128" i="8" s="1"/>
  <c r="AH119" i="8"/>
  <c r="AI119" i="8" s="1"/>
  <c r="AL123" i="8"/>
  <c r="K123" i="1" s="1"/>
  <c r="AL109" i="8"/>
  <c r="K109" i="1" s="1"/>
  <c r="Q109" i="1" s="1"/>
  <c r="AL143" i="8"/>
  <c r="K143" i="1" s="1"/>
  <c r="H25" i="8"/>
  <c r="F25" i="1" s="1"/>
  <c r="H44" i="8"/>
  <c r="M125" i="1"/>
  <c r="M134" i="1"/>
  <c r="I77" i="1"/>
  <c r="I50" i="1"/>
  <c r="G48" i="1"/>
  <c r="H117" i="8"/>
  <c r="F118" i="1" s="1"/>
  <c r="H40" i="8"/>
  <c r="F40" i="1" s="1"/>
  <c r="H136" i="8"/>
  <c r="F75" i="1" s="1"/>
  <c r="AL83" i="8"/>
  <c r="K83" i="1" s="1"/>
  <c r="AL50" i="8"/>
  <c r="K50" i="1" s="1"/>
  <c r="S50" i="1" s="1"/>
  <c r="AH87" i="8"/>
  <c r="AI87" i="8" s="1"/>
  <c r="AH90" i="8"/>
  <c r="AI90" i="8" s="1"/>
  <c r="I58" i="1"/>
  <c r="G46" i="1"/>
  <c r="H29" i="8"/>
  <c r="AH9" i="8"/>
  <c r="AI9" i="8" s="1"/>
  <c r="H18" i="8"/>
  <c r="F140" i="1" s="1"/>
  <c r="H37" i="8"/>
  <c r="F61" i="1" s="1"/>
  <c r="H59" i="8"/>
  <c r="F59" i="1" s="1"/>
  <c r="AL137" i="8"/>
  <c r="AL39" i="8"/>
  <c r="K39" i="1" s="1"/>
  <c r="H51" i="8"/>
  <c r="F47" i="1" s="1"/>
  <c r="I11" i="1"/>
  <c r="H103" i="1"/>
  <c r="AH38" i="8"/>
  <c r="AI38" i="8" s="1"/>
  <c r="H56" i="8"/>
  <c r="AL97" i="8"/>
  <c r="K97" i="1" s="1"/>
  <c r="AH56" i="8"/>
  <c r="AI56" i="8" s="1"/>
  <c r="H42" i="8"/>
  <c r="F80" i="1" s="1"/>
  <c r="AH89" i="8"/>
  <c r="AI89" i="8" s="1"/>
  <c r="I144" i="1"/>
  <c r="G134" i="1"/>
  <c r="AL75" i="8"/>
  <c r="K75" i="1" s="1"/>
  <c r="AH99" i="8"/>
  <c r="AI99" i="8" s="1"/>
  <c r="AH143" i="8"/>
  <c r="AI143" i="8" s="1"/>
  <c r="AH57" i="8"/>
  <c r="AI57" i="8" s="1"/>
  <c r="AL48" i="8"/>
  <c r="K48" i="1" s="1"/>
  <c r="AL14" i="8"/>
  <c r="K14" i="1" s="1"/>
  <c r="H12" i="8"/>
  <c r="C97" i="1"/>
  <c r="AL21" i="8"/>
  <c r="K21" i="1" s="1"/>
  <c r="Q21" i="1" s="1"/>
  <c r="AL101" i="8"/>
  <c r="K101" i="1" s="1"/>
  <c r="AL30" i="8"/>
  <c r="K30" i="1" s="1"/>
  <c r="AH37" i="8"/>
  <c r="AI37" i="8" s="1"/>
  <c r="AH15" i="8"/>
  <c r="AI15" i="8" s="1"/>
  <c r="H16" i="8"/>
  <c r="F60" i="1" s="1"/>
  <c r="H28" i="8"/>
  <c r="F50" i="1" s="1"/>
  <c r="AH72" i="8"/>
  <c r="AI72" i="8" s="1"/>
  <c r="H131" i="8"/>
  <c r="F22" i="1" s="1"/>
  <c r="AH82" i="8"/>
  <c r="AI82" i="8" s="1"/>
  <c r="G5" i="1"/>
  <c r="H73" i="8"/>
  <c r="I45" i="1"/>
  <c r="C43" i="1"/>
  <c r="D43" i="1" s="1"/>
  <c r="Q43" i="1" s="1"/>
  <c r="AL134" i="8"/>
  <c r="K134" i="1" s="1"/>
  <c r="S134" i="1" s="1"/>
  <c r="AH122" i="8"/>
  <c r="AI122" i="8" s="1"/>
  <c r="H93" i="8"/>
  <c r="F146" i="1" s="1"/>
  <c r="H58" i="1"/>
  <c r="AH110" i="8"/>
  <c r="AI110" i="8" s="1"/>
  <c r="AH103" i="8"/>
  <c r="AI103" i="8" s="1"/>
  <c r="H39" i="8"/>
  <c r="I53" i="1"/>
  <c r="AH49" i="8"/>
  <c r="AI49" i="8" s="1"/>
  <c r="AH67" i="8"/>
  <c r="AI67" i="8" s="1"/>
  <c r="G127" i="1"/>
  <c r="H68" i="8"/>
  <c r="F127" i="1" s="1"/>
  <c r="G126" i="1"/>
  <c r="H67" i="8"/>
  <c r="C50" i="1"/>
  <c r="M87" i="1"/>
  <c r="C62" i="1"/>
  <c r="D62" i="1" s="1"/>
  <c r="K146" i="9"/>
  <c r="H43" i="8"/>
  <c r="H72" i="8"/>
  <c r="H33" i="8"/>
  <c r="AH68" i="8"/>
  <c r="AI68" i="8" s="1"/>
  <c r="AH47" i="8"/>
  <c r="AI47" i="8" s="1"/>
  <c r="AH3" i="8"/>
  <c r="AI3" i="8" s="1"/>
  <c r="AH88" i="8"/>
  <c r="AI88" i="8" s="1"/>
  <c r="H112" i="8"/>
  <c r="H137" i="8"/>
  <c r="H9" i="8"/>
  <c r="C134" i="1"/>
  <c r="D134" i="1" s="1"/>
  <c r="AL84" i="8"/>
  <c r="H52" i="8"/>
  <c r="F52" i="1" s="1"/>
  <c r="AL6" i="8"/>
  <c r="H63" i="8"/>
  <c r="F128" i="1" s="1"/>
  <c r="AL8" i="8"/>
  <c r="K8" i="1" s="1"/>
  <c r="AL144" i="8"/>
  <c r="K144" i="1" s="1"/>
  <c r="AH106" i="8"/>
  <c r="AI106" i="8" s="1"/>
  <c r="H19" i="8"/>
  <c r="H24" i="8"/>
  <c r="H91" i="8"/>
  <c r="AH125" i="8"/>
  <c r="AI125" i="8" s="1"/>
  <c r="M99" i="1"/>
  <c r="AL110" i="8"/>
  <c r="K110" i="1" s="1"/>
  <c r="Q110" i="1" s="1"/>
  <c r="H119" i="8"/>
  <c r="F119" i="1" s="1"/>
  <c r="AH63" i="8"/>
  <c r="AI63" i="8" s="1"/>
  <c r="E147" i="1"/>
  <c r="C39" i="1"/>
  <c r="I115" i="1"/>
  <c r="I83" i="1"/>
  <c r="C56" i="1"/>
  <c r="I129" i="1"/>
  <c r="I34" i="1"/>
  <c r="I107" i="1"/>
  <c r="G16" i="1"/>
  <c r="H11" i="8"/>
  <c r="C64" i="1"/>
  <c r="I78" i="1"/>
  <c r="G120" i="1"/>
  <c r="Q120" i="1" s="1"/>
  <c r="H124" i="8"/>
  <c r="F120" i="1" s="1"/>
  <c r="C9" i="1"/>
  <c r="G117" i="1"/>
  <c r="H125" i="8"/>
  <c r="C28" i="1"/>
  <c r="H46" i="8"/>
  <c r="H56" i="1"/>
  <c r="H15" i="1"/>
  <c r="H39" i="1"/>
  <c r="H140" i="1"/>
  <c r="I122" i="1"/>
  <c r="C133" i="1"/>
  <c r="AL9" i="8"/>
  <c r="K9" i="1" s="1"/>
  <c r="C96" i="1"/>
  <c r="I36" i="1"/>
  <c r="H120" i="1"/>
  <c r="C93" i="1"/>
  <c r="H79" i="8"/>
  <c r="F79" i="1" s="1"/>
  <c r="H63" i="1"/>
  <c r="AH13" i="8"/>
  <c r="AI13" i="8" s="1"/>
  <c r="I66" i="1"/>
  <c r="AH61" i="8"/>
  <c r="AI61" i="8" s="1"/>
  <c r="AH102" i="8"/>
  <c r="AI102" i="8" s="1"/>
  <c r="G143" i="1"/>
  <c r="H48" i="8"/>
  <c r="F143" i="1" s="1"/>
  <c r="M111" i="1"/>
  <c r="G33" i="1"/>
  <c r="H129" i="8"/>
  <c r="H92" i="1"/>
  <c r="AH28" i="8"/>
  <c r="AI28" i="8" s="1"/>
  <c r="AH131" i="8"/>
  <c r="AI131" i="8" s="1"/>
  <c r="H49" i="8"/>
  <c r="F71" i="1" s="1"/>
  <c r="C127" i="1"/>
  <c r="H98" i="1"/>
  <c r="C8" i="1"/>
  <c r="H4" i="1"/>
  <c r="I109" i="1"/>
  <c r="G139" i="1"/>
  <c r="H103" i="8"/>
  <c r="F139" i="1" s="1"/>
  <c r="S78" i="1"/>
  <c r="H35" i="8"/>
  <c r="F115" i="1" s="1"/>
  <c r="AL99" i="8"/>
  <c r="K99" i="1" s="1"/>
  <c r="S99" i="1" s="1"/>
  <c r="AH43" i="8"/>
  <c r="AI43" i="8" s="1"/>
  <c r="AL85" i="8"/>
  <c r="K85" i="1" s="1"/>
  <c r="AH109" i="8"/>
  <c r="AI109" i="8" s="1"/>
  <c r="H98" i="8"/>
  <c r="I17" i="1"/>
  <c r="H48" i="1"/>
  <c r="H36" i="1"/>
  <c r="M67" i="1"/>
  <c r="G3" i="1"/>
  <c r="H41" i="8"/>
  <c r="C123" i="1"/>
  <c r="I81" i="1"/>
  <c r="I69" i="1"/>
  <c r="I49" i="1"/>
  <c r="AL17" i="8"/>
  <c r="K17" i="1" s="1"/>
  <c r="H87" i="8"/>
  <c r="F55" i="1" s="1"/>
  <c r="H127" i="1"/>
  <c r="H37" i="1"/>
  <c r="H117" i="1"/>
  <c r="C71" i="1"/>
  <c r="C42" i="1"/>
  <c r="I131" i="1"/>
  <c r="I128" i="1"/>
  <c r="AH96" i="8"/>
  <c r="AI96" i="8" s="1"/>
  <c r="AH123" i="8"/>
  <c r="AI123" i="8" s="1"/>
  <c r="AL114" i="8"/>
  <c r="AH85" i="8"/>
  <c r="AI85" i="8" s="1"/>
  <c r="G83" i="1"/>
  <c r="H144" i="8"/>
  <c r="F83" i="1" s="1"/>
  <c r="I12" i="1"/>
  <c r="AL127" i="8"/>
  <c r="K127" i="1" s="1"/>
  <c r="AH91" i="8"/>
  <c r="AI91" i="8" s="1"/>
  <c r="H9" i="1"/>
  <c r="G9" i="1"/>
  <c r="H6" i="8"/>
  <c r="H44" i="1"/>
  <c r="H121" i="1"/>
  <c r="G32" i="1"/>
  <c r="H76" i="8"/>
  <c r="M145" i="1"/>
  <c r="I74" i="1"/>
  <c r="AH105" i="8"/>
  <c r="AI105" i="8" s="1"/>
  <c r="AL129" i="8"/>
  <c r="K129" i="1" s="1"/>
  <c r="AL4" i="8"/>
  <c r="K4" i="1" s="1"/>
  <c r="P4" i="1" s="1"/>
  <c r="C129" i="1"/>
  <c r="D129" i="1" s="1"/>
  <c r="H24" i="1"/>
  <c r="M18" i="1"/>
  <c r="G24" i="1"/>
  <c r="H106" i="8"/>
  <c r="G96" i="1"/>
  <c r="H57" i="8"/>
  <c r="F96" i="1" s="1"/>
  <c r="S27" i="1"/>
  <c r="AL19" i="8"/>
  <c r="K19" i="1" s="1"/>
  <c r="P19" i="1" s="1"/>
  <c r="AL54" i="8"/>
  <c r="K54" i="1" s="1"/>
  <c r="AL47" i="8"/>
  <c r="K47" i="1" s="1"/>
  <c r="AL25" i="8"/>
  <c r="K25" i="1" s="1"/>
  <c r="H104" i="8"/>
  <c r="F45" i="1" s="1"/>
  <c r="C82" i="1"/>
  <c r="M88" i="1"/>
  <c r="H8" i="1"/>
  <c r="I108" i="1"/>
  <c r="G10" i="1"/>
  <c r="H3" i="8"/>
  <c r="F10" i="1" s="1"/>
  <c r="H139" i="1"/>
  <c r="I125" i="1"/>
  <c r="I143" i="1"/>
  <c r="AH40" i="8"/>
  <c r="AI40" i="8" s="1"/>
  <c r="H102" i="1"/>
  <c r="C63" i="1"/>
  <c r="C132" i="1"/>
  <c r="G105" i="1"/>
  <c r="H94" i="8"/>
  <c r="F105" i="1" s="1"/>
  <c r="I116" i="1"/>
  <c r="H26" i="1"/>
  <c r="AL40" i="8"/>
  <c r="AL63" i="8"/>
  <c r="K63" i="1" s="1"/>
  <c r="H82" i="8"/>
  <c r="H32" i="1"/>
  <c r="I33" i="1"/>
  <c r="I60" i="1"/>
  <c r="I76" i="1"/>
  <c r="C146" i="1"/>
  <c r="D146" i="1" s="1"/>
  <c r="H135" i="1"/>
  <c r="AH133" i="8"/>
  <c r="AI133" i="8" s="1"/>
  <c r="AH53" i="8"/>
  <c r="AI53" i="8" s="1"/>
  <c r="AH118" i="8"/>
  <c r="AI118" i="8" s="1"/>
  <c r="AH129" i="8"/>
  <c r="AI129" i="8" s="1"/>
  <c r="AH21" i="8"/>
  <c r="AI21" i="8" s="1"/>
  <c r="AH12" i="8"/>
  <c r="AI12" i="8" s="1"/>
  <c r="S117" i="1"/>
  <c r="AH95" i="8"/>
  <c r="AI95" i="8" s="1"/>
  <c r="AH16" i="8"/>
  <c r="AI16" i="8" s="1"/>
  <c r="AH74" i="8"/>
  <c r="AI74" i="8" s="1"/>
  <c r="AH55" i="8"/>
  <c r="AI55" i="8" s="1"/>
  <c r="AH35" i="8"/>
  <c r="AI35" i="8" s="1"/>
  <c r="AH124" i="8"/>
  <c r="AI124" i="8" s="1"/>
  <c r="AH92" i="8"/>
  <c r="AI92" i="8" s="1"/>
  <c r="AH113" i="8"/>
  <c r="AI113" i="8" s="1"/>
  <c r="AH41" i="8"/>
  <c r="AI41" i="8" s="1"/>
  <c r="AH134" i="8"/>
  <c r="AI134" i="8" s="1"/>
  <c r="AH107" i="8"/>
  <c r="AI107" i="8" s="1"/>
  <c r="E110" i="5" s="1"/>
  <c r="F110" i="5" s="1"/>
  <c r="AH4" i="8"/>
  <c r="AI4" i="8" s="1"/>
  <c r="AH66" i="8"/>
  <c r="AI66" i="8" s="1"/>
  <c r="AH132" i="8"/>
  <c r="AI132" i="8" s="1"/>
  <c r="AH23" i="8"/>
  <c r="AI23" i="8" s="1"/>
  <c r="AH126" i="8"/>
  <c r="AI126" i="8" s="1"/>
  <c r="AH130" i="8"/>
  <c r="AI130" i="8" s="1"/>
  <c r="AH65" i="8"/>
  <c r="AI65" i="8" s="1"/>
  <c r="AH112" i="8"/>
  <c r="AI112" i="8" s="1"/>
  <c r="AH54" i="8"/>
  <c r="AI54" i="8" s="1"/>
  <c r="AH29" i="8"/>
  <c r="AH94" i="8"/>
  <c r="AI94" i="8" s="1"/>
  <c r="AH116" i="8"/>
  <c r="AI116" i="8" s="1"/>
  <c r="AH42" i="8"/>
  <c r="AI42" i="8" s="1"/>
  <c r="AH81" i="8"/>
  <c r="AI81" i="8" s="1"/>
  <c r="AH46" i="8"/>
  <c r="AI46" i="8" s="1"/>
  <c r="E134" i="5" s="1"/>
  <c r="H134" i="5" s="1"/>
  <c r="AH97" i="8"/>
  <c r="AI97" i="8" s="1"/>
  <c r="AH17" i="8"/>
  <c r="AI17" i="8" s="1"/>
  <c r="AH104" i="8"/>
  <c r="AI104" i="8" s="1"/>
  <c r="AH76" i="8"/>
  <c r="AI76" i="8" s="1"/>
  <c r="AH8" i="8"/>
  <c r="AI8" i="8" s="1"/>
  <c r="AH5" i="8"/>
  <c r="AI5" i="8" s="1"/>
  <c r="AH80" i="8"/>
  <c r="AI80" i="8" s="1"/>
  <c r="AH6" i="8"/>
  <c r="AI6" i="8" s="1"/>
  <c r="AH120" i="8"/>
  <c r="AI120" i="8" s="1"/>
  <c r="AH137" i="8"/>
  <c r="AI137" i="8" s="1"/>
  <c r="AH59" i="8"/>
  <c r="AI59" i="8" s="1"/>
  <c r="AH136" i="8"/>
  <c r="AI136" i="8" s="1"/>
  <c r="E80" i="5" s="1"/>
  <c r="F80" i="5" s="1"/>
  <c r="AH108" i="8"/>
  <c r="AI108" i="8" s="1"/>
  <c r="AH79" i="8"/>
  <c r="AI79" i="8" s="1"/>
  <c r="AH71" i="8"/>
  <c r="AI71" i="8" s="1"/>
  <c r="AH32" i="8"/>
  <c r="AI32" i="8" s="1"/>
  <c r="AH121" i="8"/>
  <c r="AI121" i="8" s="1"/>
  <c r="AH145" i="8"/>
  <c r="AI145" i="8" s="1"/>
  <c r="AH44" i="8"/>
  <c r="AI44" i="8" s="1"/>
  <c r="AH140" i="8"/>
  <c r="AI140" i="8" s="1"/>
  <c r="AH36" i="8"/>
  <c r="AI36" i="8" s="1"/>
  <c r="AH20" i="8"/>
  <c r="AI20" i="8" s="1"/>
  <c r="AH73" i="8"/>
  <c r="AI73" i="8" s="1"/>
  <c r="AH31" i="8"/>
  <c r="AI31" i="8" s="1"/>
  <c r="AH83" i="8"/>
  <c r="AI83" i="8" s="1"/>
  <c r="AH93" i="8"/>
  <c r="AI93" i="8" s="1"/>
  <c r="AH24" i="8"/>
  <c r="AI24" i="8" s="1"/>
  <c r="AH70" i="8"/>
  <c r="AI70" i="8" s="1"/>
  <c r="AH144" i="8"/>
  <c r="AI144" i="8" s="1"/>
  <c r="AH101" i="8"/>
  <c r="AI101" i="8" s="1"/>
  <c r="AH142" i="8"/>
  <c r="AI142" i="8" s="1"/>
  <c r="AH19" i="8"/>
  <c r="AI19" i="8" s="1"/>
  <c r="AH22" i="8"/>
  <c r="AI22" i="8" s="1"/>
  <c r="AH18" i="8"/>
  <c r="AI18" i="8" s="1"/>
  <c r="AH58" i="8"/>
  <c r="AI58" i="8" s="1"/>
  <c r="AH51" i="8"/>
  <c r="AI51" i="8" s="1"/>
  <c r="AH135" i="8"/>
  <c r="AI135" i="8" s="1"/>
  <c r="AH25" i="8"/>
  <c r="AI25" i="8" s="1"/>
  <c r="AH127" i="8"/>
  <c r="AI127" i="8" s="1"/>
  <c r="AH146" i="8"/>
  <c r="AH98" i="8"/>
  <c r="AI98" i="8" s="1"/>
  <c r="AH26" i="8"/>
  <c r="AI26" i="8" s="1"/>
  <c r="Q146" i="1" l="1"/>
  <c r="Q79" i="1"/>
  <c r="Q62" i="1"/>
  <c r="Q121" i="1"/>
  <c r="Q116" i="1"/>
  <c r="Q74" i="1"/>
  <c r="Q111" i="1"/>
  <c r="Q89" i="1"/>
  <c r="Q7" i="1"/>
  <c r="Q68" i="1"/>
  <c r="Q10" i="1"/>
  <c r="Q24" i="1"/>
  <c r="Q46" i="1"/>
  <c r="Q134" i="1"/>
  <c r="Q94" i="1"/>
  <c r="Q108" i="1"/>
  <c r="Q41" i="1"/>
  <c r="Q61" i="1"/>
  <c r="Q128" i="1"/>
  <c r="Q144" i="1"/>
  <c r="Q33" i="1"/>
  <c r="Q130" i="1"/>
  <c r="Q48" i="1"/>
  <c r="Q129" i="1"/>
  <c r="Q66" i="1"/>
  <c r="Q60" i="1"/>
  <c r="Q140" i="1"/>
  <c r="Q73" i="1"/>
  <c r="Q83" i="1"/>
  <c r="Q103" i="1"/>
  <c r="Q69" i="1"/>
  <c r="Q36" i="1"/>
  <c r="Q100" i="1"/>
  <c r="Q92" i="1"/>
  <c r="Q17" i="1"/>
  <c r="Q76" i="1"/>
  <c r="Q114" i="1"/>
  <c r="Q47" i="1"/>
  <c r="Q59" i="1"/>
  <c r="Q37" i="1"/>
  <c r="Q4" i="1"/>
  <c r="Q65" i="1"/>
  <c r="Q12" i="1"/>
  <c r="Q30" i="1"/>
  <c r="Q58" i="1"/>
  <c r="Q72" i="1"/>
  <c r="Q67" i="1"/>
  <c r="P16" i="1"/>
  <c r="Q16" i="1"/>
  <c r="Q136" i="1"/>
  <c r="Q101" i="1"/>
  <c r="Q38" i="1"/>
  <c r="Q27" i="1"/>
  <c r="Q49" i="1"/>
  <c r="Q54" i="1"/>
  <c r="Q87" i="1"/>
  <c r="Q80" i="1"/>
  <c r="Q14" i="1"/>
  <c r="Q99" i="1"/>
  <c r="Q137" i="1"/>
  <c r="Q90" i="1"/>
  <c r="Q32" i="1"/>
  <c r="Q118" i="1"/>
  <c r="Q105" i="1"/>
  <c r="Q51" i="1"/>
  <c r="P139" i="1"/>
  <c r="Q139" i="1"/>
  <c r="Q145" i="1"/>
  <c r="Q135" i="1"/>
  <c r="P117" i="1"/>
  <c r="Q117" i="1"/>
  <c r="Q75" i="1"/>
  <c r="P3" i="1"/>
  <c r="Q3" i="1"/>
  <c r="Q85" i="1"/>
  <c r="Q5" i="1"/>
  <c r="Q29" i="1"/>
  <c r="Q125" i="1"/>
  <c r="Q18" i="1"/>
  <c r="Q107" i="1"/>
  <c r="Q25" i="1"/>
  <c r="Q126" i="1"/>
  <c r="Q95" i="1"/>
  <c r="Q86" i="1"/>
  <c r="Q143" i="1"/>
  <c r="Q70" i="1"/>
  <c r="Q141" i="1"/>
  <c r="Q53" i="1"/>
  <c r="Q88" i="1"/>
  <c r="Q91" i="1"/>
  <c r="Q6" i="1"/>
  <c r="Q112" i="1"/>
  <c r="Q102" i="1"/>
  <c r="Q122" i="1"/>
  <c r="Q15" i="1"/>
  <c r="Q19" i="1"/>
  <c r="F141" i="1"/>
  <c r="F16" i="1"/>
  <c r="P72" i="1"/>
  <c r="P52" i="1"/>
  <c r="P33" i="1"/>
  <c r="P20" i="1"/>
  <c r="P144" i="1"/>
  <c r="P23" i="1"/>
  <c r="P75" i="1"/>
  <c r="P112" i="1"/>
  <c r="P78" i="1"/>
  <c r="P54" i="1"/>
  <c r="P48" i="1"/>
  <c r="P98" i="1"/>
  <c r="P138" i="1"/>
  <c r="P34" i="1"/>
  <c r="P70" i="1"/>
  <c r="F32" i="1"/>
  <c r="P79" i="1"/>
  <c r="F8" i="1"/>
  <c r="P61" i="1"/>
  <c r="F95" i="1"/>
  <c r="P145" i="1"/>
  <c r="F9" i="1"/>
  <c r="P58" i="1"/>
  <c r="P65" i="1"/>
  <c r="P17" i="1"/>
  <c r="P47" i="1"/>
  <c r="F18" i="1"/>
  <c r="P7" i="1"/>
  <c r="P13" i="1"/>
  <c r="F13" i="1"/>
  <c r="F136" i="1"/>
  <c r="P92" i="1"/>
  <c r="P30" i="1"/>
  <c r="P86" i="1"/>
  <c r="P125" i="1"/>
  <c r="P100" i="1"/>
  <c r="P110" i="1"/>
  <c r="F6" i="1"/>
  <c r="F14" i="1"/>
  <c r="F63" i="1"/>
  <c r="F109" i="1"/>
  <c r="P51" i="1"/>
  <c r="K47" i="9"/>
  <c r="F51" i="1"/>
  <c r="F69" i="1"/>
  <c r="F126" i="1"/>
  <c r="F93" i="1"/>
  <c r="F33" i="1"/>
  <c r="F3" i="1"/>
  <c r="F64" i="1"/>
  <c r="F44" i="1"/>
  <c r="K115" i="9"/>
  <c r="F5" i="1"/>
  <c r="P135" i="1"/>
  <c r="P53" i="1"/>
  <c r="P103" i="1"/>
  <c r="P143" i="1"/>
  <c r="P68" i="1"/>
  <c r="K23" i="9"/>
  <c r="K31" i="9"/>
  <c r="K5" i="9"/>
  <c r="S48" i="1"/>
  <c r="P83" i="1"/>
  <c r="P46" i="1"/>
  <c r="P107" i="1"/>
  <c r="P32" i="1"/>
  <c r="P85" i="1"/>
  <c r="S54" i="1"/>
  <c r="P18" i="1"/>
  <c r="P69" i="1"/>
  <c r="P88" i="1"/>
  <c r="P40" i="1"/>
  <c r="P27" i="1"/>
  <c r="P84" i="1"/>
  <c r="P118" i="1"/>
  <c r="P37" i="1"/>
  <c r="F135" i="1"/>
  <c r="F89" i="1"/>
  <c r="P73" i="1"/>
  <c r="F67" i="1"/>
  <c r="F137" i="1"/>
  <c r="F124" i="1"/>
  <c r="F46" i="1"/>
  <c r="F144" i="1"/>
  <c r="P109" i="1"/>
  <c r="F117" i="1"/>
  <c r="F133" i="1"/>
  <c r="F37" i="1"/>
  <c r="P91" i="1"/>
  <c r="F103" i="1"/>
  <c r="F125" i="1"/>
  <c r="P21" i="1"/>
  <c r="F48" i="1"/>
  <c r="P105" i="1"/>
  <c r="P41" i="1"/>
  <c r="P49" i="1"/>
  <c r="F43" i="1"/>
  <c r="F29" i="1"/>
  <c r="P14" i="1"/>
  <c r="F68" i="1"/>
  <c r="F24" i="1"/>
  <c r="F57" i="1"/>
  <c r="F104" i="1"/>
  <c r="P5" i="1"/>
  <c r="P36" i="1"/>
  <c r="P38" i="1"/>
  <c r="F28" i="1"/>
  <c r="F56" i="1"/>
  <c r="F129" i="1"/>
  <c r="F76" i="1"/>
  <c r="F42" i="1"/>
  <c r="F72" i="1"/>
  <c r="F87" i="1"/>
  <c r="F97" i="1"/>
  <c r="F35" i="1"/>
  <c r="P101" i="1"/>
  <c r="P89" i="1"/>
  <c r="P87" i="1"/>
  <c r="F112" i="1"/>
  <c r="F49" i="1"/>
  <c r="F12" i="1"/>
  <c r="P121" i="1"/>
  <c r="F11" i="1"/>
  <c r="F114" i="1"/>
  <c r="H147" i="9"/>
  <c r="K70" i="9"/>
  <c r="F90" i="1"/>
  <c r="F19" i="1"/>
  <c r="P76" i="1"/>
  <c r="P55" i="1"/>
  <c r="F110" i="1"/>
  <c r="F73" i="1"/>
  <c r="F91" i="1"/>
  <c r="F116" i="1"/>
  <c r="F41" i="1"/>
  <c r="F82" i="1"/>
  <c r="F131" i="1"/>
  <c r="P25" i="1"/>
  <c r="F94" i="1"/>
  <c r="F98" i="1"/>
  <c r="F39" i="1"/>
  <c r="F106" i="1"/>
  <c r="F84" i="1"/>
  <c r="K8" i="9"/>
  <c r="G147" i="9"/>
  <c r="K114" i="9"/>
  <c r="K97" i="9"/>
  <c r="K13" i="9"/>
  <c r="K68" i="9"/>
  <c r="K104" i="9"/>
  <c r="K43" i="9"/>
  <c r="K74" i="9"/>
  <c r="K94" i="9"/>
  <c r="K124" i="9"/>
  <c r="K40" i="9"/>
  <c r="K116" i="9"/>
  <c r="K77" i="9"/>
  <c r="K127" i="9"/>
  <c r="K66" i="9"/>
  <c r="K6" i="9"/>
  <c r="K88" i="9"/>
  <c r="K125" i="9"/>
  <c r="K139" i="9"/>
  <c r="K82" i="9"/>
  <c r="K111" i="9"/>
  <c r="K9" i="9"/>
  <c r="K117" i="9"/>
  <c r="K39" i="9"/>
  <c r="K138" i="9"/>
  <c r="K72" i="9"/>
  <c r="K22" i="9"/>
  <c r="K131" i="9"/>
  <c r="K37" i="9"/>
  <c r="K83" i="9"/>
  <c r="K119" i="9"/>
  <c r="K140" i="9"/>
  <c r="K128" i="9"/>
  <c r="K81" i="9"/>
  <c r="K61" i="9"/>
  <c r="K134" i="9"/>
  <c r="K129" i="9"/>
  <c r="K50" i="9"/>
  <c r="K4" i="9"/>
  <c r="K64" i="9"/>
  <c r="K69" i="9"/>
  <c r="K110" i="9"/>
  <c r="K24" i="9"/>
  <c r="K44" i="9"/>
  <c r="K45" i="9"/>
  <c r="K29" i="9"/>
  <c r="K38" i="9"/>
  <c r="K78" i="9"/>
  <c r="K84" i="9"/>
  <c r="K132" i="9"/>
  <c r="K105" i="9"/>
  <c r="K62" i="9"/>
  <c r="K101" i="9"/>
  <c r="K33" i="9"/>
  <c r="K136" i="9"/>
  <c r="K113" i="9"/>
  <c r="K106" i="9"/>
  <c r="K16" i="9"/>
  <c r="P10" i="1"/>
  <c r="P80" i="1"/>
  <c r="P67" i="1"/>
  <c r="P128" i="1"/>
  <c r="P116" i="1"/>
  <c r="P111" i="1"/>
  <c r="S58" i="1"/>
  <c r="P24" i="1"/>
  <c r="P94" i="1"/>
  <c r="P43" i="1"/>
  <c r="P137" i="1"/>
  <c r="P81" i="1"/>
  <c r="P130" i="1"/>
  <c r="P62" i="1"/>
  <c r="P114" i="1"/>
  <c r="P99" i="1"/>
  <c r="P126" i="1"/>
  <c r="P106" i="1"/>
  <c r="P131" i="1"/>
  <c r="P66" i="1"/>
  <c r="P146" i="1"/>
  <c r="P129" i="1"/>
  <c r="P141" i="1"/>
  <c r="P108" i="1"/>
  <c r="P90" i="1"/>
  <c r="P60" i="1"/>
  <c r="P134" i="1"/>
  <c r="P12" i="1"/>
  <c r="P140" i="1"/>
  <c r="P6" i="1"/>
  <c r="P74" i="1"/>
  <c r="P95" i="1"/>
  <c r="P102" i="1"/>
  <c r="P59" i="1"/>
  <c r="K28" i="9"/>
  <c r="K14" i="9"/>
  <c r="K59" i="9"/>
  <c r="K93" i="9"/>
  <c r="K18" i="9"/>
  <c r="K86" i="9"/>
  <c r="K108" i="9"/>
  <c r="K42" i="9"/>
  <c r="K49" i="9"/>
  <c r="K75" i="9"/>
  <c r="K60" i="9"/>
  <c r="K85" i="9"/>
  <c r="K112" i="9"/>
  <c r="K120" i="9"/>
  <c r="K71" i="9"/>
  <c r="K19" i="9"/>
  <c r="K102" i="9"/>
  <c r="K7" i="9"/>
  <c r="K121" i="9"/>
  <c r="K90" i="9"/>
  <c r="K26" i="9"/>
  <c r="K98" i="9"/>
  <c r="K27" i="9"/>
  <c r="K91" i="9"/>
  <c r="K107" i="9"/>
  <c r="K55" i="9"/>
  <c r="K58" i="9"/>
  <c r="K53" i="9"/>
  <c r="K109" i="9"/>
  <c r="K103" i="9"/>
  <c r="K54" i="9"/>
  <c r="K141" i="9"/>
  <c r="K133" i="9"/>
  <c r="K21" i="9"/>
  <c r="K118" i="9"/>
  <c r="K123" i="9"/>
  <c r="K122" i="9"/>
  <c r="K32" i="9"/>
  <c r="K95" i="9"/>
  <c r="K137" i="9"/>
  <c r="K12" i="9"/>
  <c r="K135" i="9"/>
  <c r="K63" i="9"/>
  <c r="K92" i="9"/>
  <c r="K25" i="9"/>
  <c r="K96" i="9"/>
  <c r="K130" i="9"/>
  <c r="K34" i="9"/>
  <c r="K20" i="9"/>
  <c r="K52" i="9"/>
  <c r="K57" i="9"/>
  <c r="K89" i="9"/>
  <c r="K73" i="9"/>
  <c r="K76" i="9"/>
  <c r="K17" i="9"/>
  <c r="K99" i="9"/>
  <c r="K51" i="9"/>
  <c r="K126" i="9"/>
  <c r="K67" i="9"/>
  <c r="K48" i="9"/>
  <c r="K100" i="9"/>
  <c r="K87" i="9"/>
  <c r="K79" i="9"/>
  <c r="K10" i="9"/>
  <c r="K65" i="9"/>
  <c r="K80" i="9"/>
  <c r="K35" i="9"/>
  <c r="K30" i="9"/>
  <c r="K3" i="9"/>
  <c r="K15" i="9"/>
  <c r="K41" i="9"/>
  <c r="K11" i="9"/>
  <c r="K56" i="9"/>
  <c r="K46" i="9"/>
  <c r="K36" i="9"/>
  <c r="J147" i="1"/>
  <c r="S101" i="1"/>
  <c r="S60" i="1"/>
  <c r="E126" i="5"/>
  <c r="H126" i="5" s="1"/>
  <c r="S16" i="1"/>
  <c r="S122" i="1"/>
  <c r="H86" i="4"/>
  <c r="S46" i="1" s="1"/>
  <c r="D82" i="1"/>
  <c r="Q82" i="1" s="1"/>
  <c r="D56" i="1"/>
  <c r="Q56" i="1" s="1"/>
  <c r="D93" i="1"/>
  <c r="Q93" i="1" s="1"/>
  <c r="D64" i="1"/>
  <c r="Q64" i="1" s="1"/>
  <c r="D8" i="1"/>
  <c r="Q8" i="1" s="1"/>
  <c r="D26" i="1"/>
  <c r="Q26" i="1" s="1"/>
  <c r="D97" i="1"/>
  <c r="Q97" i="1" s="1"/>
  <c r="D39" i="1"/>
  <c r="Q39" i="1" s="1"/>
  <c r="D96" i="1"/>
  <c r="Q96" i="1" s="1"/>
  <c r="D71" i="1"/>
  <c r="Q71" i="1" s="1"/>
  <c r="D123" i="1"/>
  <c r="Q123" i="1" s="1"/>
  <c r="D127" i="1"/>
  <c r="Q127" i="1" s="1"/>
  <c r="D28" i="1"/>
  <c r="Q28" i="1" s="1"/>
  <c r="D50" i="1"/>
  <c r="Q50" i="1" s="1"/>
  <c r="D57" i="1"/>
  <c r="Q57" i="1" s="1"/>
  <c r="D132" i="1"/>
  <c r="Q132" i="1" s="1"/>
  <c r="D9" i="1"/>
  <c r="Q9" i="1" s="1"/>
  <c r="D133" i="1"/>
  <c r="Q133" i="1" s="1"/>
  <c r="D42" i="1"/>
  <c r="Q42" i="1" s="1"/>
  <c r="D63" i="1"/>
  <c r="Q63" i="1" s="1"/>
  <c r="E3" i="4"/>
  <c r="E41" i="5"/>
  <c r="F41" i="5" s="1"/>
  <c r="E63" i="5"/>
  <c r="F63" i="5" s="1"/>
  <c r="E17" i="5"/>
  <c r="F17" i="5" s="1"/>
  <c r="E94" i="5"/>
  <c r="F94" i="5" s="1"/>
  <c r="E107" i="5"/>
  <c r="F107" i="5" s="1"/>
  <c r="E27" i="5"/>
  <c r="F27" i="5" s="1"/>
  <c r="E28" i="5"/>
  <c r="F28" i="5" s="1"/>
  <c r="E74" i="5"/>
  <c r="F74" i="5" s="1"/>
  <c r="E116" i="5"/>
  <c r="F116" i="5" s="1"/>
  <c r="E128" i="5"/>
  <c r="H128" i="5" s="1"/>
  <c r="E9" i="5"/>
  <c r="F9" i="5" s="1"/>
  <c r="E132" i="5"/>
  <c r="H132" i="5" s="1"/>
  <c r="E30" i="5"/>
  <c r="F30" i="5" s="1"/>
  <c r="E78" i="5"/>
  <c r="F78" i="5" s="1"/>
  <c r="E5" i="5"/>
  <c r="F5" i="5" s="1"/>
  <c r="E133" i="5"/>
  <c r="E48" i="5"/>
  <c r="F48" i="5" s="1"/>
  <c r="E15" i="5"/>
  <c r="F15" i="5" s="1"/>
  <c r="E115" i="5"/>
  <c r="F115" i="5" s="1"/>
  <c r="E103" i="5"/>
  <c r="F103" i="5" s="1"/>
  <c r="E37" i="5"/>
  <c r="F37" i="5" s="1"/>
  <c r="E129" i="5"/>
  <c r="H129" i="5" s="1"/>
  <c r="E34" i="5"/>
  <c r="F34" i="5" s="1"/>
  <c r="E73" i="5"/>
  <c r="F73" i="5" s="1"/>
  <c r="E69" i="5"/>
  <c r="F69" i="5" s="1"/>
  <c r="E54" i="5"/>
  <c r="F54" i="5" s="1"/>
  <c r="E8" i="5"/>
  <c r="F8" i="5" s="1"/>
  <c r="E97" i="5"/>
  <c r="F97" i="5" s="1"/>
  <c r="E60" i="5"/>
  <c r="F60" i="5" s="1"/>
  <c r="E100" i="5"/>
  <c r="F100" i="5" s="1"/>
  <c r="E88" i="5"/>
  <c r="F88" i="5" s="1"/>
  <c r="E127" i="5"/>
  <c r="H127" i="5" s="1"/>
  <c r="E40" i="5"/>
  <c r="F40" i="5" s="1"/>
  <c r="E123" i="5"/>
  <c r="H123" i="5" s="1"/>
  <c r="E61" i="5"/>
  <c r="F61" i="5" s="1"/>
  <c r="E21" i="5"/>
  <c r="F21" i="5" s="1"/>
  <c r="E6" i="5"/>
  <c r="F6" i="5" s="1"/>
  <c r="E82" i="5"/>
  <c r="F82" i="5" s="1"/>
  <c r="E109" i="5"/>
  <c r="F109" i="5" s="1"/>
  <c r="E29" i="5"/>
  <c r="F29" i="5" s="1"/>
  <c r="E57" i="5"/>
  <c r="F57" i="5" s="1"/>
  <c r="E125" i="5"/>
  <c r="H125" i="5" s="1"/>
  <c r="E62" i="5"/>
  <c r="F62" i="5" s="1"/>
  <c r="E77" i="5"/>
  <c r="F77" i="5" s="1"/>
  <c r="E90" i="5"/>
  <c r="F90" i="5" s="1"/>
  <c r="E45" i="5"/>
  <c r="F45" i="5" s="1"/>
  <c r="E108" i="5"/>
  <c r="F108" i="5" s="1"/>
  <c r="E79" i="5"/>
  <c r="F79" i="5" s="1"/>
  <c r="E101" i="5"/>
  <c r="F101" i="5" s="1"/>
  <c r="E38" i="5"/>
  <c r="F38" i="5" s="1"/>
  <c r="E49" i="5"/>
  <c r="F49" i="5" s="1"/>
  <c r="E56" i="5"/>
  <c r="F56" i="5" s="1"/>
  <c r="E26" i="5"/>
  <c r="F26" i="5" s="1"/>
  <c r="E117" i="5"/>
  <c r="F117" i="5" s="1"/>
  <c r="E75" i="5"/>
  <c r="F75" i="5" s="1"/>
  <c r="E58" i="5"/>
  <c r="F58" i="5" s="1"/>
  <c r="E47" i="5"/>
  <c r="F47" i="5" s="1"/>
  <c r="E13" i="5"/>
  <c r="F13" i="5" s="1"/>
  <c r="E89" i="5"/>
  <c r="F89" i="5" s="1"/>
  <c r="E16" i="5"/>
  <c r="F16" i="5" s="1"/>
  <c r="E55" i="5"/>
  <c r="F55" i="5" s="1"/>
  <c r="E118" i="5"/>
  <c r="F118" i="5" s="1"/>
  <c r="E10" i="5"/>
  <c r="F10" i="5" s="1"/>
  <c r="E32" i="5"/>
  <c r="F32" i="5" s="1"/>
  <c r="R91" i="1"/>
  <c r="E33" i="5"/>
  <c r="F33" i="5" s="1"/>
  <c r="E25" i="5"/>
  <c r="F25" i="5" s="1"/>
  <c r="E4" i="5"/>
  <c r="E70" i="5"/>
  <c r="F70" i="5" s="1"/>
  <c r="E64" i="5"/>
  <c r="F64" i="5" s="1"/>
  <c r="E112" i="5"/>
  <c r="F112" i="5" s="1"/>
  <c r="E83" i="5"/>
  <c r="F83" i="5" s="1"/>
  <c r="E11" i="5"/>
  <c r="F11" i="5" s="1"/>
  <c r="E22" i="5"/>
  <c r="F22" i="5" s="1"/>
  <c r="E67" i="5"/>
  <c r="F67" i="5" s="1"/>
  <c r="E119" i="5"/>
  <c r="F119" i="5" s="1"/>
  <c r="E104" i="5"/>
  <c r="F104" i="5" s="1"/>
  <c r="E111" i="5"/>
  <c r="F111" i="5" s="1"/>
  <c r="E98" i="5"/>
  <c r="F98" i="5" s="1"/>
  <c r="E12" i="5"/>
  <c r="F12" i="5" s="1"/>
  <c r="E87" i="5"/>
  <c r="F87" i="5" s="1"/>
  <c r="E68" i="5"/>
  <c r="F68" i="5" s="1"/>
  <c r="E131" i="5"/>
  <c r="H131" i="5" s="1"/>
  <c r="E36" i="5"/>
  <c r="F36" i="5" s="1"/>
  <c r="E120" i="5"/>
  <c r="F120" i="5" s="1"/>
  <c r="E86" i="5"/>
  <c r="F86" i="5" s="1"/>
  <c r="E43" i="5"/>
  <c r="F43" i="5" s="1"/>
  <c r="E24" i="5"/>
  <c r="F24" i="5" s="1"/>
  <c r="E113" i="5"/>
  <c r="F113" i="5" s="1"/>
  <c r="E81" i="5"/>
  <c r="F81" i="5" s="1"/>
  <c r="E130" i="5"/>
  <c r="H130" i="5" s="1"/>
  <c r="E53" i="5"/>
  <c r="F53" i="5" s="1"/>
  <c r="E20" i="5"/>
  <c r="F20" i="5" s="1"/>
  <c r="E59" i="5"/>
  <c r="F59" i="5" s="1"/>
  <c r="E19" i="5"/>
  <c r="F19" i="5" s="1"/>
  <c r="E44" i="5"/>
  <c r="F44" i="5" s="1"/>
  <c r="E102" i="5"/>
  <c r="F102" i="5" s="1"/>
  <c r="E39" i="5"/>
  <c r="F39" i="5" s="1"/>
  <c r="E124" i="5"/>
  <c r="H124" i="5" s="1"/>
  <c r="E65" i="5"/>
  <c r="F65" i="5" s="1"/>
  <c r="E46" i="5"/>
  <c r="F46" i="5" s="1"/>
  <c r="E91" i="5"/>
  <c r="F91" i="5" s="1"/>
  <c r="E76" i="5"/>
  <c r="F76" i="5" s="1"/>
  <c r="E71" i="5"/>
  <c r="F71" i="5" s="1"/>
  <c r="E35" i="5"/>
  <c r="F35" i="5" s="1"/>
  <c r="E14" i="5"/>
  <c r="F14" i="5" s="1"/>
  <c r="E52" i="5"/>
  <c r="F52" i="5" s="1"/>
  <c r="E23" i="5"/>
  <c r="F23" i="5" s="1"/>
  <c r="E114" i="5"/>
  <c r="F114" i="5" s="1"/>
  <c r="E121" i="5"/>
  <c r="F121" i="5" s="1"/>
  <c r="E122" i="5"/>
  <c r="F122" i="5" s="1"/>
  <c r="E66" i="5"/>
  <c r="F66" i="5" s="1"/>
  <c r="E51" i="5"/>
  <c r="F51" i="5" s="1"/>
  <c r="E18" i="5"/>
  <c r="F18" i="5" s="1"/>
  <c r="E99" i="5"/>
  <c r="F99" i="5" s="1"/>
  <c r="E50" i="5"/>
  <c r="F50" i="5" s="1"/>
  <c r="E72" i="5"/>
  <c r="F72" i="5" s="1"/>
  <c r="E93" i="5"/>
  <c r="F93" i="5" s="1"/>
  <c r="E42" i="5"/>
  <c r="F42" i="5" s="1"/>
  <c r="E31" i="5"/>
  <c r="F31" i="5" s="1"/>
  <c r="S85" i="1"/>
  <c r="S102" i="1"/>
  <c r="S22" i="1"/>
  <c r="S84" i="1"/>
  <c r="F48" i="4"/>
  <c r="F9" i="4"/>
  <c r="S98" i="1"/>
  <c r="F43" i="4"/>
  <c r="H82" i="4"/>
  <c r="S110" i="1" s="1"/>
  <c r="AI10" i="8"/>
  <c r="E96" i="5" s="1"/>
  <c r="F96" i="5" s="1"/>
  <c r="H80" i="4"/>
  <c r="F35" i="4"/>
  <c r="F42" i="4"/>
  <c r="F19" i="4"/>
  <c r="H76" i="4"/>
  <c r="F34" i="4"/>
  <c r="F25" i="4"/>
  <c r="F16" i="4"/>
  <c r="H58" i="4"/>
  <c r="S23" i="1" s="1"/>
  <c r="F26" i="4"/>
  <c r="F40" i="4"/>
  <c r="F6" i="4"/>
  <c r="F20" i="4"/>
  <c r="H72" i="4"/>
  <c r="F7" i="4"/>
  <c r="F10" i="4"/>
  <c r="H78" i="4"/>
  <c r="H81" i="4"/>
  <c r="S142" i="1" s="1"/>
  <c r="F50" i="4"/>
  <c r="F12" i="4"/>
  <c r="F23" i="4"/>
  <c r="H69" i="4"/>
  <c r="F38" i="4"/>
  <c r="F8" i="4"/>
  <c r="S21" i="1"/>
  <c r="AI146" i="8"/>
  <c r="E85" i="5" s="1"/>
  <c r="F85" i="5" s="1"/>
  <c r="F30" i="4"/>
  <c r="H71" i="4"/>
  <c r="F41" i="4"/>
  <c r="H65" i="4"/>
  <c r="S135" i="1" s="1"/>
  <c r="H61" i="4"/>
  <c r="F17" i="4"/>
  <c r="H77" i="4"/>
  <c r="F14" i="4"/>
  <c r="AI29" i="8"/>
  <c r="E106" i="5" s="1"/>
  <c r="F106" i="5" s="1"/>
  <c r="S57" i="1"/>
  <c r="F49" i="4"/>
  <c r="F39" i="4"/>
  <c r="F32" i="4"/>
  <c r="F47" i="4"/>
  <c r="F27" i="4"/>
  <c r="H73" i="4"/>
  <c r="F15" i="4"/>
  <c r="H63" i="4"/>
  <c r="F11" i="4"/>
  <c r="F29" i="4"/>
  <c r="H75" i="4"/>
  <c r="H66" i="4"/>
  <c r="H60" i="4"/>
  <c r="S61" i="1" s="1"/>
  <c r="H59" i="4"/>
  <c r="F33" i="4"/>
  <c r="K147" i="1"/>
  <c r="G147" i="1"/>
  <c r="H147" i="1"/>
  <c r="C147" i="1"/>
  <c r="I147" i="1"/>
  <c r="M11" i="1"/>
  <c r="Q11" i="1" s="1"/>
  <c r="L147" i="1"/>
  <c r="Q147" i="1" l="1"/>
  <c r="F147" i="1"/>
  <c r="K147" i="9"/>
  <c r="P9" i="1"/>
  <c r="P50" i="1"/>
  <c r="P28" i="1"/>
  <c r="P123" i="1"/>
  <c r="P96" i="1"/>
  <c r="P56" i="1"/>
  <c r="P133" i="1"/>
  <c r="P82" i="1"/>
  <c r="P132" i="1"/>
  <c r="P57" i="1"/>
  <c r="P71" i="1"/>
  <c r="P26" i="1"/>
  <c r="P127" i="1"/>
  <c r="P11" i="1"/>
  <c r="P8" i="1"/>
  <c r="P39" i="1"/>
  <c r="P97" i="1"/>
  <c r="P63" i="1"/>
  <c r="P64" i="1"/>
  <c r="P42" i="1"/>
  <c r="P93" i="1"/>
  <c r="S88" i="1"/>
  <c r="S95" i="1"/>
  <c r="S121" i="1"/>
  <c r="S140" i="1"/>
  <c r="S34" i="1"/>
  <c r="S113" i="1"/>
  <c r="S132" i="1"/>
  <c r="S44" i="1"/>
  <c r="S96" i="1"/>
  <c r="S75" i="1"/>
  <c r="S45" i="1"/>
  <c r="S28" i="1"/>
  <c r="S53" i="1"/>
  <c r="S86" i="1"/>
  <c r="S119" i="1"/>
  <c r="S114" i="1"/>
  <c r="S24" i="1"/>
  <c r="R34" i="1"/>
  <c r="H133" i="5"/>
  <c r="D147" i="1"/>
  <c r="F4" i="5"/>
  <c r="E95" i="5"/>
  <c r="F95" i="5" s="1"/>
  <c r="E84" i="5"/>
  <c r="E105" i="5"/>
  <c r="F105" i="5" s="1"/>
  <c r="F4" i="4"/>
  <c r="F3" i="4" s="1"/>
  <c r="M147" i="1"/>
  <c r="L150" i="9" l="1"/>
  <c r="K157" i="1" s="1"/>
  <c r="K158" i="1" s="1"/>
  <c r="K159" i="1" s="1"/>
  <c r="P147" i="1"/>
  <c r="U34" i="1"/>
  <c r="E3" i="5"/>
  <c r="F84" i="5"/>
  <c r="F3" i="5" s="1"/>
  <c r="I2" i="4"/>
  <c r="V34" i="1" l="1"/>
  <c r="W34" i="1" s="1"/>
  <c r="L151" i="9"/>
  <c r="I2" i="5"/>
  <c r="G51" i="4"/>
  <c r="H51" i="4" s="1"/>
  <c r="S38" i="1" s="1"/>
  <c r="G15" i="4"/>
  <c r="H15" i="4" s="1"/>
  <c r="S64" i="1" s="1"/>
  <c r="G48" i="4"/>
  <c r="H48" i="4" s="1"/>
  <c r="S141" i="1" s="1"/>
  <c r="G17" i="4"/>
  <c r="H17" i="4" s="1"/>
  <c r="G12" i="4"/>
  <c r="H12" i="4" s="1"/>
  <c r="S43" i="1" s="1"/>
  <c r="G32" i="4"/>
  <c r="H32" i="4" s="1"/>
  <c r="S39" i="1" s="1"/>
  <c r="G5" i="4"/>
  <c r="H5" i="4" s="1"/>
  <c r="G40" i="4"/>
  <c r="H40" i="4" s="1"/>
  <c r="S42" i="1" s="1"/>
  <c r="G13" i="4"/>
  <c r="H13" i="4" s="1"/>
  <c r="S52" i="1" s="1"/>
  <c r="G10" i="4"/>
  <c r="H10" i="4" s="1"/>
  <c r="S126" i="1" s="1"/>
  <c r="G47" i="4"/>
  <c r="H47" i="4" s="1"/>
  <c r="G4" i="4"/>
  <c r="H4" i="4" s="1"/>
  <c r="G8" i="4"/>
  <c r="H8" i="4" s="1"/>
  <c r="G52" i="4"/>
  <c r="H52" i="4" s="1"/>
  <c r="G36" i="4"/>
  <c r="H36" i="4" s="1"/>
  <c r="G11" i="4"/>
  <c r="H11" i="4" s="1"/>
  <c r="S40" i="1" s="1"/>
  <c r="G49" i="4"/>
  <c r="H49" i="4" s="1"/>
  <c r="S77" i="1" s="1"/>
  <c r="G54" i="4"/>
  <c r="H54" i="4" s="1"/>
  <c r="S4" i="1" s="1"/>
  <c r="G20" i="4"/>
  <c r="H20" i="4" s="1"/>
  <c r="S91" i="1" s="1"/>
  <c r="G53" i="4"/>
  <c r="H53" i="4" s="1"/>
  <c r="G30" i="4"/>
  <c r="H30" i="4" s="1"/>
  <c r="S105" i="1" s="1"/>
  <c r="G44" i="4"/>
  <c r="H44" i="4" s="1"/>
  <c r="S72" i="1" s="1"/>
  <c r="G43" i="4"/>
  <c r="H43" i="4" s="1"/>
  <c r="S20" i="1" s="1"/>
  <c r="G35" i="4"/>
  <c r="H35" i="4" s="1"/>
  <c r="S81" i="1" s="1"/>
  <c r="G31" i="4"/>
  <c r="H31" i="4" s="1"/>
  <c r="S17" i="1" s="1"/>
  <c r="G16" i="4"/>
  <c r="H16" i="4" s="1"/>
  <c r="G14" i="4"/>
  <c r="H14" i="4" s="1"/>
  <c r="S56" i="1" s="1"/>
  <c r="G19" i="4"/>
  <c r="H19" i="4" s="1"/>
  <c r="S89" i="1" s="1"/>
  <c r="G28" i="4"/>
  <c r="H28" i="4" s="1"/>
  <c r="S138" i="1" s="1"/>
  <c r="G39" i="4"/>
  <c r="H39" i="4" s="1"/>
  <c r="G45" i="4"/>
  <c r="H45" i="4" s="1"/>
  <c r="G18" i="4"/>
  <c r="H18" i="4" s="1"/>
  <c r="S79" i="1" s="1"/>
  <c r="G9" i="4"/>
  <c r="H9" i="4" s="1"/>
  <c r="S37" i="1" s="1"/>
  <c r="G27" i="4"/>
  <c r="H27" i="4" s="1"/>
  <c r="S136" i="1" s="1"/>
  <c r="G22" i="4"/>
  <c r="H22" i="4" s="1"/>
  <c r="S111" i="1" s="1"/>
  <c r="G6" i="4"/>
  <c r="H6" i="4" s="1"/>
  <c r="G41" i="4"/>
  <c r="H41" i="4" s="1"/>
  <c r="S66" i="1" s="1"/>
  <c r="G34" i="4"/>
  <c r="H34" i="4" s="1"/>
  <c r="S36" i="1" s="1"/>
  <c r="G23" i="4"/>
  <c r="H23" i="4" s="1"/>
  <c r="S116" i="1" s="1"/>
  <c r="G25" i="4"/>
  <c r="H25" i="4" s="1"/>
  <c r="S130" i="1" s="1"/>
  <c r="G26" i="4"/>
  <c r="H26" i="4" s="1"/>
  <c r="G7" i="4"/>
  <c r="H7" i="4" s="1"/>
  <c r="S8" i="1" s="1"/>
  <c r="G46" i="4"/>
  <c r="H46" i="4" s="1"/>
  <c r="G38" i="4"/>
  <c r="H38" i="4" s="1"/>
  <c r="S76" i="1" s="1"/>
  <c r="G21" i="4"/>
  <c r="H21" i="4" s="1"/>
  <c r="G24" i="4"/>
  <c r="H24" i="4" s="1"/>
  <c r="G50" i="4"/>
  <c r="H50" i="4" s="1"/>
  <c r="S112" i="1" s="1"/>
  <c r="G33" i="4"/>
  <c r="H33" i="4" s="1"/>
  <c r="G29" i="4"/>
  <c r="H29" i="4" s="1"/>
  <c r="S15" i="1" s="1"/>
  <c r="G42" i="4"/>
  <c r="H42" i="4" s="1"/>
  <c r="G37" i="4"/>
  <c r="H37" i="4" s="1"/>
  <c r="S51" i="1" s="1"/>
  <c r="K151" i="1"/>
  <c r="R61" i="1"/>
  <c r="R93" i="1"/>
  <c r="G112" i="5" l="1"/>
  <c r="H112" i="5" s="1"/>
  <c r="R22" i="1" s="1"/>
  <c r="G4" i="5"/>
  <c r="H4" i="5" s="1"/>
  <c r="R5" i="1" s="1"/>
  <c r="G63" i="5"/>
  <c r="H63" i="5" s="1"/>
  <c r="I63" i="5" s="1"/>
  <c r="G23" i="5"/>
  <c r="H23" i="5" s="1"/>
  <c r="I23" i="5" s="1"/>
  <c r="G28" i="5"/>
  <c r="H28" i="5" s="1"/>
  <c r="R50" i="1" s="1"/>
  <c r="U4" i="1"/>
  <c r="U17" i="1"/>
  <c r="U91" i="1"/>
  <c r="G74" i="5"/>
  <c r="H74" i="5" s="1"/>
  <c r="I74" i="5" s="1"/>
  <c r="G116" i="5"/>
  <c r="H116" i="5" s="1"/>
  <c r="I116" i="5" s="1"/>
  <c r="G50" i="5"/>
  <c r="H50" i="5" s="1"/>
  <c r="R94" i="1" s="1"/>
  <c r="G49" i="5"/>
  <c r="H49" i="5" s="1"/>
  <c r="R92" i="1" s="1"/>
  <c r="G100" i="5"/>
  <c r="H100" i="5" s="1"/>
  <c r="I100" i="5" s="1"/>
  <c r="G61" i="5"/>
  <c r="H61" i="5" s="1"/>
  <c r="I61" i="5" s="1"/>
  <c r="G54" i="5"/>
  <c r="H54" i="5" s="1"/>
  <c r="R97" i="1" s="1"/>
  <c r="G98" i="5"/>
  <c r="H98" i="5" s="1"/>
  <c r="I98" i="5" s="1"/>
  <c r="G103" i="5"/>
  <c r="H103" i="5" s="1"/>
  <c r="I103" i="5" s="1"/>
  <c r="G30" i="5"/>
  <c r="H30" i="5" s="1"/>
  <c r="I30" i="5" s="1"/>
  <c r="G104" i="5"/>
  <c r="H104" i="5" s="1"/>
  <c r="I104" i="5" s="1"/>
  <c r="G46" i="5"/>
  <c r="H46" i="5" s="1"/>
  <c r="I46" i="5" s="1"/>
  <c r="G70" i="5"/>
  <c r="H70" i="5" s="1"/>
  <c r="I70" i="5" s="1"/>
  <c r="G40" i="5"/>
  <c r="H40" i="5" s="1"/>
  <c r="I40" i="5" s="1"/>
  <c r="G41" i="5"/>
  <c r="H41" i="5" s="1"/>
  <c r="R35" i="1" s="1"/>
  <c r="G101" i="5"/>
  <c r="H101" i="5" s="1"/>
  <c r="R42" i="1" s="1"/>
  <c r="G36" i="5"/>
  <c r="H36" i="5" s="1"/>
  <c r="R62" i="1" s="1"/>
  <c r="G93" i="5"/>
  <c r="H93" i="5" s="1"/>
  <c r="R88" i="1" s="1"/>
  <c r="G95" i="5"/>
  <c r="H95" i="5" s="1"/>
  <c r="I95" i="5" s="1"/>
  <c r="G37" i="5"/>
  <c r="H37" i="5" s="1"/>
  <c r="I37" i="5" s="1"/>
  <c r="G102" i="5"/>
  <c r="H102" i="5" s="1"/>
  <c r="I102" i="5" s="1"/>
  <c r="G13" i="5"/>
  <c r="H13" i="5" s="1"/>
  <c r="I13" i="5" s="1"/>
  <c r="G84" i="5"/>
  <c r="H84" i="5" s="1"/>
  <c r="I84" i="5" s="1"/>
  <c r="G52" i="5"/>
  <c r="H52" i="5" s="1"/>
  <c r="I52" i="5" s="1"/>
  <c r="G60" i="5"/>
  <c r="H60" i="5" s="1"/>
  <c r="I60" i="5" s="1"/>
  <c r="G111" i="5"/>
  <c r="H111" i="5" s="1"/>
  <c r="R84" i="1" s="1"/>
  <c r="G68" i="5"/>
  <c r="H68" i="5" s="1"/>
  <c r="I68" i="5" s="1"/>
  <c r="G18" i="5"/>
  <c r="H18" i="5" s="1"/>
  <c r="R30" i="1" s="1"/>
  <c r="G62" i="5"/>
  <c r="H62" i="5" s="1"/>
  <c r="I62" i="5" s="1"/>
  <c r="G71" i="5"/>
  <c r="H71" i="5" s="1"/>
  <c r="I71" i="5" s="1"/>
  <c r="G48" i="5"/>
  <c r="H48" i="5" s="1"/>
  <c r="I48" i="5" s="1"/>
  <c r="G51" i="5"/>
  <c r="H51" i="5" s="1"/>
  <c r="R95" i="1" s="1"/>
  <c r="G42" i="5"/>
  <c r="H42" i="5" s="1"/>
  <c r="I42" i="5" s="1"/>
  <c r="G76" i="5"/>
  <c r="H76" i="5" s="1"/>
  <c r="I76" i="5" s="1"/>
  <c r="G92" i="5"/>
  <c r="H92" i="5" s="1"/>
  <c r="I92" i="5" s="1"/>
  <c r="G72" i="5"/>
  <c r="H72" i="5" s="1"/>
  <c r="R120" i="1" s="1"/>
  <c r="G80" i="5"/>
  <c r="H80" i="5" s="1"/>
  <c r="R113" i="1" s="1"/>
  <c r="G32" i="5"/>
  <c r="H32" i="5" s="1"/>
  <c r="I32" i="5" s="1"/>
  <c r="G107" i="5"/>
  <c r="H107" i="5" s="1"/>
  <c r="I107" i="5" s="1"/>
  <c r="G38" i="5"/>
  <c r="H38" i="5" s="1"/>
  <c r="I38" i="5" s="1"/>
  <c r="G8" i="5"/>
  <c r="H8" i="5" s="1"/>
  <c r="R12" i="1" s="1"/>
  <c r="G121" i="5"/>
  <c r="H121" i="5" s="1"/>
  <c r="I121" i="5" s="1"/>
  <c r="G64" i="5"/>
  <c r="H64" i="5" s="1"/>
  <c r="R111" i="1" s="1"/>
  <c r="G14" i="5"/>
  <c r="H14" i="5" s="1"/>
  <c r="I14" i="5" s="1"/>
  <c r="G25" i="5"/>
  <c r="H25" i="5" s="1"/>
  <c r="I25" i="5" s="1"/>
  <c r="G44" i="5"/>
  <c r="H44" i="5" s="1"/>
  <c r="G9" i="5"/>
  <c r="H9" i="5" s="1"/>
  <c r="I9" i="5" s="1"/>
  <c r="G31" i="5"/>
  <c r="H31" i="5" s="1"/>
  <c r="I31" i="5" s="1"/>
  <c r="G122" i="5"/>
  <c r="H122" i="5" s="1"/>
  <c r="I122" i="5" s="1"/>
  <c r="G69" i="5"/>
  <c r="H69" i="5" s="1"/>
  <c r="I69" i="5" s="1"/>
  <c r="G81" i="5"/>
  <c r="H81" i="5" s="1"/>
  <c r="I81" i="5" s="1"/>
  <c r="R124" i="1"/>
  <c r="G110" i="5"/>
  <c r="H110" i="5" s="1"/>
  <c r="H3" i="4"/>
  <c r="G106" i="5"/>
  <c r="H106" i="5" s="1"/>
  <c r="I106" i="5" s="1"/>
  <c r="G29" i="5"/>
  <c r="H29" i="5" s="1"/>
  <c r="G43" i="5"/>
  <c r="H43" i="5" s="1"/>
  <c r="G113" i="5"/>
  <c r="H113" i="5" s="1"/>
  <c r="I113" i="5" s="1"/>
  <c r="G75" i="5"/>
  <c r="H75" i="5" s="1"/>
  <c r="I75" i="5" s="1"/>
  <c r="G47" i="5"/>
  <c r="H47" i="5" s="1"/>
  <c r="I47" i="5" s="1"/>
  <c r="G20" i="5"/>
  <c r="H20" i="5" s="1"/>
  <c r="G53" i="5"/>
  <c r="H53" i="5" s="1"/>
  <c r="G119" i="5"/>
  <c r="H119" i="5" s="1"/>
  <c r="I119" i="5" s="1"/>
  <c r="G12" i="5"/>
  <c r="H12" i="5" s="1"/>
  <c r="I12" i="5" s="1"/>
  <c r="G67" i="5"/>
  <c r="H67" i="5" s="1"/>
  <c r="G57" i="5"/>
  <c r="H57" i="5" s="1"/>
  <c r="R101" i="1" s="1"/>
  <c r="G85" i="5"/>
  <c r="H85" i="5" s="1"/>
  <c r="G45" i="5"/>
  <c r="H45" i="5" s="1"/>
  <c r="I45" i="5" s="1"/>
  <c r="G78" i="5"/>
  <c r="H78" i="5" s="1"/>
  <c r="I78" i="5" s="1"/>
  <c r="G33" i="5"/>
  <c r="H33" i="5" s="1"/>
  <c r="I33" i="5" s="1"/>
  <c r="G99" i="5"/>
  <c r="H99" i="5" s="1"/>
  <c r="I99" i="5" s="1"/>
  <c r="G26" i="5"/>
  <c r="H26" i="5" s="1"/>
  <c r="G88" i="5"/>
  <c r="H88" i="5" s="1"/>
  <c r="R39" i="1" s="1"/>
  <c r="G117" i="5"/>
  <c r="H117" i="5" s="1"/>
  <c r="I117" i="5" s="1"/>
  <c r="G82" i="5"/>
  <c r="H82" i="5" s="1"/>
  <c r="I82" i="5" s="1"/>
  <c r="G5" i="5"/>
  <c r="H5" i="5" s="1"/>
  <c r="G16" i="5"/>
  <c r="H16" i="5" s="1"/>
  <c r="I16" i="5" s="1"/>
  <c r="G19" i="5"/>
  <c r="H19" i="5" s="1"/>
  <c r="I19" i="5" s="1"/>
  <c r="G66" i="5"/>
  <c r="H66" i="5" s="1"/>
  <c r="G22" i="5"/>
  <c r="H22" i="5" s="1"/>
  <c r="G15" i="5"/>
  <c r="H15" i="5" s="1"/>
  <c r="I15" i="5" s="1"/>
  <c r="G55" i="5"/>
  <c r="H55" i="5" s="1"/>
  <c r="R55" i="1" s="1"/>
  <c r="G120" i="5"/>
  <c r="H120" i="5" s="1"/>
  <c r="G73" i="5"/>
  <c r="H73" i="5" s="1"/>
  <c r="R125" i="1" s="1"/>
  <c r="G35" i="5"/>
  <c r="H35" i="5" s="1"/>
  <c r="R87" i="1" s="1"/>
  <c r="G118" i="5"/>
  <c r="H118" i="5" s="1"/>
  <c r="R68" i="1" s="1"/>
  <c r="G58" i="5"/>
  <c r="H58" i="5" s="1"/>
  <c r="G96" i="5"/>
  <c r="H96" i="5" s="1"/>
  <c r="G97" i="5"/>
  <c r="H97" i="5" s="1"/>
  <c r="G65" i="5"/>
  <c r="H65" i="5" s="1"/>
  <c r="I65" i="5" s="1"/>
  <c r="G91" i="5"/>
  <c r="H91" i="5" s="1"/>
  <c r="G105" i="5"/>
  <c r="H105" i="5" s="1"/>
  <c r="R46" i="1" s="1"/>
  <c r="G83" i="5"/>
  <c r="H83" i="5" s="1"/>
  <c r="R74" i="1" s="1"/>
  <c r="G39" i="5"/>
  <c r="H39" i="5" s="1"/>
  <c r="I39" i="5" s="1"/>
  <c r="G27" i="5"/>
  <c r="H27" i="5" s="1"/>
  <c r="G114" i="5"/>
  <c r="H114" i="5" s="1"/>
  <c r="G94" i="5"/>
  <c r="H94" i="5" s="1"/>
  <c r="G34" i="5"/>
  <c r="H34" i="5" s="1"/>
  <c r="R99" i="1" s="1"/>
  <c r="G56" i="5"/>
  <c r="H56" i="5" s="1"/>
  <c r="I56" i="5" s="1"/>
  <c r="G77" i="5"/>
  <c r="H77" i="5" s="1"/>
  <c r="R41" i="1" s="1"/>
  <c r="G87" i="5"/>
  <c r="H87" i="5" s="1"/>
  <c r="R119" i="1" s="1"/>
  <c r="G109" i="5"/>
  <c r="H109" i="5" s="1"/>
  <c r="G11" i="5"/>
  <c r="H11" i="5" s="1"/>
  <c r="G6" i="5"/>
  <c r="H6" i="5" s="1"/>
  <c r="I6" i="5" s="1"/>
  <c r="G79" i="5"/>
  <c r="H79" i="5" s="1"/>
  <c r="I79" i="5" s="1"/>
  <c r="G115" i="5"/>
  <c r="H115" i="5" s="1"/>
  <c r="I115" i="5" s="1"/>
  <c r="G17" i="5"/>
  <c r="H17" i="5" s="1"/>
  <c r="I17" i="5" s="1"/>
  <c r="G21" i="5"/>
  <c r="H21" i="5" s="1"/>
  <c r="I21" i="5" s="1"/>
  <c r="G59" i="5"/>
  <c r="H59" i="5" s="1"/>
  <c r="I59" i="5" s="1"/>
  <c r="R75" i="1"/>
  <c r="R142" i="1"/>
  <c r="G108" i="5"/>
  <c r="H108" i="5" s="1"/>
  <c r="R78" i="1" s="1"/>
  <c r="G10" i="5"/>
  <c r="H10" i="5" s="1"/>
  <c r="R32" i="1" s="1"/>
  <c r="G24" i="5"/>
  <c r="H24" i="5" s="1"/>
  <c r="R40" i="1" s="1"/>
  <c r="G90" i="5"/>
  <c r="H90" i="5" s="1"/>
  <c r="G86" i="5"/>
  <c r="H86" i="5" s="1"/>
  <c r="R105" i="1" s="1"/>
  <c r="G7" i="5"/>
  <c r="H7" i="5" s="1"/>
  <c r="R11" i="1" s="1"/>
  <c r="G89" i="5"/>
  <c r="H89" i="5" s="1"/>
  <c r="R36" i="1" s="1"/>
  <c r="R49" i="1"/>
  <c r="R129" i="1"/>
  <c r="R67" i="1"/>
  <c r="R19" i="1"/>
  <c r="R132" i="1"/>
  <c r="R106" i="1"/>
  <c r="R70" i="1"/>
  <c r="U61" i="1"/>
  <c r="R139" i="1"/>
  <c r="R7" i="1"/>
  <c r="I21" i="4"/>
  <c r="S55" i="1"/>
  <c r="I45" i="4"/>
  <c r="S118" i="1"/>
  <c r="I36" i="4"/>
  <c r="S128" i="1"/>
  <c r="S144" i="1"/>
  <c r="I19" i="4"/>
  <c r="I14" i="4"/>
  <c r="S97" i="1"/>
  <c r="I18" i="4"/>
  <c r="S125" i="1"/>
  <c r="I39" i="4"/>
  <c r="S33" i="1"/>
  <c r="S12" i="1"/>
  <c r="I7" i="4"/>
  <c r="I31" i="4"/>
  <c r="S63" i="1"/>
  <c r="I38" i="4"/>
  <c r="S93" i="1"/>
  <c r="S14" i="1"/>
  <c r="I8" i="4"/>
  <c r="S94" i="1"/>
  <c r="I13" i="4"/>
  <c r="I5" i="4"/>
  <c r="S9" i="1"/>
  <c r="S6" i="1"/>
  <c r="I32" i="4"/>
  <c r="S30" i="1"/>
  <c r="I37" i="4"/>
  <c r="S47" i="1"/>
  <c r="I41" i="4"/>
  <c r="S80" i="1"/>
  <c r="S26" i="1"/>
  <c r="I30" i="4"/>
  <c r="I12" i="4"/>
  <c r="S143" i="1"/>
  <c r="S19" i="1"/>
  <c r="I24" i="4"/>
  <c r="I52" i="4"/>
  <c r="S129" i="1"/>
  <c r="S127" i="1"/>
  <c r="S120" i="1"/>
  <c r="I25" i="4"/>
  <c r="I23" i="4"/>
  <c r="S67" i="1"/>
  <c r="I40" i="4"/>
  <c r="S73" i="1"/>
  <c r="I44" i="4"/>
  <c r="S25" i="1"/>
  <c r="I42" i="4"/>
  <c r="S82" i="1"/>
  <c r="S13" i="1"/>
  <c r="I6" i="4"/>
  <c r="I53" i="4"/>
  <c r="S70" i="1"/>
  <c r="I17" i="4"/>
  <c r="I11" i="4"/>
  <c r="S35" i="1"/>
  <c r="I46" i="4"/>
  <c r="S109" i="1"/>
  <c r="S7" i="1"/>
  <c r="I4" i="4"/>
  <c r="I26" i="4"/>
  <c r="S107" i="1"/>
  <c r="I16" i="4"/>
  <c r="S131" i="1"/>
  <c r="I43" i="4"/>
  <c r="S108" i="1"/>
  <c r="I29" i="4"/>
  <c r="S74" i="1"/>
  <c r="I22" i="4"/>
  <c r="S137" i="1"/>
  <c r="S146" i="1"/>
  <c r="I20" i="4"/>
  <c r="I48" i="4"/>
  <c r="S31" i="1"/>
  <c r="I28" i="4"/>
  <c r="S83" i="1"/>
  <c r="I35" i="4"/>
  <c r="S65" i="1"/>
  <c r="I33" i="4"/>
  <c r="S71" i="1"/>
  <c r="S3" i="1"/>
  <c r="I27" i="4"/>
  <c r="I54" i="4"/>
  <c r="S41" i="1"/>
  <c r="I15" i="4"/>
  <c r="S104" i="1"/>
  <c r="I47" i="4"/>
  <c r="S10" i="1"/>
  <c r="I10" i="4"/>
  <c r="S18" i="1"/>
  <c r="S59" i="1"/>
  <c r="I34" i="4"/>
  <c r="I50" i="4"/>
  <c r="S68" i="1"/>
  <c r="I9" i="4"/>
  <c r="S69" i="1"/>
  <c r="I49" i="4"/>
  <c r="S5" i="1"/>
  <c r="S123" i="1"/>
  <c r="I51" i="4"/>
  <c r="V91" i="1" l="1"/>
  <c r="W91" i="1" s="1"/>
  <c r="V17" i="1"/>
  <c r="W17" i="1" s="1"/>
  <c r="V61" i="1"/>
  <c r="W61" i="1" s="1"/>
  <c r="V4" i="1"/>
  <c r="W4" i="1" s="1"/>
  <c r="I112" i="5"/>
  <c r="R77" i="1"/>
  <c r="U77" i="1" s="1"/>
  <c r="R126" i="1"/>
  <c r="U126" i="1" s="1"/>
  <c r="R76" i="1"/>
  <c r="U76" i="1" s="1"/>
  <c r="I28" i="5"/>
  <c r="R110" i="1"/>
  <c r="U110" i="1" s="1"/>
  <c r="I4" i="5"/>
  <c r="U50" i="1"/>
  <c r="U106" i="1"/>
  <c r="U75" i="1"/>
  <c r="U113" i="1"/>
  <c r="U42" i="1"/>
  <c r="U132" i="1"/>
  <c r="U62" i="1"/>
  <c r="U39" i="1"/>
  <c r="U11" i="1"/>
  <c r="U105" i="1"/>
  <c r="I50" i="5"/>
  <c r="U40" i="1"/>
  <c r="U119" i="1"/>
  <c r="U87" i="1"/>
  <c r="U111" i="1"/>
  <c r="U142" i="1"/>
  <c r="U88" i="1"/>
  <c r="U49" i="1"/>
  <c r="U32" i="1"/>
  <c r="U84" i="1"/>
  <c r="U78" i="1"/>
  <c r="U124" i="1"/>
  <c r="U46" i="1"/>
  <c r="R104" i="1"/>
  <c r="U104" i="1" s="1"/>
  <c r="U99" i="1"/>
  <c r="U101" i="1"/>
  <c r="I49" i="5"/>
  <c r="I54" i="5"/>
  <c r="R140" i="1"/>
  <c r="R127" i="1"/>
  <c r="U5" i="1"/>
  <c r="U93" i="1"/>
  <c r="R21" i="1"/>
  <c r="R14" i="1"/>
  <c r="R53" i="1"/>
  <c r="R89" i="1"/>
  <c r="R122" i="1"/>
  <c r="I41" i="5"/>
  <c r="I101" i="5"/>
  <c r="I93" i="5"/>
  <c r="R64" i="1"/>
  <c r="R66" i="1"/>
  <c r="R96" i="1"/>
  <c r="R130" i="1"/>
  <c r="I36" i="5"/>
  <c r="R108" i="1"/>
  <c r="R86" i="1"/>
  <c r="R23" i="1"/>
  <c r="R145" i="1"/>
  <c r="I111" i="5"/>
  <c r="R83" i="1"/>
  <c r="R109" i="1"/>
  <c r="U109" i="1" s="1"/>
  <c r="I51" i="5"/>
  <c r="R43" i="1"/>
  <c r="I64" i="5"/>
  <c r="R90" i="1"/>
  <c r="R25" i="1"/>
  <c r="I18" i="5"/>
  <c r="R47" i="1"/>
  <c r="R45" i="1"/>
  <c r="R82" i="1"/>
  <c r="U120" i="1"/>
  <c r="R136" i="1"/>
  <c r="R131" i="1"/>
  <c r="R56" i="1"/>
  <c r="R65" i="1"/>
  <c r="R72" i="1"/>
  <c r="I80" i="5"/>
  <c r="I72" i="5"/>
  <c r="I8" i="5"/>
  <c r="R54" i="1"/>
  <c r="R143" i="1"/>
  <c r="R79" i="1"/>
  <c r="R137" i="1"/>
  <c r="R13" i="1"/>
  <c r="R112" i="1"/>
  <c r="R121" i="1"/>
  <c r="R138" i="1"/>
  <c r="I44" i="5"/>
  <c r="R85" i="1"/>
  <c r="R98" i="1"/>
  <c r="R128" i="1"/>
  <c r="R80" i="1"/>
  <c r="U35" i="1"/>
  <c r="R51" i="1"/>
  <c r="R31" i="1"/>
  <c r="I43" i="5"/>
  <c r="R9" i="1"/>
  <c r="R44" i="1"/>
  <c r="R26" i="1"/>
  <c r="R10" i="1"/>
  <c r="R63" i="1"/>
  <c r="R15" i="1"/>
  <c r="R73" i="1"/>
  <c r="R100" i="1"/>
  <c r="I27" i="5"/>
  <c r="R48" i="1"/>
  <c r="I66" i="5"/>
  <c r="R115" i="1"/>
  <c r="R28" i="1"/>
  <c r="R114" i="1"/>
  <c r="R8" i="1"/>
  <c r="I91" i="5"/>
  <c r="R81" i="1"/>
  <c r="R58" i="1"/>
  <c r="R33" i="1"/>
  <c r="R107" i="1"/>
  <c r="I53" i="5"/>
  <c r="R59" i="1"/>
  <c r="R27" i="1"/>
  <c r="I58" i="5"/>
  <c r="R102" i="1"/>
  <c r="I29" i="5"/>
  <c r="R52" i="1"/>
  <c r="R57" i="1"/>
  <c r="R29" i="1"/>
  <c r="I22" i="5"/>
  <c r="R37" i="1"/>
  <c r="I5" i="5"/>
  <c r="R6" i="1"/>
  <c r="I110" i="5"/>
  <c r="R69" i="1"/>
  <c r="R144" i="1"/>
  <c r="R141" i="1"/>
  <c r="R117" i="1"/>
  <c r="R135" i="1"/>
  <c r="R24" i="1"/>
  <c r="R133" i="1"/>
  <c r="R123" i="1"/>
  <c r="R38" i="1"/>
  <c r="I85" i="5"/>
  <c r="R146" i="1"/>
  <c r="R134" i="1"/>
  <c r="R3" i="1"/>
  <c r="R116" i="1"/>
  <c r="R103" i="1"/>
  <c r="H3" i="5"/>
  <c r="I57" i="5"/>
  <c r="I20" i="5"/>
  <c r="I67" i="5"/>
  <c r="I96" i="5"/>
  <c r="U68" i="1"/>
  <c r="I118" i="5"/>
  <c r="I88" i="5"/>
  <c r="I35" i="5"/>
  <c r="I87" i="5"/>
  <c r="I120" i="5"/>
  <c r="I26" i="5"/>
  <c r="I105" i="5"/>
  <c r="U74" i="1"/>
  <c r="U55" i="1"/>
  <c r="I55" i="5"/>
  <c r="I73" i="5"/>
  <c r="I77" i="5"/>
  <c r="I34" i="5"/>
  <c r="I97" i="5"/>
  <c r="I11" i="5"/>
  <c r="I83" i="5"/>
  <c r="I94" i="5"/>
  <c r="I109" i="5"/>
  <c r="I114" i="5"/>
  <c r="U97" i="1"/>
  <c r="U67" i="1"/>
  <c r="I86" i="5"/>
  <c r="I10" i="5"/>
  <c r="R60" i="1"/>
  <c r="R20" i="1"/>
  <c r="I89" i="5"/>
  <c r="I7" i="5"/>
  <c r="R16" i="1"/>
  <c r="I90" i="5"/>
  <c r="R71" i="1"/>
  <c r="I24" i="5"/>
  <c r="R18" i="1"/>
  <c r="R118" i="1"/>
  <c r="I108" i="5"/>
  <c r="U70" i="1"/>
  <c r="U125" i="1"/>
  <c r="U92" i="1"/>
  <c r="V93" i="1"/>
  <c r="W93" i="1" s="1"/>
  <c r="U36" i="1"/>
  <c r="U95" i="1"/>
  <c r="U129" i="1"/>
  <c r="U94" i="1"/>
  <c r="U7" i="1"/>
  <c r="U22" i="1"/>
  <c r="U41" i="1"/>
  <c r="U30" i="1"/>
  <c r="U139" i="1"/>
  <c r="U19" i="1"/>
  <c r="U12" i="1"/>
  <c r="S147" i="1"/>
  <c r="V22" i="1" l="1"/>
  <c r="W22" i="1" s="1"/>
  <c r="V125" i="1"/>
  <c r="W125" i="1" s="1"/>
  <c r="V7" i="1"/>
  <c r="W7" i="1" s="1"/>
  <c r="V36" i="1"/>
  <c r="W36" i="1" s="1"/>
  <c r="V78" i="1"/>
  <c r="W78" i="1" s="1"/>
  <c r="V11" i="1"/>
  <c r="W11" i="1" s="1"/>
  <c r="V76" i="1"/>
  <c r="W76" i="1" s="1"/>
  <c r="V30" i="1"/>
  <c r="W30" i="1" s="1"/>
  <c r="V94" i="1"/>
  <c r="W94" i="1" s="1"/>
  <c r="V35" i="1"/>
  <c r="W35" i="1" s="1"/>
  <c r="V109" i="1"/>
  <c r="W109" i="1" s="1"/>
  <c r="V104" i="1"/>
  <c r="W104" i="1" s="1"/>
  <c r="V84" i="1"/>
  <c r="W84" i="1" s="1"/>
  <c r="V142" i="1"/>
  <c r="W142" i="1" s="1"/>
  <c r="V40" i="1"/>
  <c r="W40" i="1" s="1"/>
  <c r="V39" i="1"/>
  <c r="W39" i="1" s="1"/>
  <c r="V113" i="1"/>
  <c r="W113" i="1" s="1"/>
  <c r="V126" i="1"/>
  <c r="W126" i="1" s="1"/>
  <c r="V19" i="1"/>
  <c r="W19" i="1" s="1"/>
  <c r="V95" i="1"/>
  <c r="W95" i="1" s="1"/>
  <c r="V139" i="1"/>
  <c r="W139" i="1" s="1"/>
  <c r="V70" i="1"/>
  <c r="W70" i="1" s="1"/>
  <c r="V99" i="1"/>
  <c r="W99" i="1" s="1"/>
  <c r="V88" i="1"/>
  <c r="W88" i="1" s="1"/>
  <c r="V119" i="1"/>
  <c r="W119" i="1" s="1"/>
  <c r="V42" i="1"/>
  <c r="W42" i="1" s="1"/>
  <c r="V50" i="1"/>
  <c r="W50" i="1" s="1"/>
  <c r="V12" i="1"/>
  <c r="W12" i="1" s="1"/>
  <c r="V41" i="1"/>
  <c r="W41" i="1" s="1"/>
  <c r="V129" i="1"/>
  <c r="W129" i="1" s="1"/>
  <c r="V92" i="1"/>
  <c r="W92" i="1" s="1"/>
  <c r="V67" i="1"/>
  <c r="W67" i="1" s="1"/>
  <c r="V55" i="1"/>
  <c r="W55" i="1" s="1"/>
  <c r="V46" i="1"/>
  <c r="W46" i="1" s="1"/>
  <c r="V32" i="1"/>
  <c r="W32" i="1" s="1"/>
  <c r="V111" i="1"/>
  <c r="W111" i="1" s="1"/>
  <c r="V62" i="1"/>
  <c r="W62" i="1" s="1"/>
  <c r="V75" i="1"/>
  <c r="W75" i="1" s="1"/>
  <c r="V110" i="1"/>
  <c r="W110" i="1" s="1"/>
  <c r="V77" i="1"/>
  <c r="W77" i="1" s="1"/>
  <c r="V97" i="1"/>
  <c r="W97" i="1" s="1"/>
  <c r="V74" i="1"/>
  <c r="W74" i="1" s="1"/>
  <c r="V68" i="1"/>
  <c r="W68" i="1" s="1"/>
  <c r="V120" i="1"/>
  <c r="W120" i="1" s="1"/>
  <c r="V101" i="1"/>
  <c r="W101" i="1" s="1"/>
  <c r="V124" i="1"/>
  <c r="W124" i="1" s="1"/>
  <c r="V49" i="1"/>
  <c r="W49" i="1" s="1"/>
  <c r="V87" i="1"/>
  <c r="W87" i="1" s="1"/>
  <c r="V105" i="1"/>
  <c r="W105" i="1" s="1"/>
  <c r="V132" i="1"/>
  <c r="W132" i="1" s="1"/>
  <c r="V106" i="1"/>
  <c r="W106" i="1" s="1"/>
  <c r="U6" i="1"/>
  <c r="U58" i="1"/>
  <c r="U44" i="1"/>
  <c r="U79" i="1"/>
  <c r="U25" i="1"/>
  <c r="U64" i="1"/>
  <c r="U103" i="1"/>
  <c r="U3" i="1"/>
  <c r="U37" i="1"/>
  <c r="U8" i="1"/>
  <c r="U31" i="1"/>
  <c r="U43" i="1"/>
  <c r="U116" i="1"/>
  <c r="U134" i="1"/>
  <c r="U114" i="1"/>
  <c r="U51" i="1"/>
  <c r="U122" i="1"/>
  <c r="U146" i="1"/>
  <c r="U29" i="1"/>
  <c r="U28" i="1"/>
  <c r="U89" i="1"/>
  <c r="U143" i="1"/>
  <c r="U54" i="1"/>
  <c r="U115" i="1"/>
  <c r="U80" i="1"/>
  <c r="U72" i="1"/>
  <c r="U83" i="1"/>
  <c r="U53" i="1"/>
  <c r="U90" i="1"/>
  <c r="U38" i="1"/>
  <c r="U52" i="1"/>
  <c r="U128" i="1"/>
  <c r="U65" i="1"/>
  <c r="U14" i="1"/>
  <c r="U20" i="1"/>
  <c r="U98" i="1"/>
  <c r="U56" i="1"/>
  <c r="U145" i="1"/>
  <c r="U21" i="1"/>
  <c r="U81" i="1"/>
  <c r="U60" i="1"/>
  <c r="U57" i="1"/>
  <c r="U48" i="1"/>
  <c r="U118" i="1"/>
  <c r="U133" i="1"/>
  <c r="U102" i="1"/>
  <c r="U85" i="1"/>
  <c r="U131" i="1"/>
  <c r="U23" i="1"/>
  <c r="U9" i="1"/>
  <c r="U100" i="1"/>
  <c r="U136" i="1"/>
  <c r="U86" i="1"/>
  <c r="U135" i="1"/>
  <c r="U27" i="1"/>
  <c r="U73" i="1"/>
  <c r="U138" i="1"/>
  <c r="U108" i="1"/>
  <c r="U127" i="1"/>
  <c r="U123" i="1"/>
  <c r="U117" i="1"/>
  <c r="U59" i="1"/>
  <c r="U15" i="1"/>
  <c r="U121" i="1"/>
  <c r="U82" i="1"/>
  <c r="U140" i="1"/>
  <c r="U24" i="1"/>
  <c r="U141" i="1"/>
  <c r="U63" i="1"/>
  <c r="U112" i="1"/>
  <c r="U45" i="1"/>
  <c r="U130" i="1"/>
  <c r="U71" i="1"/>
  <c r="U16" i="1"/>
  <c r="U107" i="1"/>
  <c r="U10" i="1"/>
  <c r="U13" i="1"/>
  <c r="U47" i="1"/>
  <c r="U96" i="1"/>
  <c r="U18" i="1"/>
  <c r="U144" i="1"/>
  <c r="U69" i="1"/>
  <c r="U33" i="1"/>
  <c r="U26" i="1"/>
  <c r="U137" i="1"/>
  <c r="U66" i="1"/>
  <c r="R147" i="1"/>
  <c r="V5" i="1"/>
  <c r="V69" i="1" l="1"/>
  <c r="W69" i="1" s="1"/>
  <c r="V16" i="1"/>
  <c r="W16" i="1" s="1"/>
  <c r="V140" i="1"/>
  <c r="W140" i="1" s="1"/>
  <c r="V59" i="1"/>
  <c r="W59" i="1" s="1"/>
  <c r="V135" i="1"/>
  <c r="W135" i="1" s="1"/>
  <c r="V102" i="1"/>
  <c r="W102" i="1" s="1"/>
  <c r="V14" i="1"/>
  <c r="W14" i="1" s="1"/>
  <c r="V72" i="1"/>
  <c r="W72" i="1" s="1"/>
  <c r="V143" i="1"/>
  <c r="W143" i="1" s="1"/>
  <c r="V134" i="1"/>
  <c r="W134" i="1" s="1"/>
  <c r="V64" i="1"/>
  <c r="W64" i="1" s="1"/>
  <c r="V137" i="1"/>
  <c r="W137" i="1" s="1"/>
  <c r="V13" i="1"/>
  <c r="W13" i="1" s="1"/>
  <c r="V63" i="1"/>
  <c r="W63" i="1" s="1"/>
  <c r="V117" i="1"/>
  <c r="W117" i="1" s="1"/>
  <c r="V86" i="1"/>
  <c r="W86" i="1" s="1"/>
  <c r="V133" i="1"/>
  <c r="W133" i="1" s="1"/>
  <c r="V56" i="1"/>
  <c r="W56" i="1" s="1"/>
  <c r="V90" i="1"/>
  <c r="W90" i="1" s="1"/>
  <c r="V89" i="1"/>
  <c r="W89" i="1" s="1"/>
  <c r="V122" i="1"/>
  <c r="W122" i="1" s="1"/>
  <c r="V37" i="1"/>
  <c r="W37" i="1" s="1"/>
  <c r="V25" i="1"/>
  <c r="W25" i="1" s="1"/>
  <c r="V26" i="1"/>
  <c r="W26" i="1" s="1"/>
  <c r="V18" i="1"/>
  <c r="W18" i="1" s="1"/>
  <c r="V10" i="1"/>
  <c r="W10" i="1" s="1"/>
  <c r="V130" i="1"/>
  <c r="W130" i="1" s="1"/>
  <c r="V141" i="1"/>
  <c r="W141" i="1" s="1"/>
  <c r="V121" i="1"/>
  <c r="W121" i="1" s="1"/>
  <c r="V123" i="1"/>
  <c r="W123" i="1" s="1"/>
  <c r="V73" i="1"/>
  <c r="W73" i="1" s="1"/>
  <c r="V136" i="1"/>
  <c r="W136" i="1" s="1"/>
  <c r="V131" i="1"/>
  <c r="W131" i="1" s="1"/>
  <c r="V118" i="1"/>
  <c r="W118" i="1" s="1"/>
  <c r="V81" i="1"/>
  <c r="W81" i="1" s="1"/>
  <c r="V98" i="1"/>
  <c r="W98" i="1" s="1"/>
  <c r="V128" i="1"/>
  <c r="W128" i="1" s="1"/>
  <c r="V53" i="1"/>
  <c r="W53" i="1" s="1"/>
  <c r="V115" i="1"/>
  <c r="W115" i="1" s="1"/>
  <c r="V28" i="1"/>
  <c r="W28" i="1" s="1"/>
  <c r="V51" i="1"/>
  <c r="W51" i="1" s="1"/>
  <c r="V43" i="1"/>
  <c r="W43" i="1" s="1"/>
  <c r="V3" i="1"/>
  <c r="W3" i="1" s="1"/>
  <c r="V79" i="1"/>
  <c r="W79" i="1" s="1"/>
  <c r="V66" i="1"/>
  <c r="W66" i="1" s="1"/>
  <c r="V47" i="1"/>
  <c r="W47" i="1" s="1"/>
  <c r="V112" i="1"/>
  <c r="W112" i="1" s="1"/>
  <c r="V108" i="1"/>
  <c r="W108" i="1" s="1"/>
  <c r="V9" i="1"/>
  <c r="W9" i="1" s="1"/>
  <c r="V57" i="1"/>
  <c r="W57" i="1" s="1"/>
  <c r="V145" i="1"/>
  <c r="W145" i="1" s="1"/>
  <c r="V38" i="1"/>
  <c r="W38" i="1" s="1"/>
  <c r="V146" i="1"/>
  <c r="W146" i="1" s="1"/>
  <c r="V8" i="1"/>
  <c r="W8" i="1" s="1"/>
  <c r="V58" i="1"/>
  <c r="W58" i="1" s="1"/>
  <c r="V144" i="1"/>
  <c r="W144" i="1" s="1"/>
  <c r="V71" i="1"/>
  <c r="W71" i="1" s="1"/>
  <c r="V82" i="1"/>
  <c r="W82" i="1" s="1"/>
  <c r="V138" i="1"/>
  <c r="W138" i="1" s="1"/>
  <c r="V23" i="1"/>
  <c r="W23" i="1" s="1"/>
  <c r="V60" i="1"/>
  <c r="W60" i="1" s="1"/>
  <c r="V65" i="1"/>
  <c r="W65" i="1" s="1"/>
  <c r="V80" i="1"/>
  <c r="W80" i="1" s="1"/>
  <c r="V116" i="1"/>
  <c r="W116" i="1" s="1"/>
  <c r="V6" i="1"/>
  <c r="W6" i="1" s="1"/>
  <c r="V33" i="1"/>
  <c r="W33" i="1" s="1"/>
  <c r="V96" i="1"/>
  <c r="W96" i="1" s="1"/>
  <c r="V107" i="1"/>
  <c r="W107" i="1" s="1"/>
  <c r="V45" i="1"/>
  <c r="W45" i="1" s="1"/>
  <c r="V24" i="1"/>
  <c r="W24" i="1" s="1"/>
  <c r="V15" i="1"/>
  <c r="W15" i="1" s="1"/>
  <c r="V127" i="1"/>
  <c r="W127" i="1" s="1"/>
  <c r="V27" i="1"/>
  <c r="W27" i="1" s="1"/>
  <c r="V100" i="1"/>
  <c r="W100" i="1" s="1"/>
  <c r="V85" i="1"/>
  <c r="W85" i="1" s="1"/>
  <c r="V48" i="1"/>
  <c r="W48" i="1" s="1"/>
  <c r="V21" i="1"/>
  <c r="W21" i="1" s="1"/>
  <c r="V20" i="1"/>
  <c r="W20" i="1" s="1"/>
  <c r="V52" i="1"/>
  <c r="W52" i="1" s="1"/>
  <c r="V83" i="1"/>
  <c r="W83" i="1" s="1"/>
  <c r="V54" i="1"/>
  <c r="W54" i="1" s="1"/>
  <c r="V29" i="1"/>
  <c r="W29" i="1" s="1"/>
  <c r="V114" i="1"/>
  <c r="W114" i="1" s="1"/>
  <c r="V31" i="1"/>
  <c r="W31" i="1" s="1"/>
  <c r="V103" i="1"/>
  <c r="W103" i="1" s="1"/>
  <c r="V44" i="1"/>
  <c r="W44" i="1" s="1"/>
  <c r="U147" i="1"/>
  <c r="W5" i="1"/>
  <c r="V147" i="1" l="1"/>
  <c r="W147" i="1" s="1"/>
  <c r="K150" i="1"/>
  <c r="K152" i="1" s="1"/>
  <c r="K153" i="1" s="1"/>
  <c r="X36" i="1" l="1"/>
  <c r="Y36" i="1" s="1"/>
  <c r="X141" i="1"/>
  <c r="Y141" i="1" s="1"/>
  <c r="X78" i="1"/>
  <c r="Y78" i="1" s="1"/>
  <c r="X57" i="1"/>
  <c r="Y57" i="1" s="1"/>
  <c r="X22" i="1"/>
  <c r="Y22" i="1" s="1"/>
  <c r="X96" i="1"/>
  <c r="Y96" i="1" s="1"/>
  <c r="X40" i="1"/>
  <c r="Y40" i="1" s="1"/>
  <c r="X14" i="1"/>
  <c r="Y14" i="1" s="1"/>
  <c r="X74" i="1"/>
  <c r="Y74" i="1" s="1"/>
  <c r="X3" i="1"/>
  <c r="X51" i="1"/>
  <c r="Y51" i="1" s="1"/>
  <c r="X114" i="1"/>
  <c r="Y114" i="1" s="1"/>
  <c r="X54" i="1"/>
  <c r="Y54" i="1" s="1"/>
  <c r="X70" i="1"/>
  <c r="Y70" i="1" s="1"/>
  <c r="X123" i="1"/>
  <c r="Y123" i="1" s="1"/>
  <c r="X124" i="1"/>
  <c r="Y124" i="1" s="1"/>
  <c r="X53" i="1"/>
  <c r="Y53" i="1" s="1"/>
  <c r="X88" i="1"/>
  <c r="Y88" i="1" s="1"/>
  <c r="X129" i="1"/>
  <c r="Y129" i="1" s="1"/>
  <c r="X125" i="1"/>
  <c r="Y125" i="1" s="1"/>
  <c r="X146" i="1"/>
  <c r="Y146" i="1" s="1"/>
  <c r="X17" i="1"/>
  <c r="Y17" i="1" s="1"/>
  <c r="X144" i="1"/>
  <c r="Y144" i="1" s="1"/>
  <c r="X99" i="1"/>
  <c r="Y99" i="1" s="1"/>
  <c r="X5" i="1"/>
  <c r="Y5" i="1" s="1"/>
  <c r="X111" i="1"/>
  <c r="Y111" i="1" s="1"/>
  <c r="X132" i="1"/>
  <c r="Y132" i="1" s="1"/>
  <c r="X126" i="1"/>
  <c r="Y126" i="1" s="1"/>
  <c r="X63" i="1"/>
  <c r="Y63" i="1" s="1"/>
  <c r="X90" i="1"/>
  <c r="Y90" i="1" s="1"/>
  <c r="X79" i="1"/>
  <c r="Y79" i="1" s="1"/>
  <c r="X100" i="1"/>
  <c r="Y100" i="1" s="1"/>
  <c r="X56" i="1"/>
  <c r="Y56" i="1" s="1"/>
  <c r="X81" i="1"/>
  <c r="Y81" i="1" s="1"/>
  <c r="X128" i="1"/>
  <c r="Y128" i="1" s="1"/>
  <c r="X23" i="1"/>
  <c r="Y23" i="1" s="1"/>
  <c r="X72" i="1"/>
  <c r="Y72" i="1" s="1"/>
  <c r="X8" i="1"/>
  <c r="Y8" i="1" s="1"/>
  <c r="X9" i="1"/>
  <c r="Y9" i="1" s="1"/>
  <c r="X27" i="1"/>
  <c r="Y27" i="1" s="1"/>
  <c r="X108" i="1"/>
  <c r="Y108" i="1" s="1"/>
  <c r="X37" i="1"/>
  <c r="Y37" i="1" s="1"/>
  <c r="X30" i="1"/>
  <c r="Y30" i="1" s="1"/>
  <c r="X98" i="1"/>
  <c r="Y98" i="1" s="1"/>
  <c r="X112" i="1"/>
  <c r="Y112" i="1" s="1"/>
  <c r="X69" i="1"/>
  <c r="Y69" i="1" s="1"/>
  <c r="X34" i="1"/>
  <c r="Y34" i="1" s="1"/>
  <c r="X95" i="1"/>
  <c r="Y95" i="1" s="1"/>
  <c r="X142" i="1"/>
  <c r="Y142" i="1" s="1"/>
  <c r="X45" i="1"/>
  <c r="Y45" i="1" s="1"/>
  <c r="X29" i="1"/>
  <c r="Y29" i="1" s="1"/>
  <c r="X143" i="1"/>
  <c r="Y143" i="1" s="1"/>
  <c r="X66" i="1"/>
  <c r="Y66" i="1" s="1"/>
  <c r="X91" i="1"/>
  <c r="Y91" i="1" s="1"/>
  <c r="X19" i="1"/>
  <c r="Y19" i="1" s="1"/>
  <c r="X15" i="1"/>
  <c r="Y15" i="1" s="1"/>
  <c r="X82" i="1"/>
  <c r="Y82" i="1" s="1"/>
  <c r="X32" i="1"/>
  <c r="Y32" i="1" s="1"/>
  <c r="X83" i="1"/>
  <c r="Y83" i="1" s="1"/>
  <c r="X49" i="1"/>
  <c r="Y49" i="1" s="1"/>
  <c r="X94" i="1"/>
  <c r="Y94" i="1" s="1"/>
  <c r="X28" i="1"/>
  <c r="Y28" i="1" s="1"/>
  <c r="X38" i="1"/>
  <c r="Y38" i="1" s="1"/>
  <c r="X55" i="1"/>
  <c r="Y55" i="1" s="1"/>
  <c r="X11" i="1"/>
  <c r="Y11" i="1" s="1"/>
  <c r="X24" i="1"/>
  <c r="Y24" i="1" s="1"/>
  <c r="X137" i="1"/>
  <c r="Y137" i="1" s="1"/>
  <c r="X122" i="1"/>
  <c r="Y122" i="1" s="1"/>
  <c r="X92" i="1"/>
  <c r="Y92" i="1" s="1"/>
  <c r="X58" i="1"/>
  <c r="Y58" i="1" s="1"/>
  <c r="X43" i="1"/>
  <c r="Y43" i="1" s="1"/>
  <c r="X140" i="1"/>
  <c r="Y140" i="1" s="1"/>
  <c r="X103" i="1"/>
  <c r="Y103" i="1" s="1"/>
  <c r="X86" i="1"/>
  <c r="Y86" i="1" s="1"/>
  <c r="X59" i="1"/>
  <c r="Y59" i="1" s="1"/>
  <c r="X16" i="1"/>
  <c r="Y16" i="1" s="1"/>
  <c r="X106" i="1"/>
  <c r="Y106" i="1" s="1"/>
  <c r="X50" i="1"/>
  <c r="Y50" i="1" s="1"/>
  <c r="X26" i="1"/>
  <c r="Y26" i="1" s="1"/>
  <c r="X118" i="1"/>
  <c r="Y118" i="1" s="1"/>
  <c r="X67" i="1"/>
  <c r="Y67" i="1" s="1"/>
  <c r="X136" i="1"/>
  <c r="Y136" i="1" s="1"/>
  <c r="X97" i="1"/>
  <c r="Y97" i="1" s="1"/>
  <c r="X18" i="1"/>
  <c r="Y18" i="1" s="1"/>
  <c r="X84" i="1"/>
  <c r="Y84" i="1" s="1"/>
  <c r="X7" i="1"/>
  <c r="Y7" i="1" s="1"/>
  <c r="X6" i="1"/>
  <c r="Y6" i="1" s="1"/>
  <c r="X117" i="1"/>
  <c r="Y117" i="1" s="1"/>
  <c r="X116" i="1"/>
  <c r="Y116" i="1" s="1"/>
  <c r="X105" i="1"/>
  <c r="Y105" i="1" s="1"/>
  <c r="X120" i="1"/>
  <c r="Y120" i="1" s="1"/>
  <c r="X44" i="1"/>
  <c r="Y44" i="1" s="1"/>
  <c r="X46" i="1"/>
  <c r="Y46" i="1" s="1"/>
  <c r="X115" i="1"/>
  <c r="Y115" i="1" s="1"/>
  <c r="X52" i="1"/>
  <c r="Y52" i="1" s="1"/>
  <c r="X12" i="1"/>
  <c r="Y12" i="1" s="1"/>
  <c r="X119" i="1"/>
  <c r="Y119" i="1" s="1"/>
  <c r="X60" i="1"/>
  <c r="Y60" i="1" s="1"/>
  <c r="X13" i="1"/>
  <c r="Y13" i="1" s="1"/>
  <c r="X85" i="1"/>
  <c r="Y85" i="1" s="1"/>
  <c r="X101" i="1"/>
  <c r="Y101" i="1" s="1"/>
  <c r="X33" i="1"/>
  <c r="Y33" i="1" s="1"/>
  <c r="X65" i="1"/>
  <c r="Y65" i="1" s="1"/>
  <c r="X89" i="1"/>
  <c r="Y89" i="1" s="1"/>
  <c r="X135" i="1"/>
  <c r="Y135" i="1" s="1"/>
  <c r="X35" i="1"/>
  <c r="Y35" i="1" s="1"/>
  <c r="X145" i="1"/>
  <c r="Y145" i="1" s="1"/>
  <c r="X109" i="1"/>
  <c r="Y109" i="1" s="1"/>
  <c r="X110" i="1"/>
  <c r="Y110" i="1" s="1"/>
  <c r="X73" i="1"/>
  <c r="Y73" i="1" s="1"/>
  <c r="X25" i="1"/>
  <c r="Y25" i="1" s="1"/>
  <c r="X71" i="1"/>
  <c r="Y71" i="1" s="1"/>
  <c r="X80" i="1"/>
  <c r="Y80" i="1" s="1"/>
  <c r="X131" i="1"/>
  <c r="Y131" i="1" s="1"/>
  <c r="X64" i="1"/>
  <c r="Y64" i="1" s="1"/>
  <c r="X130" i="1"/>
  <c r="Y130" i="1" s="1"/>
  <c r="X133" i="1"/>
  <c r="Y133" i="1" s="1"/>
  <c r="X139" i="1"/>
  <c r="Y139" i="1" s="1"/>
  <c r="X41" i="1"/>
  <c r="Y41" i="1" s="1"/>
  <c r="X62" i="1"/>
  <c r="Y62" i="1" s="1"/>
  <c r="X138" i="1"/>
  <c r="Y138" i="1" s="1"/>
  <c r="X48" i="1"/>
  <c r="Y48" i="1" s="1"/>
  <c r="X134" i="1"/>
  <c r="Y134" i="1" s="1"/>
  <c r="X39" i="1"/>
  <c r="Y39" i="1" s="1"/>
  <c r="X76" i="1"/>
  <c r="Y76" i="1" s="1"/>
  <c r="X75" i="1"/>
  <c r="Y75" i="1" s="1"/>
  <c r="X77" i="1"/>
  <c r="Y77" i="1" s="1"/>
  <c r="X107" i="1"/>
  <c r="Y107" i="1" s="1"/>
  <c r="X93" i="1"/>
  <c r="Y93" i="1" s="1"/>
  <c r="X47" i="1"/>
  <c r="Y47" i="1" s="1"/>
  <c r="X20" i="1"/>
  <c r="Y20" i="1" s="1"/>
  <c r="X87" i="1"/>
  <c r="Y87" i="1" s="1"/>
  <c r="X10" i="1"/>
  <c r="Y10" i="1" s="1"/>
  <c r="X21" i="1"/>
  <c r="Y21" i="1" s="1"/>
  <c r="X102" i="1"/>
  <c r="Y102" i="1" s="1"/>
  <c r="X31" i="1"/>
  <c r="Y31" i="1" s="1"/>
  <c r="X4" i="1"/>
  <c r="Y4" i="1" s="1"/>
  <c r="X61" i="1"/>
  <c r="Y61" i="1" s="1"/>
  <c r="X42" i="1"/>
  <c r="Y42" i="1" s="1"/>
  <c r="X68" i="1"/>
  <c r="Y68" i="1" s="1"/>
  <c r="X127" i="1"/>
  <c r="Y127" i="1" s="1"/>
  <c r="X104" i="1"/>
  <c r="Y104" i="1" s="1"/>
  <c r="X113" i="1"/>
  <c r="Y113" i="1" s="1"/>
  <c r="X121" i="1"/>
  <c r="Y121" i="1" s="1"/>
  <c r="AA15" i="1" l="1"/>
  <c r="AA143" i="1"/>
  <c r="AA95" i="1"/>
  <c r="AA98" i="1"/>
  <c r="AA27" i="1"/>
  <c r="AA23" i="1"/>
  <c r="AA100" i="1"/>
  <c r="AA126" i="1"/>
  <c r="AA99" i="1"/>
  <c r="AA125" i="1"/>
  <c r="AA124" i="1"/>
  <c r="AA114" i="1"/>
  <c r="AA14" i="1"/>
  <c r="AA57" i="1"/>
  <c r="AA121" i="1"/>
  <c r="AA87" i="1"/>
  <c r="AA62" i="1"/>
  <c r="AA109" i="1"/>
  <c r="AA12" i="1"/>
  <c r="AA44" i="1"/>
  <c r="AA117" i="1"/>
  <c r="AA18" i="1"/>
  <c r="AA118" i="1"/>
  <c r="AA16" i="1"/>
  <c r="AA140" i="1"/>
  <c r="AA122" i="1"/>
  <c r="AA55" i="1"/>
  <c r="AA49" i="1"/>
  <c r="AA113" i="1"/>
  <c r="AA42" i="1"/>
  <c r="AA102" i="1"/>
  <c r="AA20" i="1"/>
  <c r="AA77" i="1"/>
  <c r="AA134" i="1"/>
  <c r="AA41" i="1"/>
  <c r="AA64" i="1"/>
  <c r="AA25" i="1"/>
  <c r="AA145" i="1"/>
  <c r="AA65" i="1"/>
  <c r="AA13" i="1"/>
  <c r="AA52" i="1"/>
  <c r="AA120" i="1"/>
  <c r="AA6" i="1"/>
  <c r="AA97" i="1"/>
  <c r="AA26" i="1"/>
  <c r="AA59" i="1"/>
  <c r="AA43" i="1"/>
  <c r="AA137" i="1"/>
  <c r="AA38" i="1"/>
  <c r="AA83" i="1"/>
  <c r="AA19" i="1"/>
  <c r="AA29" i="1"/>
  <c r="AA34" i="1"/>
  <c r="AA30" i="1"/>
  <c r="AA9" i="1"/>
  <c r="AA128" i="1"/>
  <c r="AA79" i="1"/>
  <c r="AA132" i="1"/>
  <c r="AA144" i="1"/>
  <c r="AA129" i="1"/>
  <c r="AA123" i="1"/>
  <c r="AA51" i="1"/>
  <c r="AA40" i="1"/>
  <c r="AA78" i="1"/>
  <c r="AA68" i="1"/>
  <c r="AA107" i="1"/>
  <c r="AA71" i="1"/>
  <c r="AA85" i="1"/>
  <c r="AA61" i="1"/>
  <c r="AA47" i="1"/>
  <c r="AA139" i="1"/>
  <c r="AA73" i="1"/>
  <c r="AA33" i="1"/>
  <c r="AA115" i="1"/>
  <c r="AA7" i="1"/>
  <c r="AA50" i="1"/>
  <c r="AA58" i="1"/>
  <c r="AA24" i="1"/>
  <c r="AA28" i="1"/>
  <c r="AA32" i="1"/>
  <c r="AA91" i="1"/>
  <c r="AA45" i="1"/>
  <c r="AA69" i="1"/>
  <c r="AA37" i="1"/>
  <c r="AA8" i="1"/>
  <c r="AA81" i="1"/>
  <c r="AA90" i="1"/>
  <c r="AA111" i="1"/>
  <c r="AA17" i="1"/>
  <c r="AA88" i="1"/>
  <c r="AA70" i="1"/>
  <c r="AA96" i="1"/>
  <c r="AA141" i="1"/>
  <c r="AA31" i="1"/>
  <c r="AA39" i="1"/>
  <c r="AA130" i="1"/>
  <c r="AA89" i="1"/>
  <c r="AA104" i="1"/>
  <c r="AA21" i="1"/>
  <c r="AA75" i="1"/>
  <c r="AA48" i="1"/>
  <c r="AA131" i="1"/>
  <c r="AA35" i="1"/>
  <c r="AA60" i="1"/>
  <c r="AA105" i="1"/>
  <c r="AA136" i="1"/>
  <c r="AA86" i="1"/>
  <c r="AA127" i="1"/>
  <c r="AA4" i="1"/>
  <c r="AA10" i="1"/>
  <c r="AA93" i="1"/>
  <c r="AA76" i="1"/>
  <c r="AA138" i="1"/>
  <c r="AA133" i="1"/>
  <c r="AA80" i="1"/>
  <c r="AA110" i="1"/>
  <c r="AA135" i="1"/>
  <c r="AA101" i="1"/>
  <c r="AA119" i="1"/>
  <c r="AA46" i="1"/>
  <c r="AA116" i="1"/>
  <c r="AA84" i="1"/>
  <c r="AA67" i="1"/>
  <c r="AA106" i="1"/>
  <c r="AA103" i="1"/>
  <c r="AA92" i="1"/>
  <c r="AA11" i="1"/>
  <c r="AA94" i="1"/>
  <c r="AA82" i="1"/>
  <c r="AA66" i="1"/>
  <c r="AA142" i="1"/>
  <c r="AA112" i="1"/>
  <c r="AA108" i="1"/>
  <c r="AA72" i="1"/>
  <c r="AA56" i="1"/>
  <c r="AA63" i="1"/>
  <c r="AA5" i="1"/>
  <c r="AA146" i="1"/>
  <c r="AA53" i="1"/>
  <c r="AA54" i="1"/>
  <c r="AA74" i="1"/>
  <c r="AA22" i="1"/>
  <c r="AA36" i="1"/>
  <c r="Y3" i="1"/>
  <c r="X147" i="1"/>
  <c r="AC74" i="1" l="1"/>
  <c r="AG74" i="1" s="1"/>
  <c r="AB74" i="1"/>
  <c r="AC5" i="1"/>
  <c r="AG5" i="1" s="1"/>
  <c r="AB5" i="1"/>
  <c r="AC108" i="1"/>
  <c r="AG108" i="1" s="1"/>
  <c r="AB108" i="1"/>
  <c r="AC82" i="1"/>
  <c r="AH82" i="1" s="1"/>
  <c r="AB82" i="1"/>
  <c r="AC103" i="1"/>
  <c r="AH103" i="1" s="1"/>
  <c r="AB103" i="1"/>
  <c r="AC116" i="1"/>
  <c r="AG116" i="1" s="1"/>
  <c r="AB116" i="1"/>
  <c r="AC135" i="1"/>
  <c r="AG135" i="1" s="1"/>
  <c r="AB135" i="1"/>
  <c r="AC138" i="1"/>
  <c r="AI138" i="1" s="1"/>
  <c r="AB138" i="1"/>
  <c r="AC4" i="1"/>
  <c r="AG4" i="1" s="1"/>
  <c r="AB4" i="1"/>
  <c r="AC105" i="1"/>
  <c r="AI105" i="1" s="1"/>
  <c r="AB105" i="1"/>
  <c r="AC48" i="1"/>
  <c r="AH48" i="1" s="1"/>
  <c r="AB48" i="1"/>
  <c r="AC89" i="1"/>
  <c r="AH89" i="1" s="1"/>
  <c r="AB89" i="1"/>
  <c r="AC141" i="1"/>
  <c r="AG141" i="1" s="1"/>
  <c r="AB141" i="1"/>
  <c r="AC17" i="1"/>
  <c r="AH17" i="1" s="1"/>
  <c r="AK17" i="1" s="1"/>
  <c r="AB17" i="1"/>
  <c r="AC8" i="1"/>
  <c r="AG8" i="1" s="1"/>
  <c r="AB8" i="1"/>
  <c r="AC91" i="1"/>
  <c r="AI91" i="1" s="1"/>
  <c r="AB91" i="1"/>
  <c r="AC58" i="1"/>
  <c r="AH58" i="1" s="1"/>
  <c r="AB58" i="1"/>
  <c r="AC33" i="1"/>
  <c r="AG33" i="1" s="1"/>
  <c r="AB33" i="1"/>
  <c r="AC61" i="1"/>
  <c r="AI61" i="1" s="1"/>
  <c r="AB61" i="1"/>
  <c r="AC68" i="1"/>
  <c r="AG68" i="1" s="1"/>
  <c r="AB68" i="1"/>
  <c r="AC54" i="1"/>
  <c r="AB54" i="1"/>
  <c r="AC63" i="1"/>
  <c r="AG63" i="1" s="1"/>
  <c r="AB63" i="1"/>
  <c r="AC112" i="1"/>
  <c r="AH112" i="1" s="1"/>
  <c r="AB112" i="1"/>
  <c r="AC94" i="1"/>
  <c r="AH94" i="1" s="1"/>
  <c r="AB94" i="1"/>
  <c r="AC106" i="1"/>
  <c r="AI106" i="1" s="1"/>
  <c r="AB106" i="1"/>
  <c r="AC46" i="1"/>
  <c r="AI46" i="1" s="1"/>
  <c r="AB46" i="1"/>
  <c r="AC110" i="1"/>
  <c r="AH110" i="1" s="1"/>
  <c r="AK110" i="1" s="1"/>
  <c r="AB110" i="1"/>
  <c r="AC76" i="1"/>
  <c r="AI76" i="1" s="1"/>
  <c r="AB76" i="1"/>
  <c r="AC127" i="1"/>
  <c r="AG127" i="1" s="1"/>
  <c r="AB127" i="1"/>
  <c r="AC60" i="1"/>
  <c r="AI60" i="1" s="1"/>
  <c r="AB60" i="1"/>
  <c r="AC75" i="1"/>
  <c r="AG75" i="1" s="1"/>
  <c r="AB75" i="1"/>
  <c r="AC130" i="1"/>
  <c r="AI130" i="1" s="1"/>
  <c r="AB130" i="1"/>
  <c r="AC96" i="1"/>
  <c r="AB96" i="1"/>
  <c r="AC111" i="1"/>
  <c r="AI111" i="1" s="1"/>
  <c r="AB111" i="1"/>
  <c r="AC37" i="1"/>
  <c r="AH37" i="1" s="1"/>
  <c r="AB37" i="1"/>
  <c r="AC32" i="1"/>
  <c r="AI32" i="1" s="1"/>
  <c r="AB32" i="1"/>
  <c r="AC50" i="1"/>
  <c r="AG50" i="1" s="1"/>
  <c r="AB50" i="1"/>
  <c r="AC73" i="1"/>
  <c r="AG73" i="1" s="1"/>
  <c r="AB73" i="1"/>
  <c r="AC85" i="1"/>
  <c r="AI85" i="1" s="1"/>
  <c r="AB85" i="1"/>
  <c r="AC78" i="1"/>
  <c r="AG78" i="1" s="1"/>
  <c r="AB78" i="1"/>
  <c r="AC129" i="1"/>
  <c r="AB129" i="1"/>
  <c r="AC128" i="1"/>
  <c r="AH128" i="1" s="1"/>
  <c r="AB128" i="1"/>
  <c r="AC29" i="1"/>
  <c r="AG29" i="1" s="1"/>
  <c r="AB29" i="1"/>
  <c r="AC137" i="1"/>
  <c r="AG137" i="1" s="1"/>
  <c r="AB137" i="1"/>
  <c r="AC97" i="1"/>
  <c r="AI97" i="1" s="1"/>
  <c r="AB97" i="1"/>
  <c r="AC13" i="1"/>
  <c r="AG13" i="1" s="1"/>
  <c r="AB13" i="1"/>
  <c r="AC64" i="1"/>
  <c r="AG64" i="1" s="1"/>
  <c r="AB64" i="1"/>
  <c r="AC20" i="1"/>
  <c r="AI20" i="1" s="1"/>
  <c r="AB20" i="1"/>
  <c r="AC49" i="1"/>
  <c r="AI49" i="1" s="1"/>
  <c r="AB49" i="1"/>
  <c r="AC16" i="1"/>
  <c r="AI16" i="1" s="1"/>
  <c r="AB16" i="1"/>
  <c r="AC44" i="1"/>
  <c r="AI44" i="1" s="1"/>
  <c r="AB44" i="1"/>
  <c r="AC87" i="1"/>
  <c r="AG87" i="1" s="1"/>
  <c r="AB87" i="1"/>
  <c r="AC114" i="1"/>
  <c r="AI114" i="1" s="1"/>
  <c r="AB114" i="1"/>
  <c r="AC126" i="1"/>
  <c r="AG126" i="1" s="1"/>
  <c r="AB126" i="1"/>
  <c r="AC98" i="1"/>
  <c r="AI98" i="1" s="1"/>
  <c r="AB98" i="1"/>
  <c r="AC36" i="1"/>
  <c r="AI36" i="1" s="1"/>
  <c r="AB36" i="1"/>
  <c r="AC53" i="1"/>
  <c r="AG53" i="1" s="1"/>
  <c r="AB53" i="1"/>
  <c r="AC56" i="1"/>
  <c r="AH56" i="1" s="1"/>
  <c r="AB56" i="1"/>
  <c r="AC142" i="1"/>
  <c r="AI142" i="1" s="1"/>
  <c r="AB142" i="1"/>
  <c r="AG11" i="1"/>
  <c r="AB11" i="1"/>
  <c r="AC67" i="1"/>
  <c r="AG67" i="1" s="1"/>
  <c r="AB67" i="1"/>
  <c r="AC119" i="1"/>
  <c r="AH119" i="1" s="1"/>
  <c r="AB119" i="1"/>
  <c r="AC80" i="1"/>
  <c r="AI80" i="1" s="1"/>
  <c r="AB80" i="1"/>
  <c r="AC93" i="1"/>
  <c r="AI93" i="1" s="1"/>
  <c r="AB93" i="1"/>
  <c r="AC86" i="1"/>
  <c r="AH86" i="1" s="1"/>
  <c r="AB86" i="1"/>
  <c r="AC35" i="1"/>
  <c r="AI35" i="1" s="1"/>
  <c r="AB35" i="1"/>
  <c r="AC21" i="1"/>
  <c r="AG21" i="1" s="1"/>
  <c r="AB21" i="1"/>
  <c r="AC39" i="1"/>
  <c r="AI39" i="1" s="1"/>
  <c r="AB39" i="1"/>
  <c r="AC70" i="1"/>
  <c r="AH70" i="1" s="1"/>
  <c r="AK70" i="1" s="1"/>
  <c r="AB70" i="1"/>
  <c r="AC90" i="1"/>
  <c r="AI90" i="1" s="1"/>
  <c r="AB90" i="1"/>
  <c r="AC69" i="1"/>
  <c r="AG69" i="1" s="1"/>
  <c r="AB69" i="1"/>
  <c r="AC28" i="1"/>
  <c r="AG28" i="1" s="1"/>
  <c r="AB28" i="1"/>
  <c r="AC7" i="1"/>
  <c r="AG7" i="1" s="1"/>
  <c r="AB7" i="1"/>
  <c r="AC139" i="1"/>
  <c r="AI139" i="1" s="1"/>
  <c r="AL139" i="1" s="1"/>
  <c r="AB139" i="1"/>
  <c r="AC71" i="1"/>
  <c r="AI71" i="1" s="1"/>
  <c r="AB71" i="1"/>
  <c r="AC40" i="1"/>
  <c r="AI40" i="1" s="1"/>
  <c r="AB40" i="1"/>
  <c r="AC144" i="1"/>
  <c r="AH144" i="1" s="1"/>
  <c r="AK144" i="1" s="1"/>
  <c r="AB144" i="1"/>
  <c r="AC9" i="1"/>
  <c r="AH9" i="1" s="1"/>
  <c r="AB9" i="1"/>
  <c r="AC19" i="1"/>
  <c r="AH19" i="1" s="1"/>
  <c r="AB19" i="1"/>
  <c r="AC43" i="1"/>
  <c r="AH43" i="1" s="1"/>
  <c r="AB43" i="1"/>
  <c r="AC6" i="1"/>
  <c r="AG6" i="1" s="1"/>
  <c r="AB6" i="1"/>
  <c r="AC65" i="1"/>
  <c r="AI65" i="1" s="1"/>
  <c r="AB65" i="1"/>
  <c r="AC41" i="1"/>
  <c r="AH41" i="1" s="1"/>
  <c r="AK41" i="1" s="1"/>
  <c r="AB41" i="1"/>
  <c r="AC102" i="1"/>
  <c r="AG102" i="1" s="1"/>
  <c r="AB102" i="1"/>
  <c r="AC55" i="1"/>
  <c r="AI55" i="1" s="1"/>
  <c r="AB55" i="1"/>
  <c r="AC118" i="1"/>
  <c r="AG118" i="1" s="1"/>
  <c r="AB118" i="1"/>
  <c r="AC12" i="1"/>
  <c r="AH12" i="1" s="1"/>
  <c r="AB12" i="1"/>
  <c r="AC121" i="1"/>
  <c r="AH121" i="1" s="1"/>
  <c r="AB121" i="1"/>
  <c r="AC124" i="1"/>
  <c r="AI124" i="1" s="1"/>
  <c r="AB124" i="1"/>
  <c r="AC100" i="1"/>
  <c r="AI100" i="1" s="1"/>
  <c r="AB100" i="1"/>
  <c r="AC95" i="1"/>
  <c r="AG95" i="1" s="1"/>
  <c r="AB95" i="1"/>
  <c r="AC22" i="1"/>
  <c r="AH22" i="1" s="1"/>
  <c r="AK22" i="1" s="1"/>
  <c r="AB22" i="1"/>
  <c r="AC146" i="1"/>
  <c r="AG146" i="1" s="1"/>
  <c r="AB146" i="1"/>
  <c r="AC72" i="1"/>
  <c r="AI72" i="1" s="1"/>
  <c r="AB72" i="1"/>
  <c r="AC66" i="1"/>
  <c r="AH66" i="1" s="1"/>
  <c r="AB66" i="1"/>
  <c r="AC92" i="1"/>
  <c r="AG92" i="1" s="1"/>
  <c r="AB92" i="1"/>
  <c r="AC84" i="1"/>
  <c r="AI84" i="1" s="1"/>
  <c r="AB84" i="1"/>
  <c r="AC101" i="1"/>
  <c r="AG101" i="1" s="1"/>
  <c r="AB101" i="1"/>
  <c r="AC133" i="1"/>
  <c r="AI133" i="1" s="1"/>
  <c r="AB133" i="1"/>
  <c r="AC10" i="1"/>
  <c r="AG10" i="1" s="1"/>
  <c r="AB10" i="1"/>
  <c r="AC136" i="1"/>
  <c r="AG136" i="1" s="1"/>
  <c r="AB136" i="1"/>
  <c r="AC131" i="1"/>
  <c r="AH131" i="1" s="1"/>
  <c r="AB131" i="1"/>
  <c r="AC104" i="1"/>
  <c r="AI104" i="1" s="1"/>
  <c r="AL104" i="1" s="1"/>
  <c r="AB104" i="1"/>
  <c r="AC31" i="1"/>
  <c r="AI31" i="1" s="1"/>
  <c r="AB31" i="1"/>
  <c r="AC88" i="1"/>
  <c r="AG88" i="1" s="1"/>
  <c r="AB88" i="1"/>
  <c r="AC81" i="1"/>
  <c r="AG81" i="1" s="1"/>
  <c r="AB81" i="1"/>
  <c r="AC45" i="1"/>
  <c r="AI45" i="1" s="1"/>
  <c r="AB45" i="1"/>
  <c r="AC24" i="1"/>
  <c r="AH24" i="1" s="1"/>
  <c r="AK24" i="1" s="1"/>
  <c r="AB24" i="1"/>
  <c r="AC115" i="1"/>
  <c r="AG115" i="1" s="1"/>
  <c r="AB115" i="1"/>
  <c r="AC47" i="1"/>
  <c r="AH47" i="1" s="1"/>
  <c r="AB47" i="1"/>
  <c r="AC107" i="1"/>
  <c r="AH107" i="1" s="1"/>
  <c r="AB107" i="1"/>
  <c r="AC51" i="1"/>
  <c r="AH51" i="1" s="1"/>
  <c r="AB51" i="1"/>
  <c r="AC132" i="1"/>
  <c r="AH132" i="1" s="1"/>
  <c r="AB132" i="1"/>
  <c r="AC30" i="1"/>
  <c r="AI30" i="1" s="1"/>
  <c r="AB30" i="1"/>
  <c r="AC83" i="1"/>
  <c r="AH83" i="1" s="1"/>
  <c r="AB83" i="1"/>
  <c r="AC59" i="1"/>
  <c r="AI59" i="1" s="1"/>
  <c r="AB59" i="1"/>
  <c r="AC120" i="1"/>
  <c r="AH120" i="1" s="1"/>
  <c r="AB120" i="1"/>
  <c r="AC145" i="1"/>
  <c r="AI145" i="1" s="1"/>
  <c r="AB145" i="1"/>
  <c r="AC134" i="1"/>
  <c r="AH134" i="1" s="1"/>
  <c r="AB134" i="1"/>
  <c r="AC42" i="1"/>
  <c r="AH42" i="1" s="1"/>
  <c r="AB42" i="1"/>
  <c r="AC122" i="1"/>
  <c r="AH122" i="1" s="1"/>
  <c r="AB122" i="1"/>
  <c r="AC18" i="1"/>
  <c r="AH18" i="1" s="1"/>
  <c r="AB18" i="1"/>
  <c r="AC109" i="1"/>
  <c r="AI109" i="1" s="1"/>
  <c r="AB109" i="1"/>
  <c r="AC57" i="1"/>
  <c r="AH57" i="1" s="1"/>
  <c r="AB57" i="1"/>
  <c r="AC125" i="1"/>
  <c r="AG125" i="1" s="1"/>
  <c r="AB125" i="1"/>
  <c r="AC23" i="1"/>
  <c r="AG23" i="1" s="1"/>
  <c r="AB23" i="1"/>
  <c r="AC143" i="1"/>
  <c r="AG143" i="1" s="1"/>
  <c r="AB143" i="1"/>
  <c r="AC123" i="1"/>
  <c r="AH123" i="1" s="1"/>
  <c r="AK123" i="1" s="1"/>
  <c r="AB123" i="1"/>
  <c r="AC79" i="1"/>
  <c r="AI79" i="1" s="1"/>
  <c r="AB79" i="1"/>
  <c r="AC34" i="1"/>
  <c r="AG34" i="1" s="1"/>
  <c r="AB34" i="1"/>
  <c r="AC38" i="1"/>
  <c r="AH38" i="1" s="1"/>
  <c r="AB38" i="1"/>
  <c r="AC26" i="1"/>
  <c r="AI26" i="1" s="1"/>
  <c r="AB26" i="1"/>
  <c r="AC52" i="1"/>
  <c r="AG52" i="1" s="1"/>
  <c r="AB52" i="1"/>
  <c r="AC25" i="1"/>
  <c r="AG25" i="1" s="1"/>
  <c r="AB25" i="1"/>
  <c r="AC77" i="1"/>
  <c r="AH77" i="1" s="1"/>
  <c r="AB77" i="1"/>
  <c r="AC113" i="1"/>
  <c r="AG113" i="1" s="1"/>
  <c r="AB113" i="1"/>
  <c r="AC140" i="1"/>
  <c r="AH140" i="1" s="1"/>
  <c r="AB140" i="1"/>
  <c r="AC117" i="1"/>
  <c r="AH117" i="1" s="1"/>
  <c r="AB117" i="1"/>
  <c r="AC62" i="1"/>
  <c r="AI62" i="1" s="1"/>
  <c r="AB62" i="1"/>
  <c r="AC14" i="1"/>
  <c r="AI14" i="1" s="1"/>
  <c r="AB14" i="1"/>
  <c r="AC99" i="1"/>
  <c r="AI99" i="1" s="1"/>
  <c r="AB99" i="1"/>
  <c r="AC27" i="1"/>
  <c r="AH27" i="1" s="1"/>
  <c r="AB27" i="1"/>
  <c r="AC15" i="1"/>
  <c r="AH15" i="1" s="1"/>
  <c r="AB15" i="1"/>
  <c r="AH108" i="1"/>
  <c r="AI4" i="1"/>
  <c r="AH4" i="1"/>
  <c r="AI48" i="1"/>
  <c r="AG48" i="1"/>
  <c r="AG58" i="1"/>
  <c r="AI58" i="1"/>
  <c r="AH106" i="1"/>
  <c r="AG106" i="1"/>
  <c r="AI127" i="1"/>
  <c r="AH29" i="1"/>
  <c r="AG44" i="1"/>
  <c r="AH44" i="1"/>
  <c r="AH74" i="1"/>
  <c r="AI74" i="1"/>
  <c r="AI135" i="1"/>
  <c r="AH8" i="1"/>
  <c r="AI8" i="1"/>
  <c r="AG61" i="1"/>
  <c r="AH54" i="1"/>
  <c r="AG54" i="1"/>
  <c r="AI54" i="1"/>
  <c r="AG110" i="1"/>
  <c r="AI75" i="1"/>
  <c r="AH75" i="1"/>
  <c r="AH80" i="1"/>
  <c r="AI86" i="1"/>
  <c r="AG103" i="1"/>
  <c r="AI103" i="1"/>
  <c r="AH141" i="1"/>
  <c r="AI141" i="1"/>
  <c r="AI112" i="1"/>
  <c r="AG112" i="1"/>
  <c r="AG96" i="1"/>
  <c r="AI96" i="1"/>
  <c r="AH96" i="1"/>
  <c r="AG37" i="1"/>
  <c r="AI37" i="1"/>
  <c r="AH50" i="1"/>
  <c r="AI50" i="1"/>
  <c r="AG85" i="1"/>
  <c r="AH85" i="1"/>
  <c r="AH129" i="1"/>
  <c r="AK129" i="1" s="1"/>
  <c r="AI129" i="1"/>
  <c r="AL129" i="1" s="1"/>
  <c r="AG129" i="1"/>
  <c r="Y147" i="1"/>
  <c r="AA3" i="1"/>
  <c r="AL72" i="1" l="1"/>
  <c r="AK9" i="1"/>
  <c r="AL91" i="1"/>
  <c r="AH69" i="1"/>
  <c r="AK69" i="1" s="1"/>
  <c r="AL37" i="1"/>
  <c r="AL99" i="1"/>
  <c r="AL62" i="1"/>
  <c r="AL109" i="1"/>
  <c r="AL55" i="1"/>
  <c r="AK37" i="1"/>
  <c r="AH64" i="1"/>
  <c r="AK64" i="1" s="1"/>
  <c r="AI110" i="1"/>
  <c r="AL110" i="1" s="1"/>
  <c r="AH61" i="1"/>
  <c r="AH135" i="1"/>
  <c r="AG114" i="1"/>
  <c r="AJ114" i="1" s="1"/>
  <c r="AH127" i="1"/>
  <c r="AK127" i="1" s="1"/>
  <c r="AI108" i="1"/>
  <c r="AJ129" i="1"/>
  <c r="AK50" i="1"/>
  <c r="AJ112" i="1"/>
  <c r="AK135" i="1"/>
  <c r="AK29" i="1"/>
  <c r="AK15" i="1"/>
  <c r="AK140" i="1"/>
  <c r="AK38" i="1"/>
  <c r="AJ85" i="1"/>
  <c r="AL96" i="1"/>
  <c r="AL103" i="1"/>
  <c r="AK75" i="1"/>
  <c r="AJ61" i="1"/>
  <c r="AK44" i="1"/>
  <c r="AL106" i="1"/>
  <c r="AL50" i="1"/>
  <c r="AJ96" i="1"/>
  <c r="AL141" i="1"/>
  <c r="AJ54" i="1"/>
  <c r="AL74" i="1"/>
  <c r="AL127" i="1"/>
  <c r="AL48" i="1"/>
  <c r="AK27" i="1"/>
  <c r="AK117" i="1"/>
  <c r="AJ25" i="1"/>
  <c r="AJ34" i="1"/>
  <c r="AJ23" i="1"/>
  <c r="AK18" i="1"/>
  <c r="AL145" i="1"/>
  <c r="AL30" i="1"/>
  <c r="AK47" i="1"/>
  <c r="AJ81" i="1"/>
  <c r="AK131" i="1"/>
  <c r="AJ10" i="1"/>
  <c r="AJ92" i="1"/>
  <c r="AK121" i="1"/>
  <c r="AJ102" i="1"/>
  <c r="AK43" i="1"/>
  <c r="AJ28" i="1"/>
  <c r="AL90" i="1"/>
  <c r="AL39" i="1"/>
  <c r="AL35" i="1"/>
  <c r="AL93" i="1"/>
  <c r="AK119" i="1"/>
  <c r="AJ11" i="1"/>
  <c r="AK56" i="1"/>
  <c r="AL36" i="1"/>
  <c r="AJ126" i="1"/>
  <c r="AJ87" i="1"/>
  <c r="AL16" i="1"/>
  <c r="AL20" i="1"/>
  <c r="AJ13" i="1"/>
  <c r="AJ137" i="1"/>
  <c r="AK128" i="1"/>
  <c r="AJ78" i="1"/>
  <c r="AJ73" i="1"/>
  <c r="AL32" i="1"/>
  <c r="AL111" i="1"/>
  <c r="AL130" i="1"/>
  <c r="AL60" i="1"/>
  <c r="AL76" i="1"/>
  <c r="AL46" i="1"/>
  <c r="AK94" i="1"/>
  <c r="AJ63" i="1"/>
  <c r="AJ68" i="1"/>
  <c r="AJ33" i="1"/>
  <c r="AK89" i="1"/>
  <c r="AL105" i="1"/>
  <c r="AL138" i="1"/>
  <c r="AJ116" i="1"/>
  <c r="AK82" i="1"/>
  <c r="AJ5" i="1"/>
  <c r="AK85" i="1"/>
  <c r="AK96" i="1"/>
  <c r="AK141" i="1"/>
  <c r="AK106" i="1"/>
  <c r="AJ48" i="1"/>
  <c r="AL4" i="1"/>
  <c r="AK77" i="1"/>
  <c r="AL112" i="1"/>
  <c r="AL86" i="1"/>
  <c r="AL54" i="1"/>
  <c r="AL135" i="1"/>
  <c r="AK48" i="1"/>
  <c r="AJ37" i="1"/>
  <c r="AJ103" i="1"/>
  <c r="AK80" i="1"/>
  <c r="AL75" i="1"/>
  <c r="AL8" i="1"/>
  <c r="AJ44" i="1"/>
  <c r="AL58" i="1"/>
  <c r="AK108" i="1"/>
  <c r="AL14" i="1"/>
  <c r="AJ113" i="1"/>
  <c r="AL26" i="1"/>
  <c r="AK57" i="1"/>
  <c r="AK42" i="1"/>
  <c r="AL59" i="1"/>
  <c r="AK51" i="1"/>
  <c r="AL31" i="1"/>
  <c r="AJ101" i="1"/>
  <c r="AL100" i="1"/>
  <c r="AJ118" i="1"/>
  <c r="AL65" i="1"/>
  <c r="AL40" i="1"/>
  <c r="AL85" i="1"/>
  <c r="AJ50" i="1"/>
  <c r="AK112" i="1"/>
  <c r="AJ141" i="1"/>
  <c r="AK103" i="1"/>
  <c r="AH67" i="1"/>
  <c r="AJ110" i="1"/>
  <c r="AK54" i="1"/>
  <c r="AK8" i="1"/>
  <c r="AK74" i="1"/>
  <c r="AI29" i="1"/>
  <c r="AJ106" i="1"/>
  <c r="AJ58" i="1"/>
  <c r="AK4" i="1"/>
  <c r="AJ52" i="1"/>
  <c r="AL79" i="1"/>
  <c r="AJ143" i="1"/>
  <c r="AJ125" i="1"/>
  <c r="AK122" i="1"/>
  <c r="AK134" i="1"/>
  <c r="AK120" i="1"/>
  <c r="AK83" i="1"/>
  <c r="AK132" i="1"/>
  <c r="AK107" i="1"/>
  <c r="AJ115" i="1"/>
  <c r="AL45" i="1"/>
  <c r="AJ88" i="1"/>
  <c r="AJ136" i="1"/>
  <c r="AL133" i="1"/>
  <c r="AL84" i="1"/>
  <c r="AK66" i="1"/>
  <c r="AJ146" i="1"/>
  <c r="AJ95" i="1"/>
  <c r="AL124" i="1"/>
  <c r="AK12" i="1"/>
  <c r="AJ6" i="1"/>
  <c r="AK19" i="1"/>
  <c r="AL71" i="1"/>
  <c r="AJ7" i="1"/>
  <c r="AJ69" i="1"/>
  <c r="AJ21" i="1"/>
  <c r="AK86" i="1"/>
  <c r="AL80" i="1"/>
  <c r="AJ67" i="1"/>
  <c r="AL142" i="1"/>
  <c r="AJ53" i="1"/>
  <c r="AL98" i="1"/>
  <c r="AL114" i="1"/>
  <c r="AL44" i="1"/>
  <c r="AL49" i="1"/>
  <c r="AJ64" i="1"/>
  <c r="AL97" i="1"/>
  <c r="AJ29" i="1"/>
  <c r="AJ75" i="1"/>
  <c r="AJ127" i="1"/>
  <c r="AL61" i="1"/>
  <c r="AK58" i="1"/>
  <c r="AJ8" i="1"/>
  <c r="AJ4" i="1"/>
  <c r="AJ135" i="1"/>
  <c r="AJ108" i="1"/>
  <c r="AJ74" i="1"/>
  <c r="AI120" i="1"/>
  <c r="AH124" i="1"/>
  <c r="AH91" i="1"/>
  <c r="AH105" i="1"/>
  <c r="AI70" i="1"/>
  <c r="AL70" i="1" s="1"/>
  <c r="AI53" i="1"/>
  <c r="AI136" i="1"/>
  <c r="AI6" i="1"/>
  <c r="AG94" i="1"/>
  <c r="AG89" i="1"/>
  <c r="AG71" i="1"/>
  <c r="AG144" i="1"/>
  <c r="AG70" i="1"/>
  <c r="AG142" i="1"/>
  <c r="AG98" i="1"/>
  <c r="AB3" i="1"/>
  <c r="AB147" i="1" s="1"/>
  <c r="AA147" i="1"/>
  <c r="AH146" i="1"/>
  <c r="AG55" i="1"/>
  <c r="AI7" i="1"/>
  <c r="AL7" i="1" s="1"/>
  <c r="AG86" i="1"/>
  <c r="AH90" i="1"/>
  <c r="AG45" i="1"/>
  <c r="AI19" i="1"/>
  <c r="AG122" i="1"/>
  <c r="AH88" i="1"/>
  <c r="AG120" i="1"/>
  <c r="AG133" i="1"/>
  <c r="AI95" i="1"/>
  <c r="AI115" i="1"/>
  <c r="AI125" i="1"/>
  <c r="AG132" i="1"/>
  <c r="AG131" i="1"/>
  <c r="AG36" i="1"/>
  <c r="AG138" i="1"/>
  <c r="AH5" i="1"/>
  <c r="AI128" i="1"/>
  <c r="AH87" i="1"/>
  <c r="AG17" i="1"/>
  <c r="AH20" i="1"/>
  <c r="AH60" i="1"/>
  <c r="AH139" i="1"/>
  <c r="AK139" i="1" s="1"/>
  <c r="AH63" i="1"/>
  <c r="AH145" i="1"/>
  <c r="AG51" i="1"/>
  <c r="AH31" i="1"/>
  <c r="AH72" i="1"/>
  <c r="AG76" i="1"/>
  <c r="AH33" i="1"/>
  <c r="AI9" i="1"/>
  <c r="AG119" i="1"/>
  <c r="AI116" i="1"/>
  <c r="AH11" i="1"/>
  <c r="AH76" i="1"/>
  <c r="AH138" i="1"/>
  <c r="AI28" i="1"/>
  <c r="AH78" i="1"/>
  <c r="AI126" i="1"/>
  <c r="AH111" i="1"/>
  <c r="AI63" i="1"/>
  <c r="AI42" i="1"/>
  <c r="AI56" i="1"/>
  <c r="AG123" i="1"/>
  <c r="AG35" i="1"/>
  <c r="AI119" i="1"/>
  <c r="AG32" i="1"/>
  <c r="AH16" i="1"/>
  <c r="AH130" i="1"/>
  <c r="AG57" i="1"/>
  <c r="AG65" i="1"/>
  <c r="AH125" i="1"/>
  <c r="AG42" i="1"/>
  <c r="AH30" i="1"/>
  <c r="AG24" i="1"/>
  <c r="AG104" i="1"/>
  <c r="AG84" i="1"/>
  <c r="AI117" i="1"/>
  <c r="AG12" i="1"/>
  <c r="AH6" i="1"/>
  <c r="AH71" i="1"/>
  <c r="AI18" i="1"/>
  <c r="AI134" i="1"/>
  <c r="AG83" i="1"/>
  <c r="AG107" i="1"/>
  <c r="AI88" i="1"/>
  <c r="AI131" i="1"/>
  <c r="AH84" i="1"/>
  <c r="AI146" i="1"/>
  <c r="AG20" i="1"/>
  <c r="AH25" i="1"/>
  <c r="AG105" i="1"/>
  <c r="AH95" i="1"/>
  <c r="AH55" i="1"/>
  <c r="AG39" i="1"/>
  <c r="AH93" i="1"/>
  <c r="AH13" i="1"/>
  <c r="AI94" i="1"/>
  <c r="AI82" i="1"/>
  <c r="AH126" i="1"/>
  <c r="AI87" i="1"/>
  <c r="AG130" i="1"/>
  <c r="AH68" i="1"/>
  <c r="AK68" i="1" s="1"/>
  <c r="AG18" i="1"/>
  <c r="AI81" i="1"/>
  <c r="AH10" i="1"/>
  <c r="AI92" i="1"/>
  <c r="AI22" i="1"/>
  <c r="AL22" i="1" s="1"/>
  <c r="AH113" i="1"/>
  <c r="AH28" i="1"/>
  <c r="AG90" i="1"/>
  <c r="AH39" i="1"/>
  <c r="AI143" i="1"/>
  <c r="AG109" i="1"/>
  <c r="AI122" i="1"/>
  <c r="AG145" i="1"/>
  <c r="AG59" i="1"/>
  <c r="AI132" i="1"/>
  <c r="AH115" i="1"/>
  <c r="AH81" i="1"/>
  <c r="AG31" i="1"/>
  <c r="AH136" i="1"/>
  <c r="AH101" i="1"/>
  <c r="AK101" i="1" s="1"/>
  <c r="AG66" i="1"/>
  <c r="AG22" i="1"/>
  <c r="AH36" i="1"/>
  <c r="AI137" i="1"/>
  <c r="AG60" i="1"/>
  <c r="AH46" i="1"/>
  <c r="AG15" i="1"/>
  <c r="AH34" i="1"/>
  <c r="AI5" i="1"/>
  <c r="AG121" i="1"/>
  <c r="AI102" i="1"/>
  <c r="AI43" i="1"/>
  <c r="AH40" i="1"/>
  <c r="AG139" i="1"/>
  <c r="AH35" i="1"/>
  <c r="AG93" i="1"/>
  <c r="AI13" i="1"/>
  <c r="AH32" i="1"/>
  <c r="AI73" i="1"/>
  <c r="AI68" i="1"/>
  <c r="AL68" i="1" s="1"/>
  <c r="AG117" i="1"/>
  <c r="AG26" i="1"/>
  <c r="AI123" i="1"/>
  <c r="AL123" i="1" s="1"/>
  <c r="AH79" i="1"/>
  <c r="AH23" i="1"/>
  <c r="AI57" i="1"/>
  <c r="AG47" i="1"/>
  <c r="AI24" i="1"/>
  <c r="AL24" i="1" s="1"/>
  <c r="AG14" i="1"/>
  <c r="AI113" i="1"/>
  <c r="AI34" i="1"/>
  <c r="AG100" i="1"/>
  <c r="AI118" i="1"/>
  <c r="AI23" i="1"/>
  <c r="AH59" i="1"/>
  <c r="AG30" i="1"/>
  <c r="AI51" i="1"/>
  <c r="AI47" i="1"/>
  <c r="AI10" i="1"/>
  <c r="AI101" i="1"/>
  <c r="AL101" i="1" s="1"/>
  <c r="AH92" i="1"/>
  <c r="AG72" i="1"/>
  <c r="AI11" i="1"/>
  <c r="AG56" i="1"/>
  <c r="AH137" i="1"/>
  <c r="AG46" i="1"/>
  <c r="AH14" i="1"/>
  <c r="AI25" i="1"/>
  <c r="AH26" i="1"/>
  <c r="AI33" i="1"/>
  <c r="AG91" i="1"/>
  <c r="AH100" i="1"/>
  <c r="AI121" i="1"/>
  <c r="AH118" i="1"/>
  <c r="AH102" i="1"/>
  <c r="AH65" i="1"/>
  <c r="AG43" i="1"/>
  <c r="AG9" i="1"/>
  <c r="AG40" i="1"/>
  <c r="AG128" i="1"/>
  <c r="AI78" i="1"/>
  <c r="AI89" i="1"/>
  <c r="AG82" i="1"/>
  <c r="AG16" i="1"/>
  <c r="AH73" i="1"/>
  <c r="AG111" i="1"/>
  <c r="AI17" i="1"/>
  <c r="AL17" i="1" s="1"/>
  <c r="AH116" i="1"/>
  <c r="AI15" i="1"/>
  <c r="AI27" i="1"/>
  <c r="AH109" i="1"/>
  <c r="AH45" i="1"/>
  <c r="AH104" i="1"/>
  <c r="AK104" i="1" s="1"/>
  <c r="AH133" i="1"/>
  <c r="AI66" i="1"/>
  <c r="AG124" i="1"/>
  <c r="AG41" i="1"/>
  <c r="AG19" i="1"/>
  <c r="AI144" i="1"/>
  <c r="AL144" i="1" s="1"/>
  <c r="AH7" i="1"/>
  <c r="AK7" i="1" s="1"/>
  <c r="AH21" i="1"/>
  <c r="AG80" i="1"/>
  <c r="AI67" i="1"/>
  <c r="AH142" i="1"/>
  <c r="AI64" i="1"/>
  <c r="AH97" i="1"/>
  <c r="AH98" i="1"/>
  <c r="AH49" i="1"/>
  <c r="AI140" i="1"/>
  <c r="AG99" i="1"/>
  <c r="AH143" i="1"/>
  <c r="AG134" i="1"/>
  <c r="AI83" i="1"/>
  <c r="AI107" i="1"/>
  <c r="AI12" i="1"/>
  <c r="AI41" i="1"/>
  <c r="AL41" i="1" s="1"/>
  <c r="AI69" i="1"/>
  <c r="AI21" i="1"/>
  <c r="AH53" i="1"/>
  <c r="AG97" i="1"/>
  <c r="AH114" i="1"/>
  <c r="AG49" i="1"/>
  <c r="AG27" i="1"/>
  <c r="AI38" i="1"/>
  <c r="AH62" i="1"/>
  <c r="AG140" i="1"/>
  <c r="AG38" i="1"/>
  <c r="AG77" i="1"/>
  <c r="AG62" i="1"/>
  <c r="AI52" i="1"/>
  <c r="AG79" i="1"/>
  <c r="AI77" i="1"/>
  <c r="AH99" i="1"/>
  <c r="AH52" i="1"/>
  <c r="AC3" i="1"/>
  <c r="AC147" i="1" s="1"/>
  <c r="AK21" i="1" l="1"/>
  <c r="AK72" i="1"/>
  <c r="AK91" i="1"/>
  <c r="AK109" i="1"/>
  <c r="AK55" i="1"/>
  <c r="AK99" i="1"/>
  <c r="AK62" i="1"/>
  <c r="AL9" i="1"/>
  <c r="AL21" i="1"/>
  <c r="AK61" i="1"/>
  <c r="AL108" i="1"/>
  <c r="AJ27" i="1"/>
  <c r="AL34" i="1"/>
  <c r="AJ130" i="1"/>
  <c r="AJ70" i="1"/>
  <c r="AJ94" i="1"/>
  <c r="AL120" i="1"/>
  <c r="AL29" i="1"/>
  <c r="AJ140" i="1"/>
  <c r="AJ9" i="1"/>
  <c r="AJ139" i="1"/>
  <c r="AK113" i="1"/>
  <c r="AK71" i="1"/>
  <c r="AJ35" i="1"/>
  <c r="AJ76" i="1"/>
  <c r="AK20" i="1"/>
  <c r="AJ132" i="1"/>
  <c r="AJ133" i="1"/>
  <c r="AL19" i="1"/>
  <c r="AJ144" i="1"/>
  <c r="AK105" i="1"/>
  <c r="AK67" i="1"/>
  <c r="AJ38" i="1"/>
  <c r="AL12" i="1"/>
  <c r="AK98" i="1"/>
  <c r="AL67" i="1"/>
  <c r="AJ40" i="1"/>
  <c r="AJ91" i="1"/>
  <c r="AK14" i="1"/>
  <c r="AL10" i="1"/>
  <c r="AK35" i="1"/>
  <c r="AJ15" i="1"/>
  <c r="AK136" i="1"/>
  <c r="AJ109" i="1"/>
  <c r="AK10" i="1"/>
  <c r="AL88" i="1"/>
  <c r="AL117" i="1"/>
  <c r="AJ57" i="1"/>
  <c r="AL119" i="1"/>
  <c r="AK78" i="1"/>
  <c r="AK11" i="1"/>
  <c r="AK33" i="1"/>
  <c r="AJ51" i="1"/>
  <c r="AK60" i="1"/>
  <c r="AL128" i="1"/>
  <c r="AJ131" i="1"/>
  <c r="AL95" i="1"/>
  <c r="AJ122" i="1"/>
  <c r="AJ86" i="1"/>
  <c r="AL52" i="1"/>
  <c r="AJ49" i="1"/>
  <c r="AL107" i="1"/>
  <c r="AK97" i="1"/>
  <c r="AJ19" i="1"/>
  <c r="AL27" i="1"/>
  <c r="AL89" i="1"/>
  <c r="AL33" i="1"/>
  <c r="AJ72" i="1"/>
  <c r="AL23" i="1"/>
  <c r="AL57" i="1"/>
  <c r="AK32" i="1"/>
  <c r="AK46" i="1"/>
  <c r="AJ31" i="1"/>
  <c r="AL143" i="1"/>
  <c r="AL87" i="1"/>
  <c r="AK95" i="1"/>
  <c r="AJ107" i="1"/>
  <c r="AK130" i="1"/>
  <c r="AL6" i="1"/>
  <c r="AJ62" i="1"/>
  <c r="AK114" i="1"/>
  <c r="AL69" i="1"/>
  <c r="AL83" i="1"/>
  <c r="AL140" i="1"/>
  <c r="AL64" i="1"/>
  <c r="AJ41" i="1"/>
  <c r="AL15" i="1"/>
  <c r="AK73" i="1"/>
  <c r="AL78" i="1"/>
  <c r="AJ43" i="1"/>
  <c r="AL121" i="1"/>
  <c r="AK26" i="1"/>
  <c r="AK137" i="1"/>
  <c r="AK92" i="1"/>
  <c r="AL51" i="1"/>
  <c r="AL118" i="1"/>
  <c r="AJ14" i="1"/>
  <c r="AK23" i="1"/>
  <c r="AJ117" i="1"/>
  <c r="AL13" i="1"/>
  <c r="AK40" i="1"/>
  <c r="AL5" i="1"/>
  <c r="AJ60" i="1"/>
  <c r="AJ66" i="1"/>
  <c r="AK81" i="1"/>
  <c r="AJ145" i="1"/>
  <c r="AK39" i="1"/>
  <c r="AJ18" i="1"/>
  <c r="AK126" i="1"/>
  <c r="AK93" i="1"/>
  <c r="AJ105" i="1"/>
  <c r="AK84" i="1"/>
  <c r="AJ83" i="1"/>
  <c r="AK6" i="1"/>
  <c r="AJ104" i="1"/>
  <c r="AK125" i="1"/>
  <c r="AK16" i="1"/>
  <c r="AJ123" i="1"/>
  <c r="AK111" i="1"/>
  <c r="AK138" i="1"/>
  <c r="AJ119" i="1"/>
  <c r="AK63" i="1"/>
  <c r="AJ17" i="1"/>
  <c r="AJ138" i="1"/>
  <c r="AL125" i="1"/>
  <c r="AJ120" i="1"/>
  <c r="AJ45" i="1"/>
  <c r="AJ55" i="1"/>
  <c r="AJ98" i="1"/>
  <c r="AJ71" i="1"/>
  <c r="AL136" i="1"/>
  <c r="AJ79" i="1"/>
  <c r="AK53" i="1"/>
  <c r="AK143" i="1"/>
  <c r="AL66" i="1"/>
  <c r="AJ82" i="1"/>
  <c r="AK102" i="1"/>
  <c r="AL11" i="1"/>
  <c r="AK59" i="1"/>
  <c r="AJ47" i="1"/>
  <c r="AL73" i="1"/>
  <c r="AL102" i="1"/>
  <c r="AK36" i="1"/>
  <c r="AL132" i="1"/>
  <c r="AK28" i="1"/>
  <c r="AL94" i="1"/>
  <c r="AJ20" i="1"/>
  <c r="AL18" i="1"/>
  <c r="AK30" i="1"/>
  <c r="AL42" i="1"/>
  <c r="AK52" i="1"/>
  <c r="AJ99" i="1"/>
  <c r="AJ80" i="1"/>
  <c r="AK133" i="1"/>
  <c r="AJ111" i="1"/>
  <c r="AK118" i="1"/>
  <c r="AJ46" i="1"/>
  <c r="AL47" i="1"/>
  <c r="AL113" i="1"/>
  <c r="AJ26" i="1"/>
  <c r="AJ121" i="1"/>
  <c r="AJ22" i="1"/>
  <c r="AJ59" i="1"/>
  <c r="AL81" i="1"/>
  <c r="AK13" i="1"/>
  <c r="AL146" i="1"/>
  <c r="AJ84" i="1"/>
  <c r="AJ42" i="1"/>
  <c r="AL63" i="1"/>
  <c r="AL28" i="1"/>
  <c r="AL116" i="1"/>
  <c r="AK145" i="1"/>
  <c r="AK5" i="1"/>
  <c r="AL77" i="1"/>
  <c r="AJ77" i="1"/>
  <c r="AL38" i="1"/>
  <c r="AJ97" i="1"/>
  <c r="AJ134" i="1"/>
  <c r="AK49" i="1"/>
  <c r="AK142" i="1"/>
  <c r="AJ124" i="1"/>
  <c r="AK45" i="1"/>
  <c r="AK116" i="1"/>
  <c r="AJ16" i="1"/>
  <c r="AJ128" i="1"/>
  <c r="AK65" i="1"/>
  <c r="AK100" i="1"/>
  <c r="AL25" i="1"/>
  <c r="AJ56" i="1"/>
  <c r="AJ30" i="1"/>
  <c r="AJ100" i="1"/>
  <c r="AK79" i="1"/>
  <c r="AJ93" i="1"/>
  <c r="AL43" i="1"/>
  <c r="AK34" i="1"/>
  <c r="AL137" i="1"/>
  <c r="AK115" i="1"/>
  <c r="AL122" i="1"/>
  <c r="AJ90" i="1"/>
  <c r="AL92" i="1"/>
  <c r="AL82" i="1"/>
  <c r="AJ39" i="1"/>
  <c r="AK25" i="1"/>
  <c r="AL131" i="1"/>
  <c r="AL134" i="1"/>
  <c r="AJ12" i="1"/>
  <c r="AJ24" i="1"/>
  <c r="AJ65" i="1"/>
  <c r="AJ32" i="1"/>
  <c r="AL56" i="1"/>
  <c r="AL126" i="1"/>
  <c r="AK76" i="1"/>
  <c r="AK31" i="1"/>
  <c r="AK87" i="1"/>
  <c r="AJ36" i="1"/>
  <c r="AL115" i="1"/>
  <c r="AK88" i="1"/>
  <c r="AK90" i="1"/>
  <c r="AK146" i="1"/>
  <c r="AJ142" i="1"/>
  <c r="AJ89" i="1"/>
  <c r="AL53" i="1"/>
  <c r="AK124" i="1"/>
  <c r="AC1" i="1"/>
  <c r="AH3" i="1"/>
  <c r="AG3" i="1"/>
  <c r="AI3" i="1"/>
  <c r="AL3" i="1" l="1"/>
  <c r="AI147" i="1"/>
  <c r="AJ3" i="1"/>
  <c r="AG147" i="1"/>
  <c r="AK3" i="1"/>
  <c r="AH147" i="1"/>
  <c r="AL147" i="1" l="1"/>
  <c r="AK147" i="1"/>
  <c r="AJ147" i="1"/>
</calcChain>
</file>

<file path=xl/comments1.xml><?xml version="1.0" encoding="utf-8"?>
<comments xmlns="http://schemas.openxmlformats.org/spreadsheetml/2006/main">
  <authors>
    <author>Kvile Hilde Marit Elverum</author>
  </authors>
  <commentList>
    <comment ref="Z46" authorId="0" shapeId="0">
      <text>
        <r>
          <rPr>
            <b/>
            <sz val="9"/>
            <color indexed="81"/>
            <rFont val="Tahoma"/>
            <family val="2"/>
          </rPr>
          <t>Kvile Hilde Marit Elverum:</t>
        </r>
        <r>
          <rPr>
            <sz val="9"/>
            <color indexed="81"/>
            <rFont val="Tahoma"/>
            <family val="2"/>
          </rPr>
          <t xml:space="preserve">
Nytt vedtak av 21.juni 2017</t>
        </r>
      </text>
    </comment>
  </commentList>
</comments>
</file>

<file path=xl/sharedStrings.xml><?xml version="1.0" encoding="utf-8"?>
<sst xmlns="http://schemas.openxmlformats.org/spreadsheetml/2006/main" count="1025" uniqueCount="529">
  <si>
    <t>Regnearket "D-Alt"</t>
  </si>
  <si>
    <t>Grensesnittsnorm</t>
  </si>
  <si>
    <t>KPI-justert normkostnad knyttett il anlegg i grensesnitt i distribusjonsnettet</t>
  </si>
  <si>
    <t>Kalibrert kostnadsnorm fra distribusjonsnettet pluss kostnader knyttet til grensesnittsanlegg (O)</t>
  </si>
  <si>
    <t>Inntektsramme før kalibrering og korrigering</t>
  </si>
  <si>
    <t>Kalibrering slik at IR= K</t>
  </si>
  <si>
    <t>AKG (inkl. 1 % arbeids-kapital)</t>
  </si>
  <si>
    <t>Kalibrert DEA resultat</t>
  </si>
  <si>
    <t>Alternativ benchmarkingmodell</t>
  </si>
  <si>
    <t>Evalueres ikke i noen modell</t>
  </si>
  <si>
    <t>Herøya Nett AS</t>
  </si>
  <si>
    <t>Dalane energi IKS</t>
  </si>
  <si>
    <t>VOKKS Nett AS</t>
  </si>
  <si>
    <t>Kalibrert kostnadsnorm fra regionalnettet pluss kostnader knyttet til utredningsansvar (N) og nettap i regionalnett (K)</t>
  </si>
  <si>
    <t>Ny K* etter kalibr. = K* - AKG(år t) x ΔK  / 0,6</t>
  </si>
  <si>
    <t>Driftsresultat etter korrigering (DR 2) = IR 2 - totale kostnader</t>
  </si>
  <si>
    <t>Avkastning etter korrigering (AVK 2) = DR 2 / AKG</t>
  </si>
  <si>
    <t>Regnearket "DEAnorm D-nett"</t>
  </si>
  <si>
    <t>Kalibrert DEAnorm</t>
  </si>
  <si>
    <t>Distribusjons-nettets kostnads-grunnlag (K)</t>
  </si>
  <si>
    <t>Differanse sum av K- sum av DEAnorm:</t>
  </si>
  <si>
    <t>Inntektsramme før korrigering (IR 1) = 0,4 x K + 0,6 x K*</t>
  </si>
  <si>
    <t>Driftsresultat før korrigering (DR1) = IR - totale kostnader</t>
  </si>
  <si>
    <t>Avkastn før korrigering (AVK 1) = DR / AKG</t>
  </si>
  <si>
    <t>Inntektsramme før korrigering (IR 1)</t>
  </si>
  <si>
    <t>Driftsres før korrigering (DR1)</t>
  </si>
  <si>
    <t>Avkastn før korrigering 
(AVK 1)</t>
  </si>
  <si>
    <t>DEAnorm     (DEA-resultat*K)</t>
  </si>
  <si>
    <t>DEAnorm (DEA-resultat*K)</t>
  </si>
  <si>
    <t>BFV</t>
  </si>
  <si>
    <t>Bokført verdi, BFV</t>
  </si>
  <si>
    <t>Avkastningsgrunnlag, BFV + 1 % arbeidskapital</t>
  </si>
  <si>
    <t xml:space="preserve">KILE </t>
  </si>
  <si>
    <t>KPI-justert KILE</t>
  </si>
  <si>
    <t xml:space="preserve">Inflasjonsjustert KILE </t>
  </si>
  <si>
    <t>Alta Kraftlag SA</t>
  </si>
  <si>
    <t>Fusa Kraftlag SA</t>
  </si>
  <si>
    <t>Hemne Kraftlag SA</t>
  </si>
  <si>
    <t>Nord-Østerdal Kraftlag SA</t>
  </si>
  <si>
    <t>Rauland Kraftforsyningslag SA</t>
  </si>
  <si>
    <t>Repvåg Kraftlag SA</t>
  </si>
  <si>
    <t>Sør Aurdal Energi AS</t>
  </si>
  <si>
    <t>E-CO Energi AS</t>
  </si>
  <si>
    <t>Rollag Elektrisitetsverk SA</t>
  </si>
  <si>
    <t>Kostnads-grunnlag (K) Distribusjons-nett uten grensesnittskostnader</t>
  </si>
  <si>
    <t>KPI-justert norm knyttet til grensesnitt i Dnett</t>
  </si>
  <si>
    <t xml:space="preserve">D&amp;V-kostnader </t>
  </si>
  <si>
    <t>Norm knyttet til grensesnitt</t>
  </si>
  <si>
    <t>Inneholder resultater fra alternativ modell for sammenligning i distribusjonsnettet</t>
  </si>
  <si>
    <t>Hjartdal Elverk AS</t>
  </si>
  <si>
    <t>Hemsedal Energi KF</t>
  </si>
  <si>
    <t>Distribusjonsnettet</t>
  </si>
  <si>
    <t>Krødsherad Everk KF</t>
  </si>
  <si>
    <t>Lier Everk AS</t>
  </si>
  <si>
    <t>Vang Energiverk KF</t>
  </si>
  <si>
    <t>Driva Kraftverk</t>
  </si>
  <si>
    <t>For kalibrer-ingen</t>
  </si>
  <si>
    <t>Sum K fra vedtak</t>
  </si>
  <si>
    <t>Kraftpris kr pr MWh (inkludert 11 kr påslag)</t>
  </si>
  <si>
    <t>Sum (IR-K)/Sum AKG</t>
  </si>
  <si>
    <t>Statkraft Energi AS</t>
  </si>
  <si>
    <t>AKG inkl 1% arbeids-kapital</t>
  </si>
  <si>
    <t>Nettap MWh i regionalnettet</t>
  </si>
  <si>
    <t>Kostnadsgrunnlag pr. selskap</t>
  </si>
  <si>
    <t>Yara Norge AS</t>
  </si>
  <si>
    <t>Ringeriks-Kraft Nett AS</t>
  </si>
  <si>
    <t>DV</t>
  </si>
  <si>
    <t>Sum</t>
  </si>
  <si>
    <t>Sum IR</t>
  </si>
  <si>
    <t>Sum K</t>
  </si>
  <si>
    <t>Sum (IR-K)</t>
  </si>
  <si>
    <t>Sum(IR-K)/Sum AKG</t>
  </si>
  <si>
    <t>AVS</t>
  </si>
  <si>
    <t>ID</t>
  </si>
  <si>
    <t>Selskap</t>
  </si>
  <si>
    <t>D&amp;V-kostnader</t>
  </si>
  <si>
    <t>Nettap MWh</t>
  </si>
  <si>
    <t>KILE (fq)</t>
  </si>
  <si>
    <t>Nordlandsnett AS</t>
  </si>
  <si>
    <t>AS Eidefoss</t>
  </si>
  <si>
    <t>Fitjar Kraftlag SA</t>
  </si>
  <si>
    <t>Jæren Everk Kommunalt foretak i Hå</t>
  </si>
  <si>
    <t>Gauldal Nett AS</t>
  </si>
  <si>
    <t>Ymber AS</t>
  </si>
  <si>
    <t>Porsa Kraftlag AS</t>
  </si>
  <si>
    <t>Rakkestad Energi AS</t>
  </si>
  <si>
    <t>Skjåk Energi KF</t>
  </si>
  <si>
    <t>Tinfos AS</t>
  </si>
  <si>
    <t>Tysnes Kraftlag SA</t>
  </si>
  <si>
    <t>Hydro Aluminium AS</t>
  </si>
  <si>
    <t>TrønderEnergi Kraft AS</t>
  </si>
  <si>
    <t>Elverum Nett AS</t>
  </si>
  <si>
    <t>Lyse Elnett AS</t>
  </si>
  <si>
    <t>Lyse Produksjon AS</t>
  </si>
  <si>
    <t>Eidsiva Nett AS</t>
  </si>
  <si>
    <t>Energi 1 Follo Røyken AS</t>
  </si>
  <si>
    <t>Mo Industripark AS</t>
  </si>
  <si>
    <t>Aktieselskabet Saudefaldene</t>
  </si>
  <si>
    <t>Nettaps-pris</t>
  </si>
  <si>
    <t xml:space="preserve">Regnearket "IRData" </t>
  </si>
  <si>
    <t>BV</t>
  </si>
  <si>
    <t>Sum kostnader (D+E+J+K+M+N)</t>
  </si>
  <si>
    <t>Kostnadsgrunnlag ( D+E+J+K+M+N+G*referanserente)</t>
  </si>
  <si>
    <t>SKL Nett AS</t>
  </si>
  <si>
    <t>DEA-resultat til kalibrering</t>
  </si>
  <si>
    <t>Distribusjons-nettets avkastnings-grunnlag</t>
  </si>
  <si>
    <t>Bindal Kraftlag SA</t>
  </si>
  <si>
    <t>Fjelberg Kraftlag SA</t>
  </si>
  <si>
    <t>Lærdal Energi AS</t>
  </si>
  <si>
    <t>Nord-Salten Kraft AS</t>
  </si>
  <si>
    <t>Suldal Elverk KF</t>
  </si>
  <si>
    <t>Sørfold Kraftlag SA</t>
  </si>
  <si>
    <t>Hardanger Energi AS</t>
  </si>
  <si>
    <t>Vinstra Kraftselskap DA</t>
  </si>
  <si>
    <t>Nordmøre Energiverk AS</t>
  </si>
  <si>
    <t>Notodden Energi AS</t>
  </si>
  <si>
    <t>Lofotkraft AS</t>
  </si>
  <si>
    <t>Nore Energi AS</t>
  </si>
  <si>
    <t>Aurland Energiverk AS</t>
  </si>
  <si>
    <t>Hålogaland Kraft AS</t>
  </si>
  <si>
    <t>Vesterålskraft Nett AS</t>
  </si>
  <si>
    <t>Haugaland Kraft AS</t>
  </si>
  <si>
    <t>BKK Nett AS</t>
  </si>
  <si>
    <t>Flesberg Elektrisitetsverk AS</t>
  </si>
  <si>
    <t>Nesset Kraft AS</t>
  </si>
  <si>
    <t>Sunndal Energi KF</t>
  </si>
  <si>
    <t>Skagerak Nett AS</t>
  </si>
  <si>
    <t>Nordvest Nett AS</t>
  </si>
  <si>
    <t>EB Nett AS</t>
  </si>
  <si>
    <t>Agder Energi Nett AS</t>
  </si>
  <si>
    <t>Voss Energi AS</t>
  </si>
  <si>
    <t>Svorka Produksjon AS</t>
  </si>
  <si>
    <t>Midt-Telemark Energi AS</t>
  </si>
  <si>
    <t>Stange Energi Nett AS</t>
  </si>
  <si>
    <t>Hafslund Nett AS</t>
  </si>
  <si>
    <t>Viser forutsetninger og sentrale parametere i beregningene</t>
  </si>
  <si>
    <t>Drifts- og vedlikeholdskostnader, D&amp;V-kostnader</t>
  </si>
  <si>
    <t>Avskrivninger, AVS</t>
  </si>
  <si>
    <t>Nettaps- kostnad</t>
  </si>
  <si>
    <t xml:space="preserve">Kolonne </t>
  </si>
  <si>
    <t>Beskrivelse av innhold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</si>
  <si>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</si>
  <si>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</si>
  <si>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</si>
  <si>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</si>
  <si>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</si>
  <si>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</si>
  <si>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</si>
  <si>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</si>
  <si>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</si>
  <si>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</si>
  <si>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</si>
  <si>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D</t>
  </si>
  <si>
    <t>Navn på selskap</t>
  </si>
  <si>
    <t>Selskapets ID</t>
  </si>
  <si>
    <t>Sum kostnader</t>
  </si>
  <si>
    <t>Referanserente</t>
  </si>
  <si>
    <t>Nettaps- kostnad i Dnett</t>
  </si>
  <si>
    <t>Nettap MWh i Dnett</t>
  </si>
  <si>
    <t>Nettap MWh i distribusjonsnettet</t>
  </si>
  <si>
    <t>Nettapskostnader i distribusjonsnettet</t>
  </si>
  <si>
    <t>Y</t>
  </si>
  <si>
    <t>Z</t>
  </si>
  <si>
    <t>Nettaps- kostnad i Rnett</t>
  </si>
  <si>
    <t>Nettap MWh i Rnett</t>
  </si>
  <si>
    <t>Kostnads-grunnlag</t>
  </si>
  <si>
    <t>Kostnader knyttet til utrednings-ansvar</t>
  </si>
  <si>
    <t>DV uten kostnader knyttet til utrednings-ansvar</t>
  </si>
  <si>
    <t>Nettapskostnader i regionalnettet</t>
  </si>
  <si>
    <t>C - Q</t>
  </si>
  <si>
    <t>AKG inkl. arb.kap.</t>
  </si>
  <si>
    <t>Krafttap MWh i Dnett</t>
  </si>
  <si>
    <t>Distribusjonsnett</t>
  </si>
  <si>
    <t>Regnearket "Forutsetninger"</t>
  </si>
  <si>
    <t>Odda Energi AS</t>
  </si>
  <si>
    <t>Evenes Kraftforsyning AS</t>
  </si>
  <si>
    <t>Oppdal Everk AS</t>
  </si>
  <si>
    <t>Opplandskraft DA</t>
  </si>
  <si>
    <t>Orkdal Energi AS</t>
  </si>
  <si>
    <t>Rauma Energi AS</t>
  </si>
  <si>
    <t>Rødøy-Lurøy Kraftverk AS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</si>
  <si>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</si>
  <si>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</si>
  <si>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</si>
  <si>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</si>
  <si>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</si>
  <si>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</si>
  <si>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</si>
  <si>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</si>
  <si>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</si>
  <si>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</si>
  <si>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</si>
  <si>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</si>
  <si>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Om regnearkene i filen</t>
  </si>
  <si>
    <t>KPI-justering</t>
  </si>
  <si>
    <t>År</t>
  </si>
  <si>
    <t>KPI</t>
  </si>
  <si>
    <t>KPI t/KPI t-2</t>
  </si>
  <si>
    <t>Rho (vektlegging av normkostnad)</t>
  </si>
  <si>
    <t>DEA-resultat</t>
  </si>
  <si>
    <t>Resultater og kalibrering av DEA-resultat for distribusjonsnettet</t>
  </si>
  <si>
    <t>Andøy Energi AS</t>
  </si>
  <si>
    <t>Arendals Fossekompani ASA</t>
  </si>
  <si>
    <t>Askøy Energi AS</t>
  </si>
  <si>
    <t>Ballangen Energi AS</t>
  </si>
  <si>
    <t>Fauske Lysverk AS</t>
  </si>
  <si>
    <t>Sunnfjord Energi AS</t>
  </si>
  <si>
    <t>Hadeland Energinett AS</t>
  </si>
  <si>
    <t>Trollfjord Kraft AS</t>
  </si>
  <si>
    <t>Hammerfest Energi Nett AS</t>
  </si>
  <si>
    <t>Hurum Energiverk AS</t>
  </si>
  <si>
    <t>Istad Nett AS</t>
  </si>
  <si>
    <t>Klepp Energi AS</t>
  </si>
  <si>
    <t>Kragerø Energi AS</t>
  </si>
  <si>
    <t>Kvam Kraftverk AS</t>
  </si>
  <si>
    <t>Kvinnherad Energi AS</t>
  </si>
  <si>
    <t>Kvænangen Kraftverk AS</t>
  </si>
  <si>
    <t>Luster Energiverk AS</t>
  </si>
  <si>
    <t>Meløy Energi AS</t>
  </si>
  <si>
    <t>Modalen Kraftlag BA</t>
  </si>
  <si>
    <t>Tillegg i norm</t>
  </si>
  <si>
    <t>Kostnadsnorm (K*) Distribusjonsnett</t>
  </si>
  <si>
    <t>Kostnads-norm (K*) Regionalnett</t>
  </si>
  <si>
    <t>Sum kostnader uten avskrivinger</t>
  </si>
  <si>
    <t>Røros Elektrisitetsverk AS</t>
  </si>
  <si>
    <t>Sandøy Energi AS</t>
  </si>
  <si>
    <t>Selbu Energiverk AS</t>
  </si>
  <si>
    <t>Sognekraft AS</t>
  </si>
  <si>
    <t>Stryn Energi AS</t>
  </si>
  <si>
    <t>TrønderEnergi Nett AS</t>
  </si>
  <si>
    <t>Tinn Energi AS</t>
  </si>
  <si>
    <t>Troms Kraft Nett AS</t>
  </si>
  <si>
    <t>Trøgstad Elverk AS</t>
  </si>
  <si>
    <t>Varanger Kraftnett AS</t>
  </si>
  <si>
    <t>Vest-Telemark Kraftlag AS</t>
  </si>
  <si>
    <t>Ørskog Energi AS</t>
  </si>
  <si>
    <t>Øvre Eiker Nett AS</t>
  </si>
  <si>
    <t>Årdal Energi KF</t>
  </si>
  <si>
    <t>SFE Nett AS</t>
  </si>
  <si>
    <t>Svorka Energi AS</t>
  </si>
  <si>
    <t>Hallingdal Kraftnett AS</t>
  </si>
  <si>
    <t>Ustekveikja Kraftverk DA</t>
  </si>
  <si>
    <t>Gudbrandsdal Energi AS</t>
  </si>
  <si>
    <t>Valdres Energiverk AS</t>
  </si>
  <si>
    <t>Sammenlagt for distribusjonsnett, regional- og sentralnett</t>
  </si>
  <si>
    <t>Regionalnett</t>
  </si>
  <si>
    <t>Sentralnett</t>
  </si>
  <si>
    <t>Kostnadsnorm (K*) Sentralnett</t>
  </si>
  <si>
    <t>Krafttap MWh i Rnett</t>
  </si>
  <si>
    <t>Krafttap MWh i Snett</t>
  </si>
  <si>
    <t>Kostnads-grunnlag (K) regionalnett uten nettap og utrednings kostnader</t>
  </si>
  <si>
    <t>Regionalnetts avkastnings-grunnlag</t>
  </si>
  <si>
    <t>Regionalnetts kostnadsgrunnlag (K)</t>
  </si>
  <si>
    <t>Resultater, kalibrering og justering av DEA-resultat for regionalnett</t>
  </si>
  <si>
    <t>Inntektsramme 2016</t>
  </si>
  <si>
    <t>Kostnadsgrunnlag for fastsettelse av inntektsramme 2016 (2014-data)</t>
  </si>
  <si>
    <t>Avvik i faktisk kostnadsgrunnlag for 2014 og kostnadsgrunnlag benyttet i vedtak om IR for 2014</t>
  </si>
  <si>
    <t>Sum kostnadsgrunnlag u/kap.kostn. fra vedtak om IR for 2014</t>
  </si>
  <si>
    <t>Sum faktisk kostnadsgrunnlag u/kap.kostn. for bransjen i 2014</t>
  </si>
  <si>
    <t>Avvik i 2014-vedtak og kostnader i 2014 + renter for 2014 og 2015</t>
  </si>
  <si>
    <t>Inntektsrammer etter kal og korr for 2014-kostnadsgrunnlag</t>
  </si>
  <si>
    <t>K* etter kalibrering og korrigering for 2014-grunnlag</t>
  </si>
  <si>
    <t>IR etter kalibrering og korrigering for avvik i K brukt i IR-2014 og faktisk K i 2014 (IR2)</t>
  </si>
  <si>
    <t>Forutsetninger i beregning av inntektsrammer for 2016</t>
  </si>
  <si>
    <t>Faktiske kostnader i 2014</t>
  </si>
  <si>
    <t>Selskap med IR 2014</t>
  </si>
  <si>
    <t>Fredrikstad Energi Nett AS</t>
  </si>
  <si>
    <t>Forsand Elverk Kommunalt Føretak i Forsand</t>
  </si>
  <si>
    <t>HelgelandsKraft AS</t>
  </si>
  <si>
    <t>Løvenskiold Fossum Kraft</t>
  </si>
  <si>
    <t>Nordkyn Kraftlag AL</t>
  </si>
  <si>
    <t>Kvikne-Rennebu Kraftlag AL</t>
  </si>
  <si>
    <t>Rissa Kraftlag BA</t>
  </si>
  <si>
    <t>Sira Kvina Kraftselskap</t>
  </si>
  <si>
    <t>Sykkylven Energi AS</t>
  </si>
  <si>
    <t>Kraftverkene i Orkla DA</t>
  </si>
  <si>
    <t>MØRENETT AS</t>
  </si>
  <si>
    <t>Midt Nett Buskerud AS</t>
  </si>
  <si>
    <t>LYSE SENTRALNETT AS</t>
  </si>
  <si>
    <t>GASSCO AS</t>
  </si>
  <si>
    <t xml:space="preserve">Årslønn </t>
  </si>
  <si>
    <t>Årslønn t/Årslønn t-2</t>
  </si>
  <si>
    <t>Kostnads-grunnlag Sentralnett</t>
  </si>
  <si>
    <t>Årslønn-justerte D&amp;V-kostnader</t>
  </si>
  <si>
    <t xml:space="preserve">Årslønn-justerte D&amp;V-kostnader </t>
  </si>
  <si>
    <t>Årslønn-justerte kostnader knyttet til utred.ansvar og KDS</t>
  </si>
  <si>
    <t>Regnearket "Inntektsramme 2016"</t>
  </si>
  <si>
    <t>R - W</t>
  </si>
  <si>
    <t>X - AA</t>
  </si>
  <si>
    <t>Inntektsramme og resultat før korrigering for for avvik i estimerte og faktiske kostnader i 2014</t>
  </si>
  <si>
    <t>Inntektsramme og resultat etter korrigering for for avvik i estimerte og faktiske kostnader i 2014</t>
  </si>
  <si>
    <t>Detaljert beskrivelse av kolonne C-P i regnearket "Inntektsramme 2016"</t>
  </si>
  <si>
    <t xml:space="preserve">Inflasjonsjusterte drifts- og vedlikeholdskostnader, D&amp;V-kostnader Årslønn-justerte </t>
  </si>
  <si>
    <t>Årslønn-justerte kostnader knyttet til utredningsansvar</t>
  </si>
  <si>
    <t>AA</t>
  </si>
  <si>
    <t>Kalibrert kostnadsnorm fra sentralnettet (kostnadsnorm=kostandsgrunnlag)</t>
  </si>
  <si>
    <t>Detaljert beskrivelse av kolonne R-AA i regnearket "Inntektsramme 2016"</t>
  </si>
  <si>
    <t>IR når K* er korrigert for avvik i kostnadsgrunnlaget benyttet i vedtak om IR for 2014 = 0,6 x Ny K* + 0,4 x K</t>
  </si>
  <si>
    <t>Kostnadsgrunnlag 2014</t>
  </si>
  <si>
    <t>Inneholder selskapenes faktiske kostnader i 2014 med nettapspris fra 2014-vedtaket</t>
  </si>
  <si>
    <t>Inneholder  DEA-resultater og kalibrering av norm fra DEA i regionalnettsanalysene</t>
  </si>
  <si>
    <t>Inneholder resultater fra alternativ modell for sammenligning i regionalnettet</t>
  </si>
  <si>
    <t>Inneholder kostnadsdata 2014 differensiert på nettnivåer og samlet</t>
  </si>
  <si>
    <t>Inneholder  DEA-resultater og kalibrering av norm fra DEA i distribusjonsnettsanalysene</t>
  </si>
  <si>
    <t xml:space="preserve">Regnearket "DEAnorm R-nett" </t>
  </si>
  <si>
    <t>Regnearket "R-Alt"</t>
  </si>
  <si>
    <t>Område 1</t>
  </si>
  <si>
    <t>Område 2</t>
  </si>
  <si>
    <t>Område 3</t>
  </si>
  <si>
    <t>Område 4</t>
  </si>
  <si>
    <t>Område 5</t>
  </si>
  <si>
    <t>Kraftpris 2016</t>
  </si>
  <si>
    <t>idaar</t>
  </si>
  <si>
    <t>id</t>
  </si>
  <si>
    <t>aar</t>
  </si>
  <si>
    <t>selskap</t>
  </si>
  <si>
    <t>Hvis 1, selskaper som evalueres særskilt i Dnett</t>
  </si>
  <si>
    <t>Totalkostnad Dnett til DEA</t>
  </si>
  <si>
    <t>Gjsnitt Totalkostnad Dnett snittfront</t>
  </si>
  <si>
    <t>Sum oppgave i Dnett</t>
  </si>
  <si>
    <t>Sum gjsn. oppgave i Dnett</t>
  </si>
  <si>
    <t>Sum oppgave / totalkostnad i Dnett</t>
  </si>
  <si>
    <t>Sum gjsn. oppgave / gjsn. totalkostnad i Dnett</t>
  </si>
  <si>
    <t>DEAresultat til kalibrering Dnett</t>
  </si>
  <si>
    <t>2013</t>
  </si>
  <si>
    <t>ARENDALS FOSSEKOMPANI ASA</t>
  </si>
  <si>
    <t>2014</t>
  </si>
  <si>
    <t>LØVENSKIOLD FOSSUM KRAFT</t>
  </si>
  <si>
    <t>MODALEN KRAFTLAG BA</t>
  </si>
  <si>
    <t>HYDRO ENERGI AS</t>
  </si>
  <si>
    <t>TINFOS AS</t>
  </si>
  <si>
    <t>LYSE PRODUKSJON AS</t>
  </si>
  <si>
    <t>YARA NORGE AS</t>
  </si>
  <si>
    <t>MO INDUSTRIPARK AS</t>
  </si>
  <si>
    <t>Hvis 1, selskaper som evalueres særskilt i Rnett</t>
  </si>
  <si>
    <t>Totalkostnad Rnett til DEA</t>
  </si>
  <si>
    <t>Gjsnitt Totalkostnad Rnett snittfront</t>
  </si>
  <si>
    <t>Sum oppgave i Rnett</t>
  </si>
  <si>
    <t>Sum gjsn. oppgave i Rnett</t>
  </si>
  <si>
    <t>Sum oppgave / totalkostnad i Rnett</t>
  </si>
  <si>
    <t>Sum gjsn. oppgave / gjsn. totalkostnad i Rnett</t>
  </si>
  <si>
    <t>DEAresultat til kalibrering Rnett</t>
  </si>
  <si>
    <t>BALLANGEN ENERGI AS</t>
  </si>
  <si>
    <t>DRANGEDAL EVERK KF</t>
  </si>
  <si>
    <t>ETNE ELEKTRISITETSLAG SA</t>
  </si>
  <si>
    <t>JÆREN EVERK KOMMUNALT FORETAK I HÅ</t>
  </si>
  <si>
    <t>KVÆNANGEN KRAFTVERK AS</t>
  </si>
  <si>
    <t>LÆRDAL ENERGI AS</t>
  </si>
  <si>
    <t>NORD-ØSTERDAL KRAFTLAG SA</t>
  </si>
  <si>
    <t>EVENES KRAFTFORSYNING AS</t>
  </si>
  <si>
    <t>PORSA KRAFTLAG AS</t>
  </si>
  <si>
    <t>RAULAND KRAFTFORSYNINGSLAG SA</t>
  </si>
  <si>
    <t>RAUMA ENERGI AS</t>
  </si>
  <si>
    <t>RØROS ELEKTRISITETSVERK AS</t>
  </si>
  <si>
    <t>SELBU ENERGIVERK AS</t>
  </si>
  <si>
    <t>STRANDA ENERGI AS</t>
  </si>
  <si>
    <t>HARDANGER ENERGI AS</t>
  </si>
  <si>
    <t>SVORKA ENERGI AS</t>
  </si>
  <si>
    <t>USTEKVEIKJA KRAFTVERK DA</t>
  </si>
  <si>
    <t>VINSTRA KRAFTSELSKAP DA</t>
  </si>
  <si>
    <t>HEMSEDAL ENERGI KF</t>
  </si>
  <si>
    <t>NOTODDEN ENERGI AS</t>
  </si>
  <si>
    <t>E-CO ENERGI AS</t>
  </si>
  <si>
    <t>TRØNDERENERGI KRAFT AS</t>
  </si>
  <si>
    <t>MIDT-TELEMARK ENERGI AS</t>
  </si>
  <si>
    <t>Fra vedtak 2014</t>
  </si>
  <si>
    <t>Avskrivinger</t>
  </si>
  <si>
    <t>Arbeidsgiveravgift</t>
  </si>
  <si>
    <t>Austevoll Kraftlag SA</t>
  </si>
  <si>
    <t>Drangedal Everk KF</t>
  </si>
  <si>
    <t>Etne Elektrisitetslag SA</t>
  </si>
  <si>
    <t>Finnås Kraftlag SA</t>
  </si>
  <si>
    <t>Fosen Nett AS</t>
  </si>
  <si>
    <t>Hydro Energi AS</t>
  </si>
  <si>
    <t>Høland og Setskog Elverk SA</t>
  </si>
  <si>
    <t>Luostejok Kraftlag SA</t>
  </si>
  <si>
    <t>Nordkraft Nett AS</t>
  </si>
  <si>
    <t>NTE Nett AS</t>
  </si>
  <si>
    <t>Skånevik Ølen Kraftlag SA</t>
  </si>
  <si>
    <t>Stranda Energi AS</t>
  </si>
  <si>
    <t>Uvdal Kraftforsyning SA</t>
  </si>
  <si>
    <t>Infl = 2.53 %</t>
  </si>
  <si>
    <t>KP = 1.00 %</t>
  </si>
  <si>
    <t>Swap = 1.18 %</t>
  </si>
  <si>
    <t>NB NVE har lagt til grunn skattesats på 25 %</t>
  </si>
  <si>
    <t>Diff ny beregning - vedtak</t>
  </si>
  <si>
    <t>Diff hvis positiv</t>
  </si>
  <si>
    <t>Andel IR2016 Rnett</t>
  </si>
  <si>
    <t>Andel IR2016 Dnett</t>
  </si>
  <si>
    <t>Andel IR2016 Snett</t>
  </si>
  <si>
    <t>Økning Dnett</t>
  </si>
  <si>
    <t>Økning Rnett</t>
  </si>
  <si>
    <t>Økning Snett</t>
  </si>
  <si>
    <t>Justert tillatt inntekt fordelt på nettnivå_D_KKr</t>
  </si>
  <si>
    <t>Justert tillatt inntekt fordelt på nettnivå_R_KKr</t>
  </si>
  <si>
    <t>Justert tillatt inntekt fordelt på nettnivå_S_KKr</t>
  </si>
  <si>
    <t>FOSEN NETT AS</t>
  </si>
  <si>
    <t>HELGELAND KRAFT AS</t>
  </si>
  <si>
    <t>TYSNES KRAFTLAG SA</t>
  </si>
  <si>
    <t>FUSA KRAFTLAG SA</t>
  </si>
  <si>
    <t>VANG ENERGIVERK KF</t>
  </si>
  <si>
    <t>MODALEN KRAFTLAG SA</t>
  </si>
  <si>
    <t>HURUM ENERGIVERK AS</t>
  </si>
  <si>
    <t>VOKKS NETT AS</t>
  </si>
  <si>
    <t>AS EIDEFOSS</t>
  </si>
  <si>
    <t>FJELBERG KRAFTLAG SA</t>
  </si>
  <si>
    <t>ISE NETT AS</t>
  </si>
  <si>
    <t>YMBER AS</t>
  </si>
  <si>
    <t>OPPDAL EVERK AS</t>
  </si>
  <si>
    <t>HAUGALAND KRAFT NETT AS</t>
  </si>
  <si>
    <t>SOGNEKRAFT AS</t>
  </si>
  <si>
    <t>GUDBRANDSDAL ENERGI NETT AS</t>
  </si>
  <si>
    <t>SUNNFJORD ENERGI AS</t>
  </si>
  <si>
    <t>HYDRO ALUMINIUM AS</t>
  </si>
  <si>
    <t>DALANE NETT AS</t>
  </si>
  <si>
    <t>LUSTER ENERGIVERK AS</t>
  </si>
  <si>
    <t>LUOSTEJOK KRAFTLAG SA</t>
  </si>
  <si>
    <t>FINNÅS KRAFTLAG SA</t>
  </si>
  <si>
    <t>SODVIN SA</t>
  </si>
  <si>
    <t>KRAFTVERKENE I ORKLA DA</t>
  </si>
  <si>
    <t>DRIVA KRAFTVERK</t>
  </si>
  <si>
    <t>HØLAND OG SETSKOG ELVERK SA</t>
  </si>
  <si>
    <t>SKÅNEVIK ØLEN KRAFTLAG AS</t>
  </si>
  <si>
    <t>REPVÅG KRAFTLAG SA</t>
  </si>
  <si>
    <t>BINDAL KRAFTLAG SA</t>
  </si>
  <si>
    <t>VALDRES ENERGIVERK AS</t>
  </si>
  <si>
    <t>SIRA KVINA KRAFTSELSKAP</t>
  </si>
  <si>
    <t>KVIKNE-RENNEBU KRAFTLAG AS</t>
  </si>
  <si>
    <t>VEST-TELEMARK KRAFTLAG AS</t>
  </si>
  <si>
    <t>NORDKYN KRAFTLAG SA</t>
  </si>
  <si>
    <t>ROLLAG ELEKTRISITETSVERK SA</t>
  </si>
  <si>
    <t>AUSTEVOLL KRAFTLAG SA</t>
  </si>
  <si>
    <t>NORDMØRE ENERGIVERK AS</t>
  </si>
  <si>
    <t>STATNETT SF</t>
  </si>
  <si>
    <t>KVINNHERAD ENERGI AS</t>
  </si>
  <si>
    <t>NOTODDEN ENERGI NETT AS</t>
  </si>
  <si>
    <t>UVDAL KRAFTFORSYNING SA</t>
  </si>
  <si>
    <t>TROLLFJORD KRAFT AS (Inaktiv i brreg)</t>
  </si>
  <si>
    <t>VESTERÅLSKRAFT NETT AS</t>
  </si>
  <si>
    <t>RAKKESTAD ENERGI AS</t>
  </si>
  <si>
    <t>FITJAR KRAFTLAG SA</t>
  </si>
  <si>
    <t>SUNNDAL ENERGI KF</t>
  </si>
  <si>
    <t>ALTA KRAFTLAG SA</t>
  </si>
  <si>
    <t>KRØDSHERAD EVERK KF</t>
  </si>
  <si>
    <t>FORSAND ELVERK KOMMUNALT FØRETAK I FORSAND</t>
  </si>
  <si>
    <t>ÅRDAL ENERGI KF</t>
  </si>
  <si>
    <t>SULDAL ELVERK KF</t>
  </si>
  <si>
    <t>ANDØY ENERGI AS</t>
  </si>
  <si>
    <t>VARANGER KRAFTNETT AS</t>
  </si>
  <si>
    <t>HALLINGDAL KRAFTNETT AS</t>
  </si>
  <si>
    <t>SVORKA PRODUKSJON AS</t>
  </si>
  <si>
    <t>AURLAND ENERGIVERK AS</t>
  </si>
  <si>
    <t>STRYN ENERGI AS</t>
  </si>
  <si>
    <t>ODDA ENERGI AS</t>
  </si>
  <si>
    <t>BKK NETT AS</t>
  </si>
  <si>
    <t>MELØY ENERGI AS</t>
  </si>
  <si>
    <t>KLEPP ENERGI AS</t>
  </si>
  <si>
    <t>TRØNDERENERGI NETT AS</t>
  </si>
  <si>
    <t>TRØGSTAD ELVERK AS</t>
  </si>
  <si>
    <t>SANDØY ENERGI AS</t>
  </si>
  <si>
    <t>TROMS KRAFT NETT AS</t>
  </si>
  <si>
    <t>ISTAD NETT AS</t>
  </si>
  <si>
    <t>KRAGERØ ENERGI AS</t>
  </si>
  <si>
    <t>SKAGERAK NETT AS</t>
  </si>
  <si>
    <t>ØVRE EIKER NETT AS</t>
  </si>
  <si>
    <t>ORKDAL ENERGI AS</t>
  </si>
  <si>
    <t>KVAM KRAFTVERK AS</t>
  </si>
  <si>
    <t>SYKKYLVEN ENERGI AS</t>
  </si>
  <si>
    <t>LYSE ELNETT AS</t>
  </si>
  <si>
    <t>NORGESNETT AS</t>
  </si>
  <si>
    <t>MIDTKRAFT AS</t>
  </si>
  <si>
    <t>HAFSLUND NETT AS</t>
  </si>
  <si>
    <t>NORDVEST NETT AS</t>
  </si>
  <si>
    <t>NESSET KRAFT AS</t>
  </si>
  <si>
    <t>GLITRE ENERGI NETT AS</t>
  </si>
  <si>
    <t>EIDSIVA NETT AS</t>
  </si>
  <si>
    <t>TINN ENERGI AS</t>
  </si>
  <si>
    <t>FLESBERG ELEKTRISITETSVERK AS</t>
  </si>
  <si>
    <t>HAMMERFEST ENERGI NETT AS</t>
  </si>
  <si>
    <t>AGDER ENERGI NETT AS</t>
  </si>
  <si>
    <t>NORDKRAFT NETT AS</t>
  </si>
  <si>
    <t>NORE ENERGI AS</t>
  </si>
  <si>
    <t>VOSS ENERGI PRODUKSJON AS</t>
  </si>
  <si>
    <t>SFE NETT AS</t>
  </si>
  <si>
    <t>STANGE ENERGI NETT AS</t>
  </si>
  <si>
    <t>HÅLOGALAND KRAFT NETT AS</t>
  </si>
  <si>
    <t>HJARTDAL ELVERK AS</t>
  </si>
  <si>
    <t>LOFOTKRAFT AS</t>
  </si>
  <si>
    <t>STATKRAFT ENERGI AS</t>
  </si>
  <si>
    <t>RINGERIKS-KRAFT NETT AS</t>
  </si>
  <si>
    <t>NTE NETT AS</t>
  </si>
  <si>
    <t>NORDLANDSNETT AS</t>
  </si>
  <si>
    <t>SKJÅK ENERGI KF</t>
  </si>
  <si>
    <t>NORD-SALTEN KRAFT AS</t>
  </si>
  <si>
    <t>GAULDAL NETT AS</t>
  </si>
  <si>
    <t>STATNETT ROGALAND AS</t>
  </si>
  <si>
    <t>SØR AURDAL ENERGI AS</t>
  </si>
  <si>
    <t>HERØYA NETT AS</t>
  </si>
  <si>
    <t>SUM IR 2016</t>
  </si>
  <si>
    <t>Andel Dnett</t>
  </si>
  <si>
    <t>Andel Rnett</t>
  </si>
  <si>
    <t>Andel Snett</t>
  </si>
  <si>
    <t>Avviklet nettvirksomheten med virkning 1/1-2016. Utleiekomponenter i Regionalnettet er solgt til leietaker Gudbrandsdal Energi. Noen anleggskomponenter er reklassifisert fra R-nettvirksomhet til produksjonsvirksomhet (produksjonsrelatert nettanlegg i note 15.2).</t>
  </si>
  <si>
    <t>Diff %</t>
  </si>
  <si>
    <t>EVERKNAVN</t>
  </si>
  <si>
    <t>GjSnAvkastning</t>
  </si>
  <si>
    <t>SumAvDR</t>
  </si>
  <si>
    <t>SumAvNK</t>
  </si>
  <si>
    <t>Mindreavkastningsbeløp</t>
  </si>
  <si>
    <t>Austevoll Kraftlag BA</t>
  </si>
  <si>
    <t>2012-2016</t>
  </si>
  <si>
    <t>ID2016</t>
  </si>
  <si>
    <t>2013-2017</t>
  </si>
  <si>
    <t>ID2017</t>
  </si>
  <si>
    <t>MindreAvkBeløp</t>
  </si>
  <si>
    <t>Renter MMI</t>
  </si>
  <si>
    <t>Renter Dnett</t>
  </si>
  <si>
    <t>Renter Rnett</t>
  </si>
  <si>
    <t>Renter Snett</t>
  </si>
  <si>
    <t>økning 2016-2017</t>
  </si>
  <si>
    <t>*halve renter første året siden det skal beregnes renter på snitt av UB og IB</t>
  </si>
  <si>
    <t>**halve renter siste året siden beløpet inkluderes i note 5.2 der rentene for UB automatisk regnes ut</t>
  </si>
  <si>
    <t>2016*</t>
  </si>
  <si>
    <t>2017**</t>
  </si>
  <si>
    <t>rente</t>
  </si>
  <si>
    <t>Inntektsramme vedtak 1.2.2017</t>
  </si>
  <si>
    <t>Hentet fra eRapp for 2016</t>
  </si>
  <si>
    <t>2014-data for fastsettelse av inntektsrammen for 2016 - oppdatert 14012019</t>
  </si>
  <si>
    <t xml:space="preserve">Har fått mindreavkasnting større enn økningen her, får ikke tillegg.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</si>
</sst>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 * #,##0.00_ ;_ * \-#,##0.00_ ;_ * &quot;-&quot;??_ ;_ @_ "/>
    <numFmt numFmtId="165" formatCode="_(* #,##0.00_);_(* \(#,##0.00\);_(* &quot;-&quot;??_);_(@_)"/>
    <numFmt numFmtId="166" formatCode="0.0\ %"/>
    <numFmt numFmtId="167" formatCode="#,##0.000"/>
    <numFmt numFmtId="168" formatCode="0.0"/>
    <numFmt numFmtId="169" formatCode="0.0000\ %"/>
    <numFmt numFmtId="170" formatCode="_(* #,##0_);_(* \(#,##0\);_(* &quot;-&quot;??_);_(@_)"/>
    <numFmt numFmtId="171" formatCode="0.0000"/>
    <numFmt numFmtId="172" formatCode="0.00000"/>
    <numFmt numFmtId="173" formatCode="0.000000"/>
    <numFmt numFmtId="174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"/>
      <family val="1"/>
    </font>
    <font>
      <b/>
      <sz val="10"/>
      <name val="Times"/>
      <family val="1"/>
    </font>
    <font>
      <b/>
      <sz val="12"/>
      <name val="Times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Times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.75"/>
      <color indexed="8"/>
      <name val="Times New Roman"/>
      <family val="1"/>
    </font>
    <font>
      <sz val="8"/>
      <name val="Verdana"/>
      <family val="2"/>
    </font>
    <font>
      <sz val="10"/>
      <name val="Arial"/>
      <family val="2"/>
    </font>
    <font>
      <sz val="10"/>
      <name val="Times"/>
    </font>
    <font>
      <b/>
      <sz val="10"/>
      <name val="Times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56A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2" fillId="13" borderId="53" applyNumberFormat="0" applyFont="0" applyAlignment="0" applyProtection="0"/>
    <xf numFmtId="0" fontId="13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Fill="1"/>
    <xf numFmtId="166" fontId="0" fillId="0" borderId="0" xfId="6" applyNumberFormat="1" applyFont="1" applyFill="1" applyBorder="1"/>
    <xf numFmtId="2" fontId="0" fillId="0" borderId="0" xfId="0" applyNumberFormat="1" applyFill="1" applyBorder="1"/>
    <xf numFmtId="0" fontId="4" fillId="0" borderId="0" xfId="0" applyFont="1" applyFill="1" applyAlignment="1"/>
    <xf numFmtId="0" fontId="6" fillId="0" borderId="0" xfId="0" applyFont="1" applyFill="1"/>
    <xf numFmtId="0" fontId="6" fillId="0" borderId="0" xfId="0" applyFont="1" applyAlignme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Fill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>
      <alignment horizontal="left"/>
    </xf>
    <xf numFmtId="0" fontId="7" fillId="2" borderId="1" xfId="0" applyFont="1" applyFill="1" applyBorder="1" applyAlignment="1"/>
    <xf numFmtId="0" fontId="6" fillId="4" borderId="1" xfId="0" applyFont="1" applyFill="1" applyBorder="1" applyAlignment="1"/>
    <xf numFmtId="3" fontId="6" fillId="4" borderId="1" xfId="0" applyNumberFormat="1" applyFont="1" applyFill="1" applyBorder="1" applyAlignment="1"/>
    <xf numFmtId="10" fontId="6" fillId="4" borderId="1" xfId="0" applyNumberFormat="1" applyFont="1" applyFill="1" applyBorder="1" applyAlignment="1"/>
    <xf numFmtId="0" fontId="6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7" fillId="2" borderId="1" xfId="0" applyNumberFormat="1" applyFont="1" applyFill="1" applyBorder="1" applyAlignment="1"/>
    <xf numFmtId="0" fontId="7" fillId="3" borderId="3" xfId="0" applyFont="1" applyFill="1" applyBorder="1" applyAlignment="1"/>
    <xf numFmtId="0" fontId="7" fillId="5" borderId="3" xfId="0" applyFont="1" applyFill="1" applyBorder="1" applyAlignment="1"/>
    <xf numFmtId="0" fontId="7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3" fontId="4" fillId="0" borderId="4" xfId="0" applyNumberFormat="1" applyFont="1" applyBorder="1" applyProtection="1"/>
    <xf numFmtId="3" fontId="6" fillId="5" borderId="1" xfId="0" applyNumberFormat="1" applyFont="1" applyFill="1" applyBorder="1" applyAlignment="1"/>
    <xf numFmtId="0" fontId="7" fillId="2" borderId="1" xfId="0" applyFont="1" applyFill="1" applyBorder="1" applyAlignment="1">
      <alignment horizontal="center"/>
    </xf>
    <xf numFmtId="10" fontId="6" fillId="2" borderId="1" xfId="0" applyNumberFormat="1" applyFont="1" applyFill="1" applyBorder="1" applyAlignment="1"/>
    <xf numFmtId="0" fontId="7" fillId="3" borderId="1" xfId="0" applyFont="1" applyFill="1" applyBorder="1" applyAlignment="1"/>
    <xf numFmtId="0" fontId="6" fillId="2" borderId="5" xfId="0" applyFont="1" applyFill="1" applyBorder="1" applyAlignment="1"/>
    <xf numFmtId="0" fontId="6" fillId="2" borderId="6" xfId="0" applyFont="1" applyFill="1" applyBorder="1" applyAlignment="1"/>
    <xf numFmtId="0" fontId="6" fillId="6" borderId="1" xfId="0" applyFont="1" applyFill="1" applyBorder="1" applyAlignment="1"/>
    <xf numFmtId="0" fontId="6" fillId="3" borderId="6" xfId="0" applyFont="1" applyFill="1" applyBorder="1" applyAlignment="1"/>
    <xf numFmtId="0" fontId="6" fillId="4" borderId="6" xfId="0" applyFont="1" applyFill="1" applyBorder="1" applyAlignment="1"/>
    <xf numFmtId="0" fontId="6" fillId="5" borderId="6" xfId="0" applyFont="1" applyFill="1" applyBorder="1" applyAlignment="1"/>
    <xf numFmtId="0" fontId="7" fillId="7" borderId="0" xfId="0" applyFont="1" applyFill="1" applyBorder="1" applyAlignment="1"/>
    <xf numFmtId="0" fontId="7" fillId="6" borderId="4" xfId="0" applyFont="1" applyFill="1" applyBorder="1" applyAlignment="1"/>
    <xf numFmtId="0" fontId="7" fillId="7" borderId="3" xfId="0" applyFont="1" applyFill="1" applyBorder="1"/>
    <xf numFmtId="0" fontId="7" fillId="7" borderId="2" xfId="0" applyFont="1" applyFill="1" applyBorder="1"/>
    <xf numFmtId="0" fontId="6" fillId="7" borderId="1" xfId="0" applyFont="1" applyFill="1" applyBorder="1"/>
    <xf numFmtId="0" fontId="7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0" borderId="0" xfId="0" applyFont="1" applyAlignment="1"/>
    <xf numFmtId="10" fontId="4" fillId="0" borderId="4" xfId="0" applyNumberFormat="1" applyFont="1" applyBorder="1" applyProtection="1"/>
    <xf numFmtId="3" fontId="4" fillId="0" borderId="1" xfId="0" applyNumberFormat="1" applyFont="1" applyBorder="1" applyProtection="1"/>
    <xf numFmtId="3" fontId="4" fillId="0" borderId="6" xfId="0" applyNumberFormat="1" applyFont="1" applyBorder="1" applyProtection="1"/>
    <xf numFmtId="3" fontId="4" fillId="0" borderId="1" xfId="0" applyNumberFormat="1" applyFont="1" applyFill="1" applyBorder="1" applyProtection="1"/>
    <xf numFmtId="3" fontId="9" fillId="0" borderId="4" xfId="4" applyNumberFormat="1" applyFont="1" applyFill="1" applyBorder="1" applyAlignment="1" applyProtection="1"/>
    <xf numFmtId="3" fontId="9" fillId="0" borderId="7" xfId="4" applyNumberFormat="1" applyFont="1" applyFill="1" applyBorder="1" applyAlignment="1" applyProtection="1"/>
    <xf numFmtId="3" fontId="9" fillId="0" borderId="1" xfId="4" applyNumberFormat="1" applyFont="1" applyFill="1" applyBorder="1" applyAlignment="1" applyProtection="1">
      <alignment horizontal="right"/>
    </xf>
    <xf numFmtId="3" fontId="4" fillId="0" borderId="9" xfId="0" applyNumberFormat="1" applyFont="1" applyBorder="1" applyProtection="1"/>
    <xf numFmtId="3" fontId="4" fillId="0" borderId="7" xfId="0" applyNumberFormat="1" applyFont="1" applyBorder="1" applyProtection="1"/>
    <xf numFmtId="0" fontId="6" fillId="0" borderId="0" xfId="0" applyFont="1" applyFill="1" applyProtection="1"/>
    <xf numFmtId="0" fontId="6" fillId="0" borderId="0" xfId="0" applyFont="1" applyProtection="1"/>
    <xf numFmtId="0" fontId="4" fillId="2" borderId="0" xfId="0" applyFont="1" applyFill="1" applyAlignment="1" applyProtection="1">
      <alignment wrapText="1"/>
    </xf>
    <xf numFmtId="0" fontId="2" fillId="2" borderId="17" xfId="0" applyFont="1" applyFill="1" applyBorder="1" applyAlignment="1" applyProtection="1">
      <alignment horizontal="center" wrapText="1"/>
    </xf>
    <xf numFmtId="0" fontId="0" fillId="2" borderId="18" xfId="0" applyFill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3" fontId="4" fillId="5" borderId="8" xfId="0" applyNumberFormat="1" applyFont="1" applyFill="1" applyBorder="1" applyAlignment="1" applyProtection="1">
      <alignment horizontal="center" wrapText="1"/>
    </xf>
    <xf numFmtId="3" fontId="4" fillId="5" borderId="19" xfId="0" applyNumberFormat="1" applyFont="1" applyFill="1" applyBorder="1" applyAlignment="1" applyProtection="1">
      <alignment horizontal="center" wrapText="1"/>
    </xf>
    <xf numFmtId="0" fontId="2" fillId="5" borderId="20" xfId="0" applyFont="1" applyFill="1" applyBorder="1" applyAlignment="1" applyProtection="1">
      <alignment horizontal="center" wrapText="1"/>
    </xf>
    <xf numFmtId="3" fontId="4" fillId="4" borderId="8" xfId="0" applyNumberFormat="1" applyFont="1" applyFill="1" applyBorder="1" applyAlignment="1" applyProtection="1">
      <alignment horizontal="center" wrapText="1"/>
    </xf>
    <xf numFmtId="3" fontId="4" fillId="4" borderId="19" xfId="0" applyNumberFormat="1" applyFont="1" applyFill="1" applyBorder="1" applyAlignment="1" applyProtection="1">
      <alignment horizontal="center" wrapText="1"/>
    </xf>
    <xf numFmtId="0" fontId="4" fillId="0" borderId="0" xfId="0" applyFont="1" applyProtection="1"/>
    <xf numFmtId="0" fontId="6" fillId="0" borderId="1" xfId="0" applyFont="1" applyBorder="1" applyProtection="1"/>
    <xf numFmtId="0" fontId="4" fillId="0" borderId="0" xfId="0" applyFont="1" applyFill="1" applyProtection="1"/>
    <xf numFmtId="0" fontId="4" fillId="0" borderId="0" xfId="0" applyFont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Fill="1" applyBorder="1" applyProtection="1"/>
    <xf numFmtId="3" fontId="4" fillId="0" borderId="0" xfId="0" applyNumberFormat="1" applyFont="1" applyFill="1" applyBorder="1" applyProtection="1"/>
    <xf numFmtId="3" fontId="4" fillId="0" borderId="0" xfId="0" applyNumberFormat="1" applyFont="1" applyProtection="1"/>
    <xf numFmtId="3" fontId="2" fillId="0" borderId="0" xfId="0" applyNumberFormat="1" applyFont="1" applyFill="1" applyBorder="1" applyProtection="1"/>
    <xf numFmtId="10" fontId="4" fillId="0" borderId="0" xfId="0" applyNumberFormat="1" applyFont="1" applyProtection="1"/>
    <xf numFmtId="3" fontId="4" fillId="10" borderId="12" xfId="0" applyNumberFormat="1" applyFont="1" applyFill="1" applyBorder="1" applyProtection="1"/>
    <xf numFmtId="3" fontId="4" fillId="10" borderId="14" xfId="0" applyNumberFormat="1" applyFont="1" applyFill="1" applyBorder="1" applyProtection="1"/>
    <xf numFmtId="169" fontId="4" fillId="10" borderId="16" xfId="0" applyNumberFormat="1" applyFont="1" applyFill="1" applyBorder="1" applyProtection="1"/>
    <xf numFmtId="166" fontId="2" fillId="0" borderId="0" xfId="6" applyNumberFormat="1" applyFont="1" applyFill="1" applyBorder="1" applyProtection="1"/>
    <xf numFmtId="167" fontId="2" fillId="0" borderId="0" xfId="0" applyNumberFormat="1" applyFont="1" applyFill="1" applyBorder="1" applyProtection="1"/>
    <xf numFmtId="3" fontId="2" fillId="3" borderId="19" xfId="0" applyNumberFormat="1" applyFont="1" applyFill="1" applyBorder="1" applyAlignment="1" applyProtection="1">
      <alignment horizontal="center" wrapText="1"/>
    </xf>
    <xf numFmtId="3" fontId="2" fillId="3" borderId="22" xfId="0" applyNumberFormat="1" applyFont="1" applyFill="1" applyBorder="1" applyAlignment="1" applyProtection="1">
      <alignment horizontal="center" wrapText="1"/>
    </xf>
    <xf numFmtId="169" fontId="4" fillId="0" borderId="0" xfId="0" applyNumberFormat="1" applyFont="1" applyProtection="1"/>
    <xf numFmtId="169" fontId="4" fillId="0" borderId="0" xfId="0" applyNumberFormat="1" applyFont="1" applyFill="1" applyBorder="1" applyProtection="1"/>
    <xf numFmtId="3" fontId="2" fillId="11" borderId="1" xfId="0" applyNumberFormat="1" applyFont="1" applyFill="1" applyBorder="1" applyProtection="1"/>
    <xf numFmtId="10" fontId="2" fillId="11" borderId="1" xfId="0" applyNumberFormat="1" applyFont="1" applyFill="1" applyBorder="1" applyProtection="1"/>
    <xf numFmtId="10" fontId="4" fillId="0" borderId="0" xfId="0" applyNumberFormat="1" applyFont="1" applyFill="1" applyBorder="1" applyProtection="1"/>
    <xf numFmtId="3" fontId="3" fillId="0" borderId="9" xfId="4" applyNumberFormat="1" applyFont="1" applyFill="1" applyBorder="1" applyAlignment="1" applyProtection="1"/>
    <xf numFmtId="3" fontId="3" fillId="0" borderId="4" xfId="4" applyNumberFormat="1" applyFont="1" applyFill="1" applyBorder="1" applyAlignment="1" applyProtection="1">
      <alignment horizontal="right"/>
    </xf>
    <xf numFmtId="3" fontId="3" fillId="0" borderId="26" xfId="4" applyNumberFormat="1" applyFont="1" applyFill="1" applyBorder="1" applyAlignment="1" applyProtection="1">
      <alignment horizontal="right"/>
    </xf>
    <xf numFmtId="0" fontId="6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10" fontId="6" fillId="0" borderId="0" xfId="6" applyNumberFormat="1" applyFont="1" applyFill="1" applyBorder="1"/>
    <xf numFmtId="0" fontId="7" fillId="0" borderId="0" xfId="0" applyFont="1" applyFill="1" applyBorder="1" applyAlignment="1"/>
    <xf numFmtId="3" fontId="9" fillId="0" borderId="10" xfId="4" applyNumberFormat="1" applyFont="1" applyFill="1" applyBorder="1" applyAlignment="1" applyProtection="1"/>
    <xf numFmtId="3" fontId="9" fillId="0" borderId="11" xfId="4" applyNumberFormat="1" applyFont="1" applyFill="1" applyBorder="1" applyAlignment="1" applyProtection="1"/>
    <xf numFmtId="3" fontId="9" fillId="0" borderId="28" xfId="4" applyNumberFormat="1" applyFont="1" applyFill="1" applyBorder="1" applyAlignment="1" applyProtection="1"/>
    <xf numFmtId="3" fontId="9" fillId="0" borderId="13" xfId="4" applyNumberFormat="1" applyFont="1" applyFill="1" applyBorder="1" applyAlignment="1" applyProtection="1"/>
    <xf numFmtId="0" fontId="2" fillId="2" borderId="24" xfId="0" applyFont="1" applyFill="1" applyBorder="1" applyAlignment="1" applyProtection="1">
      <alignment horizontal="center" wrapText="1"/>
    </xf>
    <xf numFmtId="0" fontId="2" fillId="2" borderId="5" xfId="0" applyFont="1" applyFill="1" applyBorder="1" applyProtection="1"/>
    <xf numFmtId="0" fontId="2" fillId="2" borderId="5" xfId="0" applyFont="1" applyFill="1" applyBorder="1" applyAlignment="1" applyProtection="1">
      <alignment horizontal="center" wrapText="1"/>
    </xf>
    <xf numFmtId="0" fontId="2" fillId="2" borderId="31" xfId="0" applyFont="1" applyFill="1" applyBorder="1" applyProtection="1"/>
    <xf numFmtId="0" fontId="2" fillId="14" borderId="5" xfId="0" applyFont="1" applyFill="1" applyBorder="1" applyAlignment="1" applyProtection="1">
      <alignment wrapText="1"/>
    </xf>
    <xf numFmtId="0" fontId="1" fillId="0" borderId="0" xfId="3"/>
    <xf numFmtId="0" fontId="1" fillId="0" borderId="0" xfId="3" applyAlignment="1">
      <alignment wrapText="1"/>
    </xf>
    <xf numFmtId="170" fontId="0" fillId="0" borderId="0" xfId="8" applyNumberFormat="1" applyFont="1"/>
    <xf numFmtId="3" fontId="1" fillId="5" borderId="22" xfId="0" applyNumberFormat="1" applyFont="1" applyFill="1" applyBorder="1" applyAlignment="1" applyProtection="1">
      <alignment horizontal="center" wrapText="1"/>
    </xf>
    <xf numFmtId="2" fontId="0" fillId="0" borderId="0" xfId="0" applyNumberFormat="1"/>
    <xf numFmtId="2" fontId="1" fillId="0" borderId="0" xfId="3" applyNumberFormat="1"/>
    <xf numFmtId="0" fontId="1" fillId="0" borderId="15" xfId="0" applyFont="1" applyBorder="1" applyProtection="1"/>
    <xf numFmtId="0" fontId="1" fillId="2" borderId="32" xfId="0" applyFont="1" applyFill="1" applyBorder="1" applyProtection="1"/>
    <xf numFmtId="3" fontId="2" fillId="14" borderId="25" xfId="0" applyNumberFormat="1" applyFont="1" applyFill="1" applyBorder="1" applyProtection="1"/>
    <xf numFmtId="0" fontId="1" fillId="0" borderId="15" xfId="0" applyFont="1" applyBorder="1" applyAlignment="1" applyProtection="1">
      <alignment horizontal="right"/>
    </xf>
    <xf numFmtId="3" fontId="1" fillId="0" borderId="15" xfId="0" applyNumberFormat="1" applyFont="1" applyBorder="1" applyProtection="1"/>
    <xf numFmtId="10" fontId="1" fillId="0" borderId="4" xfId="6" applyNumberFormat="1" applyFont="1" applyBorder="1"/>
    <xf numFmtId="170" fontId="1" fillId="0" borderId="4" xfId="8" applyNumberFormat="1" applyFont="1" applyBorder="1" applyProtection="1"/>
    <xf numFmtId="3" fontId="1" fillId="0" borderId="4" xfId="0" applyNumberFormat="1" applyFont="1" applyBorder="1" applyProtection="1"/>
    <xf numFmtId="170" fontId="1" fillId="0" borderId="1" xfId="8" applyNumberFormat="1" applyFont="1" applyBorder="1" applyProtection="1"/>
    <xf numFmtId="3" fontId="1" fillId="0" borderId="1" xfId="0" applyNumberFormat="1" applyFont="1" applyBorder="1" applyProtection="1"/>
    <xf numFmtId="0" fontId="1" fillId="0" borderId="0" xfId="0" applyFont="1" applyFill="1" applyProtection="1"/>
    <xf numFmtId="0" fontId="1" fillId="2" borderId="5" xfId="0" applyFont="1" applyFill="1" applyBorder="1" applyProtection="1"/>
    <xf numFmtId="3" fontId="1" fillId="0" borderId="4" xfId="0" applyNumberFormat="1" applyFont="1" applyFill="1" applyBorder="1" applyProtection="1"/>
    <xf numFmtId="3" fontId="1" fillId="0" borderId="1" xfId="0" applyNumberFormat="1" applyFont="1" applyFill="1" applyBorder="1" applyProtection="1"/>
    <xf numFmtId="166" fontId="1" fillId="0" borderId="1" xfId="6" applyNumberFormat="1" applyFont="1" applyFill="1" applyBorder="1" applyProtection="1"/>
    <xf numFmtId="3" fontId="2" fillId="14" borderId="52" xfId="0" applyNumberFormat="1" applyFont="1" applyFill="1" applyBorder="1" applyProtection="1"/>
    <xf numFmtId="166" fontId="1" fillId="0" borderId="4" xfId="6" applyNumberFormat="1" applyFont="1" applyFill="1" applyBorder="1" applyProtection="1"/>
    <xf numFmtId="0" fontId="1" fillId="0" borderId="29" xfId="0" applyFont="1" applyBorder="1" applyProtection="1"/>
    <xf numFmtId="3" fontId="1" fillId="0" borderId="15" xfId="0" applyNumberFormat="1" applyFont="1" applyBorder="1" applyAlignment="1" applyProtection="1">
      <alignment horizontal="right"/>
    </xf>
    <xf numFmtId="3" fontId="1" fillId="0" borderId="15" xfId="0" applyNumberFormat="1" applyFont="1" applyBorder="1" applyAlignment="1" applyProtection="1">
      <alignment wrapText="1"/>
    </xf>
    <xf numFmtId="0" fontId="1" fillId="0" borderId="15" xfId="0" applyFont="1" applyFill="1" applyBorder="1" applyProtection="1"/>
    <xf numFmtId="3" fontId="1" fillId="0" borderId="16" xfId="0" applyNumberFormat="1" applyFont="1" applyBorder="1" applyAlignment="1" applyProtection="1">
      <alignment wrapText="1"/>
    </xf>
    <xf numFmtId="10" fontId="4" fillId="0" borderId="0" xfId="6" applyNumberFormat="1" applyFont="1" applyProtection="1"/>
    <xf numFmtId="0" fontId="14" fillId="15" borderId="55" xfId="0" applyFont="1" applyFill="1" applyBorder="1" applyAlignment="1">
      <alignment horizontal="right" vertical="center" wrapText="1"/>
    </xf>
    <xf numFmtId="49" fontId="14" fillId="15" borderId="55" xfId="0" applyNumberFormat="1" applyFont="1" applyFill="1" applyBorder="1" applyAlignment="1">
      <alignment horizontal="left" vertical="center" wrapText="1"/>
    </xf>
    <xf numFmtId="3" fontId="0" fillId="0" borderId="0" xfId="0" applyNumberFormat="1" applyFont="1" applyProtection="1"/>
    <xf numFmtId="172" fontId="0" fillId="0" borderId="0" xfId="0" applyNumberFormat="1" applyFill="1" applyBorder="1"/>
    <xf numFmtId="170" fontId="0" fillId="0" borderId="0" xfId="8" applyNumberFormat="1" applyFont="1" applyFill="1"/>
    <xf numFmtId="165" fontId="0" fillId="0" borderId="0" xfId="8" applyNumberFormat="1" applyFont="1" applyFill="1"/>
    <xf numFmtId="1" fontId="0" fillId="0" borderId="0" xfId="0" applyNumberFormat="1" applyFill="1"/>
    <xf numFmtId="2" fontId="0" fillId="0" borderId="0" xfId="0" applyNumberFormat="1" applyFill="1"/>
    <xf numFmtId="168" fontId="0" fillId="0" borderId="0" xfId="0" applyNumberFormat="1" applyFill="1"/>
    <xf numFmtId="2" fontId="0" fillId="0" borderId="0" xfId="6" applyNumberFormat="1" applyFont="1" applyFill="1"/>
    <xf numFmtId="3" fontId="0" fillId="0" borderId="0" xfId="0" applyNumberFormat="1" applyFont="1" applyFill="1" applyProtection="1"/>
    <xf numFmtId="3" fontId="9" fillId="0" borderId="1" xfId="4" applyNumberFormat="1" applyFont="1" applyFill="1" applyBorder="1" applyAlignment="1" applyProtection="1"/>
    <xf numFmtId="0" fontId="16" fillId="0" borderId="0" xfId="0" applyFont="1" applyProtection="1"/>
    <xf numFmtId="3" fontId="4" fillId="19" borderId="12" xfId="0" applyNumberFormat="1" applyFont="1" applyFill="1" applyBorder="1" applyProtection="1"/>
    <xf numFmtId="0" fontId="17" fillId="0" borderId="0" xfId="0" applyFont="1" applyFill="1"/>
    <xf numFmtId="0" fontId="18" fillId="0" borderId="0" xfId="0" applyFont="1" applyFill="1" applyBorder="1"/>
    <xf numFmtId="0" fontId="18" fillId="0" borderId="0" xfId="0" applyFont="1" applyFill="1"/>
    <xf numFmtId="3" fontId="16" fillId="0" borderId="7" xfId="0" applyNumberFormat="1" applyFont="1" applyBorder="1" applyProtection="1"/>
    <xf numFmtId="3" fontId="1" fillId="0" borderId="6" xfId="0" applyNumberFormat="1" applyFont="1" applyFill="1" applyBorder="1" applyProtection="1"/>
    <xf numFmtId="3" fontId="1" fillId="0" borderId="5" xfId="0" applyNumberFormat="1" applyFont="1" applyFill="1" applyBorder="1" applyProtection="1"/>
    <xf numFmtId="166" fontId="1" fillId="0" borderId="5" xfId="6" applyNumberFormat="1" applyFont="1" applyFill="1" applyBorder="1" applyProtection="1"/>
    <xf numFmtId="0" fontId="0" fillId="21" borderId="0" xfId="0" applyFill="1" applyBorder="1"/>
    <xf numFmtId="3" fontId="1" fillId="21" borderId="1" xfId="0" applyNumberFormat="1" applyFont="1" applyFill="1" applyBorder="1" applyProtection="1"/>
    <xf numFmtId="0" fontId="0" fillId="21" borderId="0" xfId="0" applyFill="1"/>
    <xf numFmtId="3" fontId="1" fillId="21" borderId="4" xfId="0" applyNumberFormat="1" applyFont="1" applyFill="1" applyBorder="1" applyProtection="1"/>
    <xf numFmtId="3" fontId="1" fillId="21" borderId="0" xfId="0" applyNumberFormat="1" applyFont="1" applyFill="1" applyBorder="1" applyProtection="1"/>
    <xf numFmtId="166" fontId="1" fillId="21" borderId="0" xfId="6" applyNumberFormat="1" applyFont="1" applyFill="1" applyBorder="1" applyProtection="1"/>
    <xf numFmtId="0" fontId="1" fillId="21" borderId="0" xfId="0" applyFont="1" applyFill="1" applyBorder="1" applyProtection="1"/>
    <xf numFmtId="0" fontId="1" fillId="21" borderId="0" xfId="0" applyFont="1" applyFill="1" applyProtection="1"/>
    <xf numFmtId="0" fontId="0" fillId="17" borderId="0" xfId="0" applyFill="1"/>
    <xf numFmtId="3" fontId="1" fillId="17" borderId="0" xfId="0" applyNumberFormat="1" applyFont="1" applyFill="1" applyBorder="1" applyProtection="1"/>
    <xf numFmtId="3" fontId="1" fillId="17" borderId="4" xfId="0" applyNumberFormat="1" applyFont="1" applyFill="1" applyBorder="1" applyProtection="1"/>
    <xf numFmtId="3" fontId="1" fillId="17" borderId="1" xfId="0" applyNumberFormat="1" applyFont="1" applyFill="1" applyBorder="1" applyProtection="1"/>
    <xf numFmtId="166" fontId="1" fillId="17" borderId="0" xfId="6" applyNumberFormat="1" applyFont="1" applyFill="1" applyBorder="1" applyProtection="1"/>
    <xf numFmtId="0" fontId="1" fillId="17" borderId="0" xfId="0" applyFont="1" applyFill="1" applyBorder="1" applyProtection="1"/>
    <xf numFmtId="0" fontId="1" fillId="17" borderId="0" xfId="0" applyFont="1" applyFill="1" applyProtection="1"/>
    <xf numFmtId="10" fontId="1" fillId="0" borderId="1" xfId="6" applyNumberFormat="1" applyFont="1" applyBorder="1"/>
    <xf numFmtId="170" fontId="1" fillId="21" borderId="0" xfId="8" applyNumberFormat="1" applyFont="1" applyFill="1" applyBorder="1" applyProtection="1"/>
    <xf numFmtId="0" fontId="16" fillId="0" borderId="0" xfId="0" applyFont="1" applyFill="1"/>
    <xf numFmtId="3" fontId="3" fillId="0" borderId="46" xfId="4" applyNumberFormat="1" applyFont="1" applyFill="1" applyBorder="1" applyAlignment="1" applyProtection="1"/>
    <xf numFmtId="3" fontId="3" fillId="0" borderId="59" xfId="4" applyNumberFormat="1" applyFont="1" applyFill="1" applyBorder="1" applyAlignment="1" applyProtection="1">
      <alignment horizontal="right"/>
    </xf>
    <xf numFmtId="0" fontId="4" fillId="22" borderId="1" xfId="0" applyFont="1" applyFill="1" applyBorder="1" applyProtection="1"/>
    <xf numFmtId="3" fontId="10" fillId="22" borderId="1" xfId="4" applyNumberFormat="1" applyFont="1" applyFill="1" applyBorder="1" applyAlignment="1" applyProtection="1"/>
    <xf numFmtId="0" fontId="9" fillId="23" borderId="8" xfId="5" applyFont="1" applyFill="1" applyBorder="1" applyAlignment="1" applyProtection="1">
      <alignment horizontal="center" wrapText="1"/>
    </xf>
    <xf numFmtId="0" fontId="9" fillId="20" borderId="19" xfId="5" applyFont="1" applyFill="1" applyBorder="1" applyAlignment="1" applyProtection="1">
      <alignment horizontal="center" wrapText="1"/>
    </xf>
    <xf numFmtId="0" fontId="9" fillId="23" borderId="19" xfId="5" applyFont="1" applyFill="1" applyBorder="1" applyAlignment="1" applyProtection="1">
      <alignment horizontal="center" wrapText="1"/>
    </xf>
    <xf numFmtId="0" fontId="3" fillId="23" borderId="19" xfId="5" applyFont="1" applyFill="1" applyBorder="1" applyAlignment="1" applyProtection="1">
      <alignment horizontal="center" wrapText="1"/>
    </xf>
    <xf numFmtId="0" fontId="3" fillId="23" borderId="22" xfId="5" applyFont="1" applyFill="1" applyBorder="1" applyAlignment="1" applyProtection="1">
      <alignment horizontal="center" wrapText="1"/>
    </xf>
    <xf numFmtId="0" fontId="9" fillId="23" borderId="20" xfId="5" applyFont="1" applyFill="1" applyBorder="1" applyAlignment="1" applyProtection="1">
      <alignment horizontal="center" wrapText="1"/>
    </xf>
    <xf numFmtId="0" fontId="2" fillId="18" borderId="60" xfId="0" applyFont="1" applyFill="1" applyBorder="1" applyAlignment="1" applyProtection="1">
      <alignment wrapText="1"/>
    </xf>
    <xf numFmtId="3" fontId="2" fillId="16" borderId="23" xfId="0" applyNumberFormat="1" applyFont="1" applyFill="1" applyBorder="1" applyAlignment="1" applyProtection="1">
      <alignment horizontal="center" wrapText="1"/>
    </xf>
    <xf numFmtId="0" fontId="0" fillId="0" borderId="1" xfId="0" applyBorder="1"/>
    <xf numFmtId="0" fontId="2" fillId="18" borderId="5" xfId="0" applyFont="1" applyFill="1" applyBorder="1" applyAlignment="1" applyProtection="1">
      <alignment horizontal="center" wrapText="1"/>
    </xf>
    <xf numFmtId="0" fontId="2" fillId="18" borderId="24" xfId="0" applyFont="1" applyFill="1" applyBorder="1" applyAlignment="1" applyProtection="1">
      <alignment horizontal="center" wrapText="1"/>
    </xf>
    <xf numFmtId="3" fontId="9" fillId="0" borderId="24" xfId="4" applyNumberFormat="1" applyFont="1" applyFill="1" applyBorder="1" applyAlignment="1" applyProtection="1">
      <alignment horizontal="right"/>
    </xf>
    <xf numFmtId="3" fontId="9" fillId="0" borderId="58" xfId="4" applyNumberFormat="1" applyFont="1" applyFill="1" applyBorder="1" applyAlignment="1" applyProtection="1">
      <alignment horizontal="right"/>
    </xf>
    <xf numFmtId="3" fontId="9" fillId="0" borderId="33" xfId="4" applyNumberFormat="1" applyFont="1" applyFill="1" applyBorder="1" applyAlignment="1" applyProtection="1"/>
    <xf numFmtId="3" fontId="9" fillId="0" borderId="6" xfId="4" applyNumberFormat="1" applyFont="1" applyFill="1" applyBorder="1" applyAlignment="1" applyProtection="1">
      <alignment horizontal="right"/>
    </xf>
    <xf numFmtId="3" fontId="9" fillId="0" borderId="6" xfId="4" applyNumberFormat="1" applyFont="1" applyFill="1" applyBorder="1" applyAlignment="1" applyProtection="1"/>
    <xf numFmtId="3" fontId="9" fillId="0" borderId="5" xfId="4" applyNumberFormat="1" applyFont="1" applyFill="1" applyBorder="1" applyAlignment="1" applyProtection="1">
      <alignment horizontal="right"/>
    </xf>
    <xf numFmtId="3" fontId="9" fillId="0" borderId="5" xfId="4" applyNumberFormat="1" applyFont="1" applyFill="1" applyBorder="1" applyAlignment="1" applyProtection="1"/>
    <xf numFmtId="3" fontId="9" fillId="0" borderId="45" xfId="4" applyNumberFormat="1" applyFont="1" applyFill="1" applyBorder="1" applyAlignment="1" applyProtection="1"/>
    <xf numFmtId="3" fontId="9" fillId="0" borderId="45" xfId="4" applyNumberFormat="1" applyFont="1" applyFill="1" applyBorder="1" applyAlignment="1" applyProtection="1">
      <alignment horizontal="right"/>
    </xf>
    <xf numFmtId="3" fontId="4" fillId="0" borderId="46" xfId="0" applyNumberFormat="1" applyFont="1" applyBorder="1" applyProtection="1"/>
    <xf numFmtId="3" fontId="16" fillId="0" borderId="45" xfId="0" applyNumberFormat="1" applyFont="1" applyBorder="1" applyProtection="1"/>
    <xf numFmtId="3" fontId="4" fillId="0" borderId="45" xfId="0" applyNumberFormat="1" applyFont="1" applyBorder="1" applyProtection="1"/>
    <xf numFmtId="3" fontId="4" fillId="0" borderId="5" xfId="0" applyNumberFormat="1" applyFont="1" applyBorder="1" applyProtection="1"/>
    <xf numFmtId="10" fontId="4" fillId="0" borderId="5" xfId="0" applyNumberFormat="1" applyFont="1" applyBorder="1" applyProtection="1"/>
    <xf numFmtId="3" fontId="4" fillId="0" borderId="32" xfId="0" applyNumberFormat="1" applyFont="1" applyBorder="1" applyProtection="1"/>
    <xf numFmtId="3" fontId="10" fillId="8" borderId="8" xfId="4" applyNumberFormat="1" applyFont="1" applyFill="1" applyBorder="1" applyAlignment="1" applyProtection="1"/>
    <xf numFmtId="3" fontId="10" fillId="8" borderId="19" xfId="4" applyNumberFormat="1" applyFont="1" applyFill="1" applyBorder="1" applyAlignment="1" applyProtection="1"/>
    <xf numFmtId="3" fontId="10" fillId="8" borderId="22" xfId="4" applyNumberFormat="1" applyFont="1" applyFill="1" applyBorder="1" applyAlignment="1" applyProtection="1"/>
    <xf numFmtId="3" fontId="10" fillId="8" borderId="34" xfId="4" applyNumberFormat="1" applyFont="1" applyFill="1" applyBorder="1" applyAlignment="1" applyProtection="1"/>
    <xf numFmtId="10" fontId="10" fillId="8" borderId="19" xfId="4" applyNumberFormat="1" applyFont="1" applyFill="1" applyBorder="1" applyAlignment="1" applyProtection="1"/>
    <xf numFmtId="10" fontId="4" fillId="0" borderId="3" xfId="0" applyNumberFormat="1" applyFont="1" applyBorder="1" applyProtection="1"/>
    <xf numFmtId="3" fontId="4" fillId="0" borderId="33" xfId="0" applyNumberFormat="1" applyFont="1" applyBorder="1" applyProtection="1"/>
    <xf numFmtId="0" fontId="4" fillId="0" borderId="1" xfId="0" applyFont="1" applyBorder="1" applyProtection="1"/>
    <xf numFmtId="0" fontId="1" fillId="0" borderId="1" xfId="0" applyFont="1" applyFill="1" applyBorder="1" applyProtection="1"/>
    <xf numFmtId="0" fontId="0" fillId="0" borderId="4" xfId="0" applyBorder="1"/>
    <xf numFmtId="0" fontId="10" fillId="9" borderId="62" xfId="0" applyFont="1" applyFill="1" applyBorder="1" applyAlignment="1" applyProtection="1">
      <alignment horizontal="center"/>
    </xf>
    <xf numFmtId="0" fontId="10" fillId="9" borderId="63" xfId="5" applyFont="1" applyFill="1" applyBorder="1" applyAlignment="1" applyProtection="1">
      <alignment horizontal="center"/>
    </xf>
    <xf numFmtId="3" fontId="2" fillId="3" borderId="23" xfId="0" applyNumberFormat="1" applyFont="1" applyFill="1" applyBorder="1" applyAlignment="1" applyProtection="1">
      <alignment horizontal="center" wrapText="1"/>
    </xf>
    <xf numFmtId="3" fontId="10" fillId="22" borderId="3" xfId="4" applyNumberFormat="1" applyFont="1" applyFill="1" applyBorder="1" applyAlignment="1" applyProtection="1"/>
    <xf numFmtId="3" fontId="10" fillId="22" borderId="23" xfId="4" applyNumberFormat="1" applyFont="1" applyFill="1" applyBorder="1" applyAlignment="1" applyProtection="1"/>
    <xf numFmtId="0" fontId="6" fillId="0" borderId="4" xfId="0" applyFont="1" applyBorder="1" applyProtection="1"/>
    <xf numFmtId="3" fontId="4" fillId="0" borderId="4" xfId="0" applyNumberFormat="1" applyFont="1" applyFill="1" applyBorder="1" applyProtection="1"/>
    <xf numFmtId="0" fontId="10" fillId="9" borderId="8" xfId="0" applyFont="1" applyFill="1" applyBorder="1" applyAlignment="1" applyProtection="1">
      <alignment horizontal="center" wrapText="1"/>
    </xf>
    <xf numFmtId="0" fontId="10" fillId="9" borderId="19" xfId="5" applyFont="1" applyFill="1" applyBorder="1" applyAlignment="1" applyProtection="1">
      <alignment horizontal="center" wrapText="1"/>
    </xf>
    <xf numFmtId="0" fontId="10" fillId="9" borderId="20" xfId="5" applyFont="1" applyFill="1" applyBorder="1" applyAlignment="1" applyProtection="1">
      <alignment horizontal="center" wrapText="1"/>
    </xf>
    <xf numFmtId="0" fontId="4" fillId="5" borderId="19" xfId="0" applyFont="1" applyFill="1" applyBorder="1" applyAlignment="1" applyProtection="1">
      <alignment horizontal="center" wrapText="1"/>
    </xf>
    <xf numFmtId="3" fontId="4" fillId="5" borderId="20" xfId="0" applyNumberFormat="1" applyFont="1" applyFill="1" applyBorder="1" applyAlignment="1" applyProtection="1">
      <alignment horizontal="center" wrapText="1"/>
    </xf>
    <xf numFmtId="3" fontId="1" fillId="5" borderId="20" xfId="0" applyNumberFormat="1" applyFont="1" applyFill="1" applyBorder="1" applyAlignment="1" applyProtection="1">
      <alignment horizontal="center" wrapText="1"/>
    </xf>
    <xf numFmtId="3" fontId="4" fillId="16" borderId="19" xfId="0" applyNumberFormat="1" applyFont="1" applyFill="1" applyBorder="1" applyAlignment="1" applyProtection="1">
      <alignment horizontal="center" wrapText="1"/>
    </xf>
    <xf numFmtId="3" fontId="1" fillId="12" borderId="41" xfId="0" applyNumberFormat="1" applyFont="1" applyFill="1" applyBorder="1" applyAlignment="1" applyProtection="1">
      <alignment horizontal="center" wrapText="1"/>
    </xf>
    <xf numFmtId="3" fontId="16" fillId="5" borderId="8" xfId="0" applyNumberFormat="1" applyFont="1" applyFill="1" applyBorder="1" applyAlignment="1" applyProtection="1">
      <alignment horizontal="center" wrapText="1"/>
    </xf>
    <xf numFmtId="3" fontId="16" fillId="4" borderId="8" xfId="0" applyNumberFormat="1" applyFont="1" applyFill="1" applyBorder="1" applyAlignment="1" applyProtection="1">
      <alignment horizontal="center" wrapText="1"/>
    </xf>
    <xf numFmtId="0" fontId="2" fillId="4" borderId="20" xfId="0" applyFont="1" applyFill="1" applyBorder="1" applyAlignment="1" applyProtection="1">
      <alignment horizontal="center" wrapText="1"/>
    </xf>
    <xf numFmtId="4" fontId="4" fillId="0" borderId="0" xfId="0" applyNumberFormat="1" applyFont="1" applyProtection="1"/>
    <xf numFmtId="3" fontId="16" fillId="0" borderId="7" xfId="0" applyNumberFormat="1" applyFont="1" applyFill="1" applyBorder="1" applyProtection="1"/>
    <xf numFmtId="3" fontId="4" fillId="0" borderId="0" xfId="0" applyNumberFormat="1" applyFont="1" applyFill="1" applyProtection="1"/>
    <xf numFmtId="10" fontId="6" fillId="20" borderId="0" xfId="6" applyNumberFormat="1" applyFont="1" applyFill="1" applyBorder="1"/>
    <xf numFmtId="0" fontId="1" fillId="0" borderId="0" xfId="0" applyFont="1" applyFill="1"/>
    <xf numFmtId="0" fontId="6" fillId="20" borderId="0" xfId="0" applyFont="1" applyFill="1" applyBorder="1"/>
    <xf numFmtId="171" fontId="6" fillId="20" borderId="0" xfId="0" applyNumberFormat="1" applyFont="1" applyFill="1" applyBorder="1"/>
    <xf numFmtId="3" fontId="0" fillId="20" borderId="0" xfId="0" applyNumberFormat="1" applyFill="1"/>
    <xf numFmtId="0" fontId="18" fillId="20" borderId="0" xfId="0" applyNumberFormat="1" applyFont="1" applyFill="1"/>
    <xf numFmtId="0" fontId="17" fillId="20" borderId="0" xfId="0" applyNumberFormat="1" applyFont="1" applyFill="1"/>
    <xf numFmtId="168" fontId="17" fillId="20" borderId="0" xfId="6" applyNumberFormat="1" applyFont="1" applyFill="1"/>
    <xf numFmtId="173" fontId="17" fillId="20" borderId="0" xfId="0" applyNumberFormat="1" applyFont="1" applyFill="1"/>
    <xf numFmtId="2" fontId="6" fillId="20" borderId="0" xfId="6" applyNumberFormat="1" applyFont="1" applyFill="1" applyBorder="1"/>
    <xf numFmtId="170" fontId="4" fillId="0" borderId="0" xfId="0" applyNumberFormat="1" applyFont="1" applyProtection="1"/>
    <xf numFmtId="170" fontId="0" fillId="24" borderId="4" xfId="8" applyNumberFormat="1" applyFont="1" applyFill="1" applyBorder="1"/>
    <xf numFmtId="3" fontId="1" fillId="0" borderId="0" xfId="0" applyNumberFormat="1" applyFont="1" applyProtection="1"/>
    <xf numFmtId="9" fontId="0" fillId="0" borderId="0" xfId="6" applyFont="1"/>
    <xf numFmtId="3" fontId="1" fillId="0" borderId="0" xfId="0" applyNumberFormat="1" applyFont="1" applyFill="1" applyBorder="1" applyProtection="1"/>
    <xf numFmtId="166" fontId="0" fillId="0" borderId="0" xfId="6" applyNumberFormat="1" applyFont="1"/>
    <xf numFmtId="165" fontId="0" fillId="24" borderId="4" xfId="8" applyNumberFormat="1" applyFont="1" applyFill="1" applyBorder="1"/>
    <xf numFmtId="166" fontId="0" fillId="0" borderId="0" xfId="6" applyNumberFormat="1" applyFont="1" applyFill="1"/>
    <xf numFmtId="170" fontId="3" fillId="0" borderId="9" xfId="8" applyNumberFormat="1" applyFont="1" applyFill="1" applyBorder="1" applyAlignment="1" applyProtection="1"/>
    <xf numFmtId="3" fontId="9" fillId="0" borderId="14" xfId="4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alignment wrapText="1"/>
    </xf>
    <xf numFmtId="9" fontId="4" fillId="0" borderId="0" xfId="6" applyFont="1" applyProtection="1"/>
    <xf numFmtId="0" fontId="0" fillId="0" borderId="0" xfId="0" applyNumberFormat="1"/>
    <xf numFmtId="170" fontId="4" fillId="0" borderId="0" xfId="8" applyNumberFormat="1" applyFont="1" applyProtection="1"/>
    <xf numFmtId="0" fontId="0" fillId="26" borderId="0" xfId="0" applyFill="1"/>
    <xf numFmtId="170" fontId="0" fillId="26" borderId="0" xfId="8" applyNumberFormat="1" applyFont="1" applyFill="1"/>
    <xf numFmtId="168" fontId="0" fillId="26" borderId="0" xfId="0" applyNumberFormat="1" applyFill="1"/>
    <xf numFmtId="166" fontId="0" fillId="26" borderId="0" xfId="6" applyNumberFormat="1" applyFont="1" applyFill="1"/>
    <xf numFmtId="2" fontId="0" fillId="26" borderId="0" xfId="6" applyNumberFormat="1" applyFont="1" applyFill="1"/>
    <xf numFmtId="2" fontId="0" fillId="26" borderId="0" xfId="0" applyNumberFormat="1" applyFill="1"/>
    <xf numFmtId="0" fontId="2" fillId="26" borderId="0" xfId="0" applyFont="1" applyFill="1" applyAlignment="1" applyProtection="1">
      <alignment wrapText="1"/>
    </xf>
    <xf numFmtId="3" fontId="0" fillId="0" borderId="0" xfId="0" applyNumberFormat="1"/>
    <xf numFmtId="167" fontId="3" fillId="0" borderId="9" xfId="4" applyNumberFormat="1" applyFont="1" applyFill="1" applyBorder="1" applyAlignment="1" applyProtection="1"/>
    <xf numFmtId="9" fontId="4" fillId="27" borderId="0" xfId="6" applyFont="1" applyFill="1" applyProtection="1"/>
    <xf numFmtId="9" fontId="4" fillId="0" borderId="0" xfId="6" applyNumberFormat="1" applyFont="1" applyProtection="1"/>
    <xf numFmtId="0" fontId="0" fillId="0" borderId="51" xfId="0" applyBorder="1"/>
    <xf numFmtId="0" fontId="0" fillId="28" borderId="51" xfId="0" applyFill="1" applyBorder="1"/>
    <xf numFmtId="10" fontId="0" fillId="0" borderId="0" xfId="6" applyNumberFormat="1" applyFont="1"/>
    <xf numFmtId="174" fontId="0" fillId="0" borderId="0" xfId="8" applyNumberFormat="1" applyFont="1"/>
    <xf numFmtId="0" fontId="1" fillId="0" borderId="0" xfId="0" applyFont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170" fontId="4" fillId="29" borderId="1" xfId="8" applyNumberFormat="1" applyFont="1" applyFill="1" applyBorder="1" applyProtection="1"/>
    <xf numFmtId="3" fontId="4" fillId="29" borderId="1" xfId="0" applyNumberFormat="1" applyFont="1" applyFill="1" applyBorder="1" applyProtection="1"/>
    <xf numFmtId="0" fontId="10" fillId="9" borderId="21" xfId="0" applyFont="1" applyFill="1" applyBorder="1" applyAlignment="1" applyProtection="1">
      <alignment horizontal="center" vertical="center" wrapText="1"/>
    </xf>
    <xf numFmtId="0" fontId="10" fillId="9" borderId="35" xfId="5" applyFont="1" applyFill="1" applyBorder="1" applyAlignment="1" applyProtection="1">
      <alignment horizontal="center" vertical="center" wrapText="1"/>
    </xf>
    <xf numFmtId="3" fontId="2" fillId="3" borderId="61" xfId="0" applyNumberFormat="1" applyFont="1" applyFill="1" applyBorder="1" applyAlignment="1" applyProtection="1">
      <alignment horizontal="center" vertical="center" wrapText="1"/>
    </xf>
    <xf numFmtId="3" fontId="2" fillId="3" borderId="54" xfId="0" applyNumberFormat="1" applyFont="1" applyFill="1" applyBorder="1" applyAlignment="1" applyProtection="1">
      <alignment horizontal="center" vertical="center" wrapText="1"/>
    </xf>
    <xf numFmtId="3" fontId="2" fillId="3" borderId="6" xfId="0" applyNumberFormat="1" applyFont="1" applyFill="1" applyBorder="1" applyAlignment="1" applyProtection="1">
      <alignment horizontal="center" vertical="center" wrapText="1"/>
    </xf>
    <xf numFmtId="3" fontId="2" fillId="3" borderId="45" xfId="0" applyNumberFormat="1" applyFont="1" applyFill="1" applyBorder="1" applyAlignment="1" applyProtection="1">
      <alignment horizontal="center" vertical="center" wrapText="1"/>
    </xf>
    <xf numFmtId="3" fontId="2" fillId="3" borderId="4" xfId="0" applyNumberFormat="1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3" fontId="2" fillId="4" borderId="19" xfId="0" applyNumberFormat="1" applyFont="1" applyFill="1" applyBorder="1" applyAlignment="1" applyProtection="1">
      <alignment horizontal="center" vertical="center" wrapText="1"/>
    </xf>
    <xf numFmtId="3" fontId="2" fillId="4" borderId="8" xfId="0" applyNumberFormat="1" applyFont="1" applyFill="1" applyBorder="1" applyAlignment="1" applyProtection="1">
      <alignment horizontal="center" vertical="center" wrapText="1"/>
    </xf>
    <xf numFmtId="10" fontId="2" fillId="4" borderId="20" xfId="0" applyNumberFormat="1" applyFont="1" applyFill="1" applyBorder="1" applyAlignment="1" applyProtection="1">
      <alignment horizontal="center" vertical="center" wrapText="1"/>
    </xf>
    <xf numFmtId="3" fontId="2" fillId="3" borderId="19" xfId="0" applyNumberFormat="1" applyFont="1" applyFill="1" applyBorder="1" applyAlignment="1" applyProtection="1">
      <alignment horizontal="center" vertical="center" wrapText="1"/>
    </xf>
    <xf numFmtId="3" fontId="2" fillId="29" borderId="24" xfId="0" applyNumberFormat="1" applyFont="1" applyFill="1" applyBorder="1" applyAlignment="1" applyProtection="1">
      <alignment horizontal="center" vertical="center" wrapText="1"/>
    </xf>
    <xf numFmtId="3" fontId="2" fillId="25" borderId="2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2" fillId="29" borderId="1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2" fillId="0" borderId="0" xfId="0" applyFont="1" applyAlignment="1">
      <alignment wrapText="1"/>
    </xf>
    <xf numFmtId="0" fontId="4" fillId="30" borderId="0" xfId="0" applyFont="1" applyFill="1" applyProtection="1"/>
    <xf numFmtId="0" fontId="8" fillId="7" borderId="37" xfId="0" applyFont="1" applyFill="1" applyBorder="1" applyAlignment="1">
      <alignment horizontal="center"/>
    </xf>
    <xf numFmtId="0" fontId="0" fillId="7" borderId="38" xfId="0" applyFill="1" applyBorder="1" applyAlignment="1"/>
    <xf numFmtId="0" fontId="0" fillId="7" borderId="39" xfId="0" applyFill="1" applyBorder="1" applyAlignment="1"/>
    <xf numFmtId="0" fontId="6" fillId="6" borderId="40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0" fillId="0" borderId="0" xfId="0" applyAlignment="1"/>
    <xf numFmtId="0" fontId="2" fillId="2" borderId="27" xfId="0" applyFont="1" applyFill="1" applyBorder="1" applyAlignment="1" applyProtection="1">
      <alignment horizontal="center"/>
    </xf>
    <xf numFmtId="0" fontId="2" fillId="2" borderId="41" xfId="0" applyFont="1" applyFill="1" applyBorder="1" applyAlignment="1" applyProtection="1">
      <alignment horizontal="center"/>
    </xf>
    <xf numFmtId="10" fontId="2" fillId="2" borderId="27" xfId="6" applyNumberFormat="1" applyFont="1" applyFill="1" applyBorder="1" applyAlignment="1" applyProtection="1">
      <alignment horizontal="center" wrapText="1"/>
    </xf>
    <xf numFmtId="10" fontId="2" fillId="2" borderId="41" xfId="6" applyNumberFormat="1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3" fontId="2" fillId="11" borderId="17" xfId="0" applyNumberFormat="1" applyFont="1" applyFill="1" applyBorder="1" applyAlignment="1" applyProtection="1">
      <alignment horizontal="left" wrapText="1"/>
    </xf>
    <xf numFmtId="3" fontId="2" fillId="11" borderId="44" xfId="0" applyNumberFormat="1" applyFont="1" applyFill="1" applyBorder="1" applyAlignment="1" applyProtection="1">
      <alignment horizontal="left" wrapText="1"/>
    </xf>
    <xf numFmtId="3" fontId="2" fillId="11" borderId="45" xfId="0" applyNumberFormat="1" applyFont="1" applyFill="1" applyBorder="1" applyAlignment="1" applyProtection="1">
      <alignment horizontal="left" wrapText="1"/>
    </xf>
    <xf numFmtId="3" fontId="2" fillId="11" borderId="46" xfId="0" applyNumberFormat="1" applyFont="1" applyFill="1" applyBorder="1" applyAlignment="1" applyProtection="1">
      <alignment horizontal="left" wrapText="1"/>
    </xf>
    <xf numFmtId="3" fontId="2" fillId="11" borderId="7" xfId="0" applyNumberFormat="1" applyFont="1" applyFill="1" applyBorder="1" applyAlignment="1" applyProtection="1">
      <alignment horizontal="left" wrapText="1"/>
    </xf>
    <xf numFmtId="3" fontId="2" fillId="11" borderId="9" xfId="0" applyNumberFormat="1" applyFont="1" applyFill="1" applyBorder="1" applyAlignment="1" applyProtection="1">
      <alignment horizontal="left" wrapText="1"/>
    </xf>
    <xf numFmtId="3" fontId="0" fillId="11" borderId="1" xfId="0" applyNumberFormat="1" applyFont="1" applyFill="1" applyBorder="1" applyAlignment="1" applyProtection="1">
      <alignment wrapText="1"/>
    </xf>
    <xf numFmtId="3" fontId="4" fillId="11" borderId="1" xfId="0" applyNumberFormat="1" applyFont="1" applyFill="1" applyBorder="1" applyAlignment="1" applyProtection="1">
      <alignment wrapText="1"/>
    </xf>
    <xf numFmtId="3" fontId="4" fillId="10" borderId="11" xfId="0" applyNumberFormat="1" applyFont="1" applyFill="1" applyBorder="1" applyAlignment="1" applyProtection="1">
      <alignment vertical="center" wrapText="1"/>
    </xf>
    <xf numFmtId="3" fontId="4" fillId="10" borderId="15" xfId="0" applyNumberFormat="1" applyFont="1" applyFill="1" applyBorder="1" applyAlignment="1" applyProtection="1">
      <alignment vertical="center" wrapText="1"/>
    </xf>
    <xf numFmtId="3" fontId="1" fillId="10" borderId="10" xfId="0" applyNumberFormat="1" applyFont="1" applyFill="1" applyBorder="1" applyAlignment="1" applyProtection="1">
      <alignment vertical="center" wrapText="1"/>
    </xf>
    <xf numFmtId="3" fontId="1" fillId="10" borderId="11" xfId="0" applyNumberFormat="1" applyFont="1" applyFill="1" applyBorder="1" applyAlignment="1" applyProtection="1">
      <alignment vertical="center" wrapText="1"/>
    </xf>
    <xf numFmtId="3" fontId="1" fillId="10" borderId="43" xfId="0" applyNumberFormat="1" applyFont="1" applyFill="1" applyBorder="1" applyAlignment="1" applyProtection="1">
      <alignment vertical="center" wrapText="1"/>
    </xf>
    <xf numFmtId="3" fontId="1" fillId="10" borderId="1" xfId="0" applyNumberFormat="1" applyFont="1" applyFill="1" applyBorder="1" applyAlignment="1" applyProtection="1">
      <alignment vertical="center" wrapText="1"/>
    </xf>
    <xf numFmtId="3" fontId="1" fillId="10" borderId="29" xfId="0" applyNumberFormat="1" applyFont="1" applyFill="1" applyBorder="1" applyAlignment="1" applyProtection="1">
      <alignment vertical="center" wrapText="1"/>
    </xf>
    <xf numFmtId="3" fontId="1" fillId="10" borderId="15" xfId="0" applyNumberFormat="1" applyFont="1" applyFill="1" applyBorder="1" applyAlignment="1" applyProtection="1">
      <alignment vertical="center" wrapText="1"/>
    </xf>
    <xf numFmtId="3" fontId="4" fillId="10" borderId="1" xfId="0" applyNumberFormat="1" applyFont="1" applyFill="1" applyBorder="1" applyAlignment="1" applyProtection="1">
      <alignment vertical="center" wrapText="1"/>
    </xf>
    <xf numFmtId="3" fontId="2" fillId="2" borderId="27" xfId="0" applyNumberFormat="1" applyFont="1" applyFill="1" applyBorder="1" applyAlignment="1" applyProtection="1">
      <alignment horizontal="center" wrapText="1"/>
    </xf>
    <xf numFmtId="0" fontId="0" fillId="0" borderId="41" xfId="0" applyBorder="1" applyAlignment="1"/>
    <xf numFmtId="0" fontId="0" fillId="0" borderId="18" xfId="0" applyBorder="1" applyAlignment="1"/>
    <xf numFmtId="0" fontId="2" fillId="2" borderId="32" xfId="0" applyFont="1" applyFill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center"/>
    </xf>
    <xf numFmtId="3" fontId="2" fillId="10" borderId="10" xfId="0" applyNumberFormat="1" applyFont="1" applyFill="1" applyBorder="1" applyAlignment="1" applyProtection="1">
      <alignment vertical="center" wrapText="1"/>
    </xf>
    <xf numFmtId="3" fontId="2" fillId="10" borderId="43" xfId="0" applyNumberFormat="1" applyFont="1" applyFill="1" applyBorder="1" applyAlignment="1" applyProtection="1">
      <alignment vertical="center" wrapText="1"/>
    </xf>
    <xf numFmtId="3" fontId="2" fillId="10" borderId="29" xfId="0" applyNumberFormat="1" applyFont="1" applyFill="1" applyBorder="1" applyAlignment="1" applyProtection="1">
      <alignment vertical="center" wrapText="1"/>
    </xf>
    <xf numFmtId="3" fontId="4" fillId="10" borderId="28" xfId="0" applyNumberFormat="1" applyFont="1" applyFill="1" applyBorder="1" applyAlignment="1" applyProtection="1">
      <alignment vertical="center" wrapText="1"/>
    </xf>
    <xf numFmtId="3" fontId="4" fillId="10" borderId="56" xfId="0" applyNumberFormat="1" applyFont="1" applyFill="1" applyBorder="1" applyAlignment="1" applyProtection="1">
      <alignment vertical="center" wrapText="1"/>
    </xf>
    <xf numFmtId="3" fontId="4" fillId="10" borderId="47" xfId="0" applyNumberFormat="1" applyFont="1" applyFill="1" applyBorder="1" applyAlignment="1" applyProtection="1">
      <alignment vertical="center" wrapText="1"/>
    </xf>
    <xf numFmtId="3" fontId="4" fillId="10" borderId="3" xfId="0" applyNumberFormat="1" applyFont="1" applyFill="1" applyBorder="1" applyAlignment="1" applyProtection="1">
      <alignment vertical="center" wrapText="1"/>
    </xf>
    <xf numFmtId="3" fontId="4" fillId="10" borderId="40" xfId="0" applyNumberFormat="1" applyFont="1" applyFill="1" applyBorder="1" applyAlignment="1" applyProtection="1">
      <alignment vertical="center" wrapText="1"/>
    </xf>
    <xf numFmtId="3" fontId="4" fillId="10" borderId="2" xfId="0" applyNumberFormat="1" applyFont="1" applyFill="1" applyBorder="1" applyAlignment="1" applyProtection="1">
      <alignment vertical="center" wrapText="1"/>
    </xf>
    <xf numFmtId="3" fontId="4" fillId="10" borderId="30" xfId="0" applyNumberFormat="1" applyFont="1" applyFill="1" applyBorder="1" applyAlignment="1" applyProtection="1">
      <alignment vertical="center" wrapText="1"/>
    </xf>
    <xf numFmtId="3" fontId="4" fillId="10" borderId="57" xfId="0" applyNumberFormat="1" applyFont="1" applyFill="1" applyBorder="1" applyAlignment="1" applyProtection="1">
      <alignment vertical="center" wrapText="1"/>
    </xf>
    <xf numFmtId="3" fontId="4" fillId="10" borderId="48" xfId="0" applyNumberFormat="1" applyFont="1" applyFill="1" applyBorder="1" applyAlignment="1" applyProtection="1">
      <alignment vertical="center" wrapText="1"/>
    </xf>
    <xf numFmtId="3" fontId="2" fillId="2" borderId="37" xfId="0" applyNumberFormat="1" applyFont="1" applyFill="1" applyBorder="1" applyAlignment="1" applyProtection="1">
      <alignment horizontal="center" wrapText="1"/>
    </xf>
    <xf numFmtId="0" fontId="0" fillId="2" borderId="38" xfId="0" applyFill="1" applyBorder="1" applyAlignment="1" applyProtection="1">
      <alignment horizontal="center" wrapText="1"/>
    </xf>
    <xf numFmtId="0" fontId="0" fillId="2" borderId="31" xfId="0" applyFill="1" applyBorder="1" applyAlignment="1" applyProtection="1">
      <alignment horizontal="center" wrapText="1"/>
    </xf>
    <xf numFmtId="0" fontId="2" fillId="2" borderId="27" xfId="0" applyFont="1" applyFill="1" applyBorder="1" applyAlignment="1" applyProtection="1">
      <alignment horizontal="center" wrapText="1"/>
    </xf>
    <xf numFmtId="0" fontId="0" fillId="0" borderId="41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0" borderId="41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2" fillId="18" borderId="27" xfId="0" applyFont="1" applyFill="1" applyBorder="1" applyAlignment="1" applyProtection="1">
      <alignment horizontal="center" wrapText="1"/>
    </xf>
    <xf numFmtId="0" fontId="2" fillId="18" borderId="41" xfId="0" applyFont="1" applyFill="1" applyBorder="1" applyAlignment="1">
      <alignment horizontal="center" wrapText="1"/>
    </xf>
    <xf numFmtId="0" fontId="2" fillId="18" borderId="18" xfId="0" applyFont="1" applyFill="1" applyBorder="1" applyAlignment="1">
      <alignment horizontal="center" wrapText="1"/>
    </xf>
    <xf numFmtId="0" fontId="2" fillId="5" borderId="49" xfId="0" applyFont="1" applyFill="1" applyBorder="1" applyAlignment="1" applyProtection="1"/>
    <xf numFmtId="0" fontId="1" fillId="0" borderId="51" xfId="0" applyFont="1" applyBorder="1" applyAlignment="1"/>
    <xf numFmtId="0" fontId="2" fillId="5" borderId="42" xfId="0" applyFont="1" applyFill="1" applyBorder="1" applyAlignment="1" applyProtection="1"/>
    <xf numFmtId="0" fontId="1" fillId="0" borderId="36" xfId="0" applyFont="1" applyBorder="1" applyAlignment="1" applyProtection="1"/>
    <xf numFmtId="0" fontId="1" fillId="0" borderId="50" xfId="0" applyFont="1" applyBorder="1" applyAlignment="1" applyProtection="1"/>
  </cellXfs>
  <cellStyles count="10">
    <cellStyle name="Komma" xfId="8" builtinId="3"/>
    <cellStyle name="Merknad 2" xfId="1"/>
    <cellStyle name="Normal" xfId="0" builtinId="0"/>
    <cellStyle name="Normal 2" xfId="2"/>
    <cellStyle name="Normal 3" xfId="3"/>
    <cellStyle name="Normal_Ark1" xfId="4"/>
    <cellStyle name="Normal_IRData" xfId="5"/>
    <cellStyle name="Prosent" xfId="6" builtinId="5"/>
    <cellStyle name="Prosent 2" xfId="7"/>
    <cellStyle name="Tusenskille 2" xfId="9"/>
  </cellStyles>
  <dxfs count="0"/>
  <tableStyles count="0" defaultTableStyle="TableStyleMedium9"/>
  <colors>
    <mruColors>
      <color rgb="FF856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9525</xdr:rowOff>
    </xdr:from>
    <xdr:to>
      <xdr:col>0</xdr:col>
      <xdr:colOff>3352800</xdr:colOff>
      <xdr:row>7</xdr:row>
      <xdr:rowOff>0</xdr:rowOff>
    </xdr:to>
    <xdr:pic>
      <xdr:nvPicPr>
        <xdr:cNvPr id="20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1323975"/>
          <a:ext cx="32575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sqref="A1:C1"/>
    </sheetView>
  </sheetViews>
  <sheetFormatPr baseColWidth="10" defaultColWidth="10.85546875" defaultRowHeight="12.75" x14ac:dyDescent="0.2"/>
  <cols>
    <col min="1" max="1" width="32" style="6" customWidth="1"/>
    <col min="2" max="2" width="12.42578125" style="45" customWidth="1"/>
    <col min="3" max="3" width="131.85546875" style="6" customWidth="1"/>
    <col min="4" max="16384" width="10.85546875" style="6"/>
  </cols>
  <sheetData>
    <row r="1" spans="1:3" ht="27.75" customHeight="1" x14ac:dyDescent="0.25">
      <c r="A1" s="298" t="s">
        <v>193</v>
      </c>
      <c r="B1" s="299"/>
      <c r="C1" s="300"/>
    </row>
    <row r="2" spans="1:3" s="9" customFormat="1" ht="18" customHeight="1" x14ac:dyDescent="0.2">
      <c r="A2" s="39" t="s">
        <v>173</v>
      </c>
      <c r="B2" s="40"/>
      <c r="C2" s="41" t="s">
        <v>135</v>
      </c>
    </row>
    <row r="3" spans="1:3" s="9" customFormat="1" ht="20.25" customHeight="1" x14ac:dyDescent="0.2">
      <c r="A3" s="38" t="s">
        <v>286</v>
      </c>
      <c r="B3" s="37"/>
      <c r="C3" s="16"/>
    </row>
    <row r="4" spans="1:3" ht="13.5" x14ac:dyDescent="0.25">
      <c r="A4" s="31"/>
      <c r="B4" s="17" t="s">
        <v>139</v>
      </c>
      <c r="C4" s="17" t="s">
        <v>140</v>
      </c>
    </row>
    <row r="5" spans="1:3" x14ac:dyDescent="0.2">
      <c r="A5" s="32"/>
      <c r="B5" s="18" t="s">
        <v>141</v>
      </c>
      <c r="C5" s="12" t="s">
        <v>154</v>
      </c>
    </row>
    <row r="6" spans="1:3" x14ac:dyDescent="0.2">
      <c r="A6" s="32"/>
      <c r="B6" s="18" t="s">
        <v>142</v>
      </c>
      <c r="C6" s="12" t="s">
        <v>153</v>
      </c>
    </row>
    <row r="7" spans="1:3" x14ac:dyDescent="0.2">
      <c r="A7" s="32"/>
      <c r="B7" s="18" t="s">
        <v>169</v>
      </c>
      <c r="C7" s="19" t="s">
        <v>63</v>
      </c>
    </row>
    <row r="8" spans="1:3" x14ac:dyDescent="0.2">
      <c r="A8" s="32"/>
      <c r="B8" s="18" t="s">
        <v>287</v>
      </c>
      <c r="C8" s="19" t="s">
        <v>289</v>
      </c>
    </row>
    <row r="9" spans="1:3" x14ac:dyDescent="0.2">
      <c r="A9" s="32"/>
      <c r="B9" s="18" t="s">
        <v>288</v>
      </c>
      <c r="C9" s="19" t="s">
        <v>290</v>
      </c>
    </row>
    <row r="10" spans="1:3" x14ac:dyDescent="0.2">
      <c r="A10" s="33"/>
      <c r="B10" s="301" t="s">
        <v>291</v>
      </c>
      <c r="C10" s="302"/>
    </row>
    <row r="11" spans="1:3" x14ac:dyDescent="0.2">
      <c r="A11" s="34"/>
      <c r="B11" s="42" t="s">
        <v>143</v>
      </c>
      <c r="C11" s="11" t="s">
        <v>136</v>
      </c>
    </row>
    <row r="12" spans="1:3" x14ac:dyDescent="0.2">
      <c r="A12" s="34"/>
      <c r="B12" s="42" t="s">
        <v>152</v>
      </c>
      <c r="C12" s="11" t="s">
        <v>292</v>
      </c>
    </row>
    <row r="13" spans="1:3" x14ac:dyDescent="0.2">
      <c r="A13" s="34"/>
      <c r="B13" s="42" t="s">
        <v>144</v>
      </c>
      <c r="C13" s="11" t="s">
        <v>137</v>
      </c>
    </row>
    <row r="14" spans="1:3" x14ac:dyDescent="0.2">
      <c r="A14" s="34"/>
      <c r="B14" s="42" t="s">
        <v>145</v>
      </c>
      <c r="C14" s="11" t="s">
        <v>30</v>
      </c>
    </row>
    <row r="15" spans="1:3" x14ac:dyDescent="0.2">
      <c r="A15" s="34"/>
      <c r="B15" s="42" t="s">
        <v>146</v>
      </c>
      <c r="C15" s="11" t="s">
        <v>31</v>
      </c>
    </row>
    <row r="16" spans="1:3" x14ac:dyDescent="0.2">
      <c r="A16" s="34"/>
      <c r="B16" s="42" t="s">
        <v>147</v>
      </c>
      <c r="C16" s="11" t="s">
        <v>159</v>
      </c>
    </row>
    <row r="17" spans="1:3" x14ac:dyDescent="0.2">
      <c r="A17" s="34"/>
      <c r="B17" s="42" t="s">
        <v>148</v>
      </c>
      <c r="C17" s="11" t="s">
        <v>62</v>
      </c>
    </row>
    <row r="18" spans="1:3" x14ac:dyDescent="0.2">
      <c r="A18" s="34"/>
      <c r="B18" s="42" t="s">
        <v>149</v>
      </c>
      <c r="C18" s="11" t="s">
        <v>160</v>
      </c>
    </row>
    <row r="19" spans="1:3" x14ac:dyDescent="0.2">
      <c r="A19" s="34"/>
      <c r="B19" s="42" t="s">
        <v>150</v>
      </c>
      <c r="C19" s="11" t="s">
        <v>168</v>
      </c>
    </row>
    <row r="20" spans="1:3" x14ac:dyDescent="0.2">
      <c r="A20" s="34"/>
      <c r="B20" s="42" t="s">
        <v>151</v>
      </c>
      <c r="C20" s="11" t="s">
        <v>32</v>
      </c>
    </row>
    <row r="21" spans="1:3" x14ac:dyDescent="0.2">
      <c r="A21" s="34"/>
      <c r="B21" s="42" t="s">
        <v>181</v>
      </c>
      <c r="C21" s="11" t="s">
        <v>34</v>
      </c>
    </row>
    <row r="22" spans="1:3" x14ac:dyDescent="0.2">
      <c r="A22" s="34"/>
      <c r="B22" s="42" t="s">
        <v>182</v>
      </c>
      <c r="C22" s="11" t="s">
        <v>293</v>
      </c>
    </row>
    <row r="23" spans="1:3" x14ac:dyDescent="0.2">
      <c r="A23" s="34"/>
      <c r="B23" s="42" t="s">
        <v>183</v>
      </c>
      <c r="C23" s="11" t="s">
        <v>2</v>
      </c>
    </row>
    <row r="24" spans="1:3" x14ac:dyDescent="0.2">
      <c r="A24" s="34"/>
      <c r="B24" s="42" t="s">
        <v>184</v>
      </c>
      <c r="C24" s="11" t="s">
        <v>101</v>
      </c>
    </row>
    <row r="25" spans="1:3" x14ac:dyDescent="0.2">
      <c r="A25" s="34"/>
      <c r="B25" s="42" t="s">
        <v>185</v>
      </c>
      <c r="C25" s="11" t="s">
        <v>102</v>
      </c>
    </row>
    <row r="26" spans="1:3" x14ac:dyDescent="0.2">
      <c r="A26" s="33"/>
      <c r="B26" s="301" t="s">
        <v>296</v>
      </c>
      <c r="C26" s="302"/>
    </row>
    <row r="27" spans="1:3" x14ac:dyDescent="0.2">
      <c r="A27" s="35"/>
      <c r="B27" s="43" t="s">
        <v>186</v>
      </c>
      <c r="C27" s="13" t="s">
        <v>3</v>
      </c>
    </row>
    <row r="28" spans="1:3" x14ac:dyDescent="0.2">
      <c r="A28" s="35"/>
      <c r="B28" s="43" t="s">
        <v>187</v>
      </c>
      <c r="C28" s="14" t="s">
        <v>13</v>
      </c>
    </row>
    <row r="29" spans="1:3" x14ac:dyDescent="0.2">
      <c r="A29" s="35"/>
      <c r="B29" s="43" t="s">
        <v>188</v>
      </c>
      <c r="C29" s="14" t="s">
        <v>295</v>
      </c>
    </row>
    <row r="30" spans="1:3" x14ac:dyDescent="0.2">
      <c r="A30" s="35"/>
      <c r="B30" s="43" t="s">
        <v>189</v>
      </c>
      <c r="C30" s="14" t="s">
        <v>21</v>
      </c>
    </row>
    <row r="31" spans="1:3" x14ac:dyDescent="0.2">
      <c r="A31" s="35"/>
      <c r="B31" s="43" t="s">
        <v>190</v>
      </c>
      <c r="C31" s="14" t="s">
        <v>22</v>
      </c>
    </row>
    <row r="32" spans="1:3" x14ac:dyDescent="0.2">
      <c r="A32" s="15"/>
      <c r="B32" s="43" t="s">
        <v>191</v>
      </c>
      <c r="C32" s="15" t="s">
        <v>23</v>
      </c>
    </row>
    <row r="33" spans="1:3" x14ac:dyDescent="0.2">
      <c r="A33" s="36"/>
      <c r="B33" s="44" t="s">
        <v>192</v>
      </c>
      <c r="C33" s="27" t="s">
        <v>14</v>
      </c>
    </row>
    <row r="34" spans="1:3" x14ac:dyDescent="0.2">
      <c r="A34" s="36"/>
      <c r="B34" s="44" t="s">
        <v>161</v>
      </c>
      <c r="C34" s="27" t="s">
        <v>297</v>
      </c>
    </row>
    <row r="35" spans="1:3" x14ac:dyDescent="0.2">
      <c r="A35" s="36"/>
      <c r="B35" s="44" t="s">
        <v>162</v>
      </c>
      <c r="C35" s="27" t="s">
        <v>15</v>
      </c>
    </row>
    <row r="36" spans="1:3" x14ac:dyDescent="0.2">
      <c r="A36" s="36"/>
      <c r="B36" s="44" t="s">
        <v>294</v>
      </c>
      <c r="C36" s="27" t="s">
        <v>16</v>
      </c>
    </row>
    <row r="37" spans="1:3" ht="21" customHeight="1" x14ac:dyDescent="0.2">
      <c r="A37" s="30" t="s">
        <v>298</v>
      </c>
      <c r="B37" s="28"/>
      <c r="C37" s="29" t="s">
        <v>299</v>
      </c>
    </row>
    <row r="38" spans="1:3" ht="16.5" customHeight="1" x14ac:dyDescent="0.2">
      <c r="A38" s="20" t="s">
        <v>99</v>
      </c>
      <c r="B38" s="12"/>
      <c r="C38" s="10" t="s">
        <v>302</v>
      </c>
    </row>
    <row r="39" spans="1:3" x14ac:dyDescent="0.2">
      <c r="A39" s="21" t="s">
        <v>17</v>
      </c>
      <c r="B39" s="12"/>
      <c r="C39" s="10" t="s">
        <v>303</v>
      </c>
    </row>
    <row r="40" spans="1:3" x14ac:dyDescent="0.2">
      <c r="A40" s="21" t="s">
        <v>304</v>
      </c>
      <c r="B40" s="12"/>
      <c r="C40" s="10" t="s">
        <v>300</v>
      </c>
    </row>
    <row r="41" spans="1:3" x14ac:dyDescent="0.2">
      <c r="A41" s="21" t="s">
        <v>0</v>
      </c>
      <c r="B41" s="10"/>
      <c r="C41" s="10" t="s">
        <v>48</v>
      </c>
    </row>
    <row r="42" spans="1:3" x14ac:dyDescent="0.2">
      <c r="A42" s="21" t="s">
        <v>305</v>
      </c>
      <c r="B42" s="10"/>
      <c r="C42" s="10" t="s">
        <v>301</v>
      </c>
    </row>
  </sheetData>
  <mergeCells count="3">
    <mergeCell ref="A1:C1"/>
    <mergeCell ref="B10:C10"/>
    <mergeCell ref="B26:C26"/>
  </mergeCells>
  <phoneticPr fontId="5" type="noConversion"/>
  <pageMargins left="0.78740157499999996" right="0.78740157499999996" top="0.984251969" bottom="0.984251969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34"/>
  <sheetViews>
    <sheetView workbookViewId="0">
      <selection activeCell="L1" sqref="L1"/>
    </sheetView>
  </sheetViews>
  <sheetFormatPr baseColWidth="10" defaultRowHeight="12.75" x14ac:dyDescent="0.2"/>
  <cols>
    <col min="3" max="3" width="5" bestFit="1" customWidth="1"/>
    <col min="4" max="4" width="51.140625" bestFit="1" customWidth="1"/>
    <col min="8" max="8" width="13.85546875" bestFit="1" customWidth="1"/>
  </cols>
  <sheetData>
    <row r="1" spans="1:12" s="7" customFormat="1" ht="63.75" x14ac:dyDescent="0.2">
      <c r="A1" s="7" t="s">
        <v>313</v>
      </c>
      <c r="C1" s="7" t="s">
        <v>314</v>
      </c>
      <c r="D1" s="7" t="s">
        <v>315</v>
      </c>
      <c r="E1" s="7" t="s">
        <v>393</v>
      </c>
      <c r="F1" s="7" t="s">
        <v>394</v>
      </c>
      <c r="G1" s="7" t="s">
        <v>395</v>
      </c>
      <c r="H1" s="255" t="s">
        <v>498</v>
      </c>
      <c r="I1" s="255" t="s">
        <v>499</v>
      </c>
      <c r="J1" s="255" t="s">
        <v>500</v>
      </c>
      <c r="K1" s="255" t="s">
        <v>501</v>
      </c>
      <c r="L1" s="296" t="s">
        <v>526</v>
      </c>
    </row>
    <row r="2" spans="1:12" x14ac:dyDescent="0.2">
      <c r="A2" s="257">
        <v>814943852</v>
      </c>
      <c r="B2">
        <v>532014</v>
      </c>
      <c r="C2">
        <v>2016</v>
      </c>
      <c r="D2" t="s">
        <v>396</v>
      </c>
      <c r="E2">
        <v>67306</v>
      </c>
      <c r="H2">
        <f>E2+F2+G2</f>
        <v>67306</v>
      </c>
      <c r="I2" s="247">
        <f>E2/$H2</f>
        <v>1</v>
      </c>
      <c r="J2" s="247">
        <f t="shared" ref="J2:K2" si="0">F2/$H2</f>
        <v>0</v>
      </c>
      <c r="K2" s="247">
        <f t="shared" si="0"/>
        <v>0</v>
      </c>
    </row>
    <row r="3" spans="1:12" x14ac:dyDescent="0.2">
      <c r="A3" s="257">
        <v>844011342</v>
      </c>
      <c r="B3">
        <v>712014</v>
      </c>
      <c r="C3">
        <v>2016</v>
      </c>
      <c r="D3" t="s">
        <v>397</v>
      </c>
      <c r="E3">
        <v>330795</v>
      </c>
      <c r="F3">
        <v>129472</v>
      </c>
      <c r="H3">
        <f t="shared" ref="H3:H66" si="1">E3+F3+G3</f>
        <v>460267</v>
      </c>
      <c r="I3" s="247">
        <f t="shared" ref="I3:I66" si="2">E3/$H3</f>
        <v>0.71870240534298568</v>
      </c>
      <c r="J3" s="247">
        <f t="shared" ref="J3:J66" si="3">F3/$H3</f>
        <v>0.28129759465701432</v>
      </c>
      <c r="K3" s="247">
        <f t="shared" ref="K3:K66" si="4">G3/$H3</f>
        <v>0</v>
      </c>
    </row>
    <row r="4" spans="1:12" x14ac:dyDescent="0.2">
      <c r="A4" s="257">
        <v>848382922</v>
      </c>
      <c r="B4">
        <v>2342014</v>
      </c>
      <c r="C4">
        <v>2016</v>
      </c>
      <c r="D4" t="s">
        <v>398</v>
      </c>
      <c r="E4">
        <v>28131</v>
      </c>
      <c r="H4">
        <f t="shared" si="1"/>
        <v>28131</v>
      </c>
      <c r="I4" s="247">
        <f t="shared" si="2"/>
        <v>1</v>
      </c>
      <c r="J4" s="247">
        <f t="shared" si="3"/>
        <v>0</v>
      </c>
      <c r="K4" s="247">
        <f t="shared" si="4"/>
        <v>0</v>
      </c>
    </row>
    <row r="5" spans="1:12" x14ac:dyDescent="0.2">
      <c r="A5" s="257">
        <v>858837162</v>
      </c>
      <c r="B5">
        <v>552014</v>
      </c>
      <c r="C5">
        <v>2016</v>
      </c>
      <c r="D5" t="s">
        <v>399</v>
      </c>
      <c r="E5">
        <v>27990</v>
      </c>
      <c r="H5">
        <f t="shared" si="1"/>
        <v>27990</v>
      </c>
      <c r="I5" s="247">
        <f t="shared" si="2"/>
        <v>1</v>
      </c>
      <c r="J5" s="247">
        <f t="shared" si="3"/>
        <v>0</v>
      </c>
      <c r="K5" s="247">
        <f t="shared" si="4"/>
        <v>0</v>
      </c>
    </row>
    <row r="6" spans="1:12" x14ac:dyDescent="0.2">
      <c r="A6" s="257">
        <v>871028362</v>
      </c>
      <c r="B6">
        <v>2482014</v>
      </c>
      <c r="C6">
        <v>2016</v>
      </c>
      <c r="D6" t="s">
        <v>400</v>
      </c>
      <c r="E6">
        <v>17862</v>
      </c>
      <c r="H6">
        <f t="shared" si="1"/>
        <v>17862</v>
      </c>
      <c r="I6" s="247">
        <f t="shared" si="2"/>
        <v>1</v>
      </c>
      <c r="J6" s="247">
        <f t="shared" si="3"/>
        <v>0</v>
      </c>
      <c r="K6" s="247">
        <f t="shared" si="4"/>
        <v>0</v>
      </c>
    </row>
    <row r="7" spans="1:12" x14ac:dyDescent="0.2">
      <c r="A7" s="257">
        <v>877051412</v>
      </c>
      <c r="B7">
        <v>1212014</v>
      </c>
      <c r="C7">
        <v>2016</v>
      </c>
      <c r="D7" t="s">
        <v>401</v>
      </c>
      <c r="E7">
        <v>3580</v>
      </c>
      <c r="H7">
        <f t="shared" si="1"/>
        <v>3580</v>
      </c>
      <c r="I7" s="247">
        <f t="shared" si="2"/>
        <v>1</v>
      </c>
      <c r="J7" s="247">
        <f t="shared" si="3"/>
        <v>0</v>
      </c>
      <c r="K7" s="247">
        <f t="shared" si="4"/>
        <v>0</v>
      </c>
    </row>
    <row r="8" spans="1:12" x14ac:dyDescent="0.2">
      <c r="A8" s="257">
        <v>878631072</v>
      </c>
      <c r="B8">
        <v>4842014</v>
      </c>
      <c r="C8">
        <v>2016</v>
      </c>
      <c r="D8" t="s">
        <v>363</v>
      </c>
      <c r="F8">
        <v>12573</v>
      </c>
      <c r="H8">
        <f t="shared" si="1"/>
        <v>12573</v>
      </c>
      <c r="I8" s="247">
        <f t="shared" si="2"/>
        <v>0</v>
      </c>
      <c r="J8" s="247">
        <f t="shared" si="3"/>
        <v>1</v>
      </c>
      <c r="K8" s="247">
        <f t="shared" si="4"/>
        <v>0</v>
      </c>
    </row>
    <row r="9" spans="1:12" x14ac:dyDescent="0.2">
      <c r="A9" s="257">
        <v>879914752</v>
      </c>
      <c r="B9">
        <v>822014</v>
      </c>
      <c r="C9">
        <v>2016</v>
      </c>
      <c r="D9" t="s">
        <v>402</v>
      </c>
      <c r="E9">
        <v>33635</v>
      </c>
      <c r="H9">
        <f t="shared" si="1"/>
        <v>33635</v>
      </c>
      <c r="I9" s="247">
        <f t="shared" si="2"/>
        <v>1</v>
      </c>
      <c r="J9" s="247">
        <f t="shared" si="3"/>
        <v>0</v>
      </c>
      <c r="K9" s="247">
        <f t="shared" si="4"/>
        <v>0</v>
      </c>
    </row>
    <row r="10" spans="1:12" x14ac:dyDescent="0.2">
      <c r="A10" s="257">
        <v>882023702</v>
      </c>
      <c r="B10">
        <v>882014</v>
      </c>
      <c r="C10">
        <v>2016</v>
      </c>
      <c r="D10" t="s">
        <v>345</v>
      </c>
      <c r="E10">
        <v>48100</v>
      </c>
      <c r="H10">
        <f t="shared" si="1"/>
        <v>48100</v>
      </c>
      <c r="I10" s="247">
        <f t="shared" si="2"/>
        <v>1</v>
      </c>
      <c r="J10" s="247">
        <f t="shared" si="3"/>
        <v>0</v>
      </c>
      <c r="K10" s="247">
        <f t="shared" si="4"/>
        <v>0</v>
      </c>
    </row>
    <row r="11" spans="1:12" x14ac:dyDescent="0.2">
      <c r="A11" s="257">
        <v>882783022</v>
      </c>
      <c r="B11">
        <v>5422014</v>
      </c>
      <c r="C11">
        <v>2016</v>
      </c>
      <c r="D11" t="s">
        <v>403</v>
      </c>
      <c r="E11">
        <v>79801</v>
      </c>
      <c r="H11">
        <f t="shared" si="1"/>
        <v>79801</v>
      </c>
      <c r="I11" s="247">
        <f t="shared" si="2"/>
        <v>1</v>
      </c>
      <c r="J11" s="247">
        <f t="shared" si="3"/>
        <v>0</v>
      </c>
      <c r="K11" s="247">
        <f t="shared" si="4"/>
        <v>0</v>
      </c>
    </row>
    <row r="12" spans="1:12" x14ac:dyDescent="0.2">
      <c r="A12" s="257">
        <v>910261525</v>
      </c>
      <c r="B12">
        <v>102014</v>
      </c>
      <c r="C12">
        <v>2016</v>
      </c>
      <c r="D12" t="s">
        <v>325</v>
      </c>
      <c r="E12">
        <v>164</v>
      </c>
      <c r="F12">
        <v>2493</v>
      </c>
      <c r="H12">
        <f t="shared" si="1"/>
        <v>2657</v>
      </c>
      <c r="I12" s="247">
        <f t="shared" si="2"/>
        <v>6.1723748588633796E-2</v>
      </c>
      <c r="J12" s="247">
        <f t="shared" si="3"/>
        <v>0.93827625141136617</v>
      </c>
      <c r="K12" s="247">
        <f t="shared" si="4"/>
        <v>0</v>
      </c>
    </row>
    <row r="13" spans="1:12" x14ac:dyDescent="0.2">
      <c r="A13" s="257">
        <v>911305631</v>
      </c>
      <c r="B13">
        <v>372014</v>
      </c>
      <c r="C13">
        <v>2016</v>
      </c>
      <c r="D13" t="s">
        <v>404</v>
      </c>
      <c r="E13">
        <v>78531</v>
      </c>
      <c r="F13">
        <v>23498</v>
      </c>
      <c r="H13">
        <f t="shared" si="1"/>
        <v>102029</v>
      </c>
      <c r="I13" s="247">
        <f t="shared" si="2"/>
        <v>0.76969293044134512</v>
      </c>
      <c r="J13" s="247">
        <f t="shared" si="3"/>
        <v>0.2303070695586549</v>
      </c>
      <c r="K13" s="247">
        <f t="shared" si="4"/>
        <v>0</v>
      </c>
    </row>
    <row r="14" spans="1:12" x14ac:dyDescent="0.2">
      <c r="A14" s="257">
        <v>911665670</v>
      </c>
      <c r="B14">
        <v>462014</v>
      </c>
      <c r="C14">
        <v>2016</v>
      </c>
      <c r="D14" t="s">
        <v>405</v>
      </c>
      <c r="E14">
        <v>14582</v>
      </c>
      <c r="H14">
        <f t="shared" si="1"/>
        <v>14582</v>
      </c>
      <c r="I14" s="247">
        <f t="shared" si="2"/>
        <v>1</v>
      </c>
      <c r="J14" s="247">
        <f t="shared" si="3"/>
        <v>0</v>
      </c>
      <c r="K14" s="247">
        <f t="shared" si="4"/>
        <v>0</v>
      </c>
    </row>
    <row r="15" spans="1:12" x14ac:dyDescent="0.2">
      <c r="A15" s="257">
        <v>912631532</v>
      </c>
      <c r="B15">
        <v>4602014</v>
      </c>
      <c r="C15">
        <v>2016</v>
      </c>
      <c r="D15" t="s">
        <v>276</v>
      </c>
      <c r="E15">
        <v>328701</v>
      </c>
      <c r="F15">
        <v>152252</v>
      </c>
      <c r="G15">
        <v>3000</v>
      </c>
      <c r="H15">
        <f t="shared" si="1"/>
        <v>483953</v>
      </c>
      <c r="I15" s="247">
        <f t="shared" si="2"/>
        <v>0.67920025291712216</v>
      </c>
      <c r="J15" s="247">
        <f t="shared" si="3"/>
        <v>0.31460079801137714</v>
      </c>
      <c r="K15" s="247">
        <f t="shared" si="4"/>
        <v>6.198949071500745E-3</v>
      </c>
    </row>
    <row r="16" spans="1:12" x14ac:dyDescent="0.2">
      <c r="A16" s="257">
        <v>913680294</v>
      </c>
      <c r="B16">
        <v>982014</v>
      </c>
      <c r="C16">
        <v>2016</v>
      </c>
      <c r="D16" t="s">
        <v>346</v>
      </c>
      <c r="F16">
        <v>1914</v>
      </c>
      <c r="G16">
        <v>1668</v>
      </c>
      <c r="H16">
        <f t="shared" si="1"/>
        <v>3582</v>
      </c>
      <c r="I16" s="247">
        <f t="shared" si="2"/>
        <v>0</v>
      </c>
      <c r="J16" s="247">
        <f t="shared" si="3"/>
        <v>0.53433835845896149</v>
      </c>
      <c r="K16" s="247">
        <f t="shared" si="4"/>
        <v>0.46566164154103851</v>
      </c>
    </row>
    <row r="17" spans="1:11" x14ac:dyDescent="0.2">
      <c r="A17" s="257">
        <v>914078865</v>
      </c>
      <c r="B17">
        <v>1062014</v>
      </c>
      <c r="C17">
        <v>2016</v>
      </c>
      <c r="D17" t="s">
        <v>347</v>
      </c>
      <c r="E17">
        <v>20737</v>
      </c>
      <c r="F17">
        <v>783</v>
      </c>
      <c r="H17">
        <f t="shared" si="1"/>
        <v>21520</v>
      </c>
      <c r="I17" s="247">
        <f t="shared" si="2"/>
        <v>0.96361524163568768</v>
      </c>
      <c r="J17" s="247">
        <f t="shared" si="3"/>
        <v>3.6384758364312271E-2</v>
      </c>
      <c r="K17" s="247">
        <f t="shared" si="4"/>
        <v>0</v>
      </c>
    </row>
    <row r="18" spans="1:11" x14ac:dyDescent="0.2">
      <c r="A18" s="257">
        <v>914385261</v>
      </c>
      <c r="B18">
        <v>422014</v>
      </c>
      <c r="C18">
        <v>2016</v>
      </c>
      <c r="D18" t="s">
        <v>406</v>
      </c>
      <c r="E18">
        <v>52681</v>
      </c>
      <c r="H18">
        <f t="shared" si="1"/>
        <v>52681</v>
      </c>
      <c r="I18" s="247">
        <f t="shared" si="2"/>
        <v>1</v>
      </c>
      <c r="J18" s="247">
        <f t="shared" si="3"/>
        <v>0</v>
      </c>
      <c r="K18" s="247">
        <f t="shared" si="4"/>
        <v>0</v>
      </c>
    </row>
    <row r="19" spans="1:11" x14ac:dyDescent="0.2">
      <c r="A19" s="257">
        <v>914678412</v>
      </c>
      <c r="B19">
        <v>1332014</v>
      </c>
      <c r="C19">
        <v>2016</v>
      </c>
      <c r="D19" t="s">
        <v>407</v>
      </c>
      <c r="E19">
        <v>70319</v>
      </c>
      <c r="F19">
        <v>27163</v>
      </c>
      <c r="H19">
        <f t="shared" si="1"/>
        <v>97482</v>
      </c>
      <c r="I19" s="247">
        <f t="shared" si="2"/>
        <v>0.7213536858086621</v>
      </c>
      <c r="J19" s="247">
        <f t="shared" si="3"/>
        <v>0.2786463141913379</v>
      </c>
      <c r="K19" s="247">
        <f t="shared" si="4"/>
        <v>0</v>
      </c>
    </row>
    <row r="20" spans="1:11" x14ac:dyDescent="0.2">
      <c r="A20" s="257">
        <v>914780152</v>
      </c>
      <c r="B20">
        <v>7432014</v>
      </c>
      <c r="C20">
        <v>2016</v>
      </c>
      <c r="D20" t="s">
        <v>333</v>
      </c>
      <c r="E20">
        <v>20914</v>
      </c>
      <c r="F20">
        <v>14910</v>
      </c>
      <c r="H20">
        <f t="shared" si="1"/>
        <v>35824</v>
      </c>
      <c r="I20" s="247">
        <f t="shared" si="2"/>
        <v>0.58379857079053143</v>
      </c>
      <c r="J20" s="247">
        <f t="shared" si="3"/>
        <v>0.41620142920946851</v>
      </c>
      <c r="K20" s="247">
        <f t="shared" si="4"/>
        <v>0</v>
      </c>
    </row>
    <row r="21" spans="1:11" x14ac:dyDescent="0.2">
      <c r="A21" s="257">
        <v>914904188</v>
      </c>
      <c r="B21">
        <v>1472014</v>
      </c>
      <c r="C21">
        <v>2016</v>
      </c>
      <c r="D21" t="s">
        <v>349</v>
      </c>
      <c r="E21">
        <v>10735</v>
      </c>
      <c r="F21">
        <v>905</v>
      </c>
      <c r="H21">
        <f t="shared" si="1"/>
        <v>11640</v>
      </c>
      <c r="I21" s="247">
        <f t="shared" si="2"/>
        <v>0.92225085910652926</v>
      </c>
      <c r="J21" s="247">
        <f t="shared" si="3"/>
        <v>7.7749140893470792E-2</v>
      </c>
      <c r="K21" s="247">
        <f t="shared" si="4"/>
        <v>0</v>
      </c>
    </row>
    <row r="22" spans="1:11" x14ac:dyDescent="0.2">
      <c r="A22" s="257">
        <v>915019196</v>
      </c>
      <c r="B22">
        <v>1492014</v>
      </c>
      <c r="C22">
        <v>2016</v>
      </c>
      <c r="D22" t="s">
        <v>408</v>
      </c>
      <c r="E22">
        <v>33724</v>
      </c>
      <c r="H22">
        <f t="shared" si="1"/>
        <v>33724</v>
      </c>
      <c r="I22" s="247">
        <f t="shared" si="2"/>
        <v>1</v>
      </c>
      <c r="J22" s="247">
        <f t="shared" si="3"/>
        <v>0</v>
      </c>
      <c r="K22" s="247">
        <f t="shared" si="4"/>
        <v>0</v>
      </c>
    </row>
    <row r="23" spans="1:11" x14ac:dyDescent="0.2">
      <c r="A23" s="257">
        <v>915231640</v>
      </c>
      <c r="B23">
        <v>1562014</v>
      </c>
      <c r="C23">
        <v>2016</v>
      </c>
      <c r="D23" t="s">
        <v>350</v>
      </c>
      <c r="F23">
        <v>623</v>
      </c>
      <c r="H23">
        <f t="shared" si="1"/>
        <v>623</v>
      </c>
      <c r="I23" s="247">
        <f t="shared" si="2"/>
        <v>0</v>
      </c>
      <c r="J23" s="247">
        <f t="shared" si="3"/>
        <v>1</v>
      </c>
      <c r="K23" s="247">
        <f t="shared" si="4"/>
        <v>0</v>
      </c>
    </row>
    <row r="24" spans="1:11" x14ac:dyDescent="0.2">
      <c r="A24" s="257">
        <v>915317898</v>
      </c>
      <c r="B24">
        <v>1612014</v>
      </c>
      <c r="C24">
        <v>2016</v>
      </c>
      <c r="D24" t="s">
        <v>351</v>
      </c>
      <c r="E24">
        <v>22146</v>
      </c>
      <c r="F24">
        <v>2334</v>
      </c>
      <c r="H24">
        <f t="shared" si="1"/>
        <v>24480</v>
      </c>
      <c r="I24" s="247">
        <f t="shared" si="2"/>
        <v>0.90465686274509804</v>
      </c>
      <c r="J24" s="247">
        <f t="shared" si="3"/>
        <v>9.5343137254901955E-2</v>
      </c>
      <c r="K24" s="247">
        <f t="shared" si="4"/>
        <v>0</v>
      </c>
    </row>
    <row r="25" spans="1:11" x14ac:dyDescent="0.2">
      <c r="A25" s="257">
        <v>915591302</v>
      </c>
      <c r="B25">
        <v>1732014</v>
      </c>
      <c r="C25">
        <v>2016</v>
      </c>
      <c r="D25" t="s">
        <v>353</v>
      </c>
      <c r="E25">
        <v>31774</v>
      </c>
      <c r="F25">
        <v>1081</v>
      </c>
      <c r="H25">
        <f t="shared" si="1"/>
        <v>32855</v>
      </c>
      <c r="I25" s="247">
        <f t="shared" si="2"/>
        <v>0.96709785420788308</v>
      </c>
      <c r="J25" s="247">
        <f t="shared" si="3"/>
        <v>3.290214579211688E-2</v>
      </c>
      <c r="K25" s="247">
        <f t="shared" si="4"/>
        <v>0</v>
      </c>
    </row>
    <row r="26" spans="1:11" x14ac:dyDescent="0.2">
      <c r="A26" s="257">
        <v>915635857</v>
      </c>
      <c r="B26">
        <v>5032014</v>
      </c>
      <c r="C26">
        <v>2016</v>
      </c>
      <c r="D26" t="s">
        <v>409</v>
      </c>
      <c r="E26">
        <v>331087</v>
      </c>
      <c r="F26">
        <v>138281</v>
      </c>
      <c r="G26">
        <v>41166</v>
      </c>
      <c r="H26">
        <f t="shared" si="1"/>
        <v>510534</v>
      </c>
      <c r="I26" s="247">
        <f t="shared" si="2"/>
        <v>0.64851116673913978</v>
      </c>
      <c r="J26" s="247">
        <f t="shared" si="3"/>
        <v>0.27085561392581103</v>
      </c>
      <c r="K26" s="247">
        <f t="shared" si="4"/>
        <v>8.0633219335049189E-2</v>
      </c>
    </row>
    <row r="27" spans="1:11" x14ac:dyDescent="0.2">
      <c r="A27" s="257">
        <v>915729290</v>
      </c>
      <c r="B27">
        <v>7532014</v>
      </c>
      <c r="C27">
        <v>2016</v>
      </c>
      <c r="D27" t="s">
        <v>97</v>
      </c>
      <c r="F27">
        <v>32827</v>
      </c>
      <c r="H27">
        <f t="shared" si="1"/>
        <v>32827</v>
      </c>
      <c r="I27" s="247">
        <f t="shared" si="2"/>
        <v>0</v>
      </c>
      <c r="J27" s="247">
        <f t="shared" si="3"/>
        <v>1</v>
      </c>
      <c r="K27" s="247">
        <f t="shared" si="4"/>
        <v>0</v>
      </c>
    </row>
    <row r="28" spans="1:11" x14ac:dyDescent="0.2">
      <c r="A28" s="257">
        <v>916069634</v>
      </c>
      <c r="B28">
        <v>1972014</v>
      </c>
      <c r="C28">
        <v>2016</v>
      </c>
      <c r="D28" t="s">
        <v>410</v>
      </c>
      <c r="E28">
        <v>70947</v>
      </c>
      <c r="F28">
        <v>7583</v>
      </c>
      <c r="G28">
        <v>1450</v>
      </c>
      <c r="H28">
        <f t="shared" si="1"/>
        <v>79980</v>
      </c>
      <c r="I28" s="247">
        <f t="shared" si="2"/>
        <v>0.88705926481620401</v>
      </c>
      <c r="J28" s="247">
        <f t="shared" si="3"/>
        <v>9.481120280070017E-2</v>
      </c>
      <c r="K28" s="247">
        <f t="shared" si="4"/>
        <v>1.8129532383095774E-2</v>
      </c>
    </row>
    <row r="29" spans="1:11" x14ac:dyDescent="0.2">
      <c r="A29" s="257">
        <v>916319908</v>
      </c>
      <c r="B29">
        <v>2952014</v>
      </c>
      <c r="C29">
        <v>2016</v>
      </c>
      <c r="D29" t="s">
        <v>411</v>
      </c>
      <c r="E29">
        <v>87292</v>
      </c>
      <c r="F29">
        <v>13589</v>
      </c>
      <c r="H29">
        <f t="shared" si="1"/>
        <v>100881</v>
      </c>
      <c r="I29" s="247">
        <f t="shared" si="2"/>
        <v>0.86529673575797228</v>
      </c>
      <c r="J29" s="247">
        <f t="shared" si="3"/>
        <v>0.13470326424202775</v>
      </c>
      <c r="K29" s="247">
        <f t="shared" si="4"/>
        <v>0</v>
      </c>
    </row>
    <row r="30" spans="1:11" x14ac:dyDescent="0.2">
      <c r="A30" s="257">
        <v>916501420</v>
      </c>
      <c r="B30">
        <v>562014</v>
      </c>
      <c r="C30">
        <v>2016</v>
      </c>
      <c r="D30" t="s">
        <v>412</v>
      </c>
      <c r="E30">
        <v>127342</v>
      </c>
      <c r="F30">
        <v>29860</v>
      </c>
      <c r="G30">
        <v>2183</v>
      </c>
      <c r="H30">
        <f t="shared" si="1"/>
        <v>159385</v>
      </c>
      <c r="I30" s="247">
        <f t="shared" si="2"/>
        <v>0.79895849672177432</v>
      </c>
      <c r="J30" s="247">
        <f t="shared" si="3"/>
        <v>0.18734510775794461</v>
      </c>
      <c r="K30" s="247">
        <f t="shared" si="4"/>
        <v>1.369639552028108E-2</v>
      </c>
    </row>
    <row r="31" spans="1:11" x14ac:dyDescent="0.2">
      <c r="A31" s="257">
        <v>916763476</v>
      </c>
      <c r="B31">
        <v>2222014</v>
      </c>
      <c r="C31">
        <v>2016</v>
      </c>
      <c r="D31" t="s">
        <v>330</v>
      </c>
      <c r="E31">
        <v>995</v>
      </c>
      <c r="F31">
        <v>736</v>
      </c>
      <c r="H31">
        <f t="shared" si="1"/>
        <v>1731</v>
      </c>
      <c r="I31" s="247">
        <f t="shared" si="2"/>
        <v>0.57481224725592139</v>
      </c>
      <c r="J31" s="247">
        <f t="shared" si="3"/>
        <v>0.42518775274407855</v>
      </c>
      <c r="K31" s="247">
        <f t="shared" si="4"/>
        <v>0</v>
      </c>
    </row>
    <row r="32" spans="1:11" x14ac:dyDescent="0.2">
      <c r="A32" s="257">
        <v>917537534</v>
      </c>
      <c r="B32">
        <v>2942014</v>
      </c>
      <c r="C32">
        <v>2016</v>
      </c>
      <c r="D32" t="s">
        <v>413</v>
      </c>
      <c r="E32">
        <v>24469</v>
      </c>
      <c r="H32">
        <f t="shared" si="1"/>
        <v>24469</v>
      </c>
      <c r="I32" s="247">
        <f t="shared" si="2"/>
        <v>1</v>
      </c>
      <c r="J32" s="247">
        <f t="shared" si="3"/>
        <v>0</v>
      </c>
      <c r="K32" s="247">
        <f t="shared" si="4"/>
        <v>0</v>
      </c>
    </row>
    <row r="33" spans="1:11" x14ac:dyDescent="0.2">
      <c r="A33" s="257">
        <v>918312730</v>
      </c>
      <c r="B33">
        <v>2572014</v>
      </c>
      <c r="C33">
        <v>2016</v>
      </c>
      <c r="D33" t="s">
        <v>414</v>
      </c>
      <c r="E33">
        <v>97252</v>
      </c>
      <c r="F33">
        <v>5595</v>
      </c>
      <c r="H33">
        <f t="shared" si="1"/>
        <v>102847</v>
      </c>
      <c r="I33" s="247">
        <f t="shared" si="2"/>
        <v>0.94559880210409641</v>
      </c>
      <c r="J33" s="247">
        <f t="shared" si="3"/>
        <v>5.440119789590362E-2</v>
      </c>
      <c r="K33" s="247">
        <f t="shared" si="4"/>
        <v>0</v>
      </c>
    </row>
    <row r="34" spans="1:11" x14ac:dyDescent="0.2">
      <c r="A34" s="257">
        <v>919763159</v>
      </c>
      <c r="B34">
        <v>2742014</v>
      </c>
      <c r="C34">
        <v>2016</v>
      </c>
      <c r="D34" t="s">
        <v>357</v>
      </c>
      <c r="E34">
        <v>61551</v>
      </c>
      <c r="F34">
        <v>3765</v>
      </c>
      <c r="H34">
        <f t="shared" si="1"/>
        <v>65316</v>
      </c>
      <c r="I34" s="247">
        <f t="shared" si="2"/>
        <v>0.94235715598015801</v>
      </c>
      <c r="J34" s="247">
        <f t="shared" si="3"/>
        <v>5.7642844019842002E-2</v>
      </c>
      <c r="K34" s="247">
        <f t="shared" si="4"/>
        <v>0</v>
      </c>
    </row>
    <row r="35" spans="1:11" x14ac:dyDescent="0.2">
      <c r="A35" s="257">
        <v>930187240</v>
      </c>
      <c r="B35">
        <v>1672014</v>
      </c>
      <c r="C35">
        <v>2016</v>
      </c>
      <c r="D35" t="s">
        <v>329</v>
      </c>
      <c r="E35">
        <v>1514</v>
      </c>
      <c r="H35">
        <f t="shared" si="1"/>
        <v>1514</v>
      </c>
      <c r="I35" s="247">
        <f t="shared" si="2"/>
        <v>1</v>
      </c>
      <c r="J35" s="247">
        <f t="shared" si="3"/>
        <v>0</v>
      </c>
      <c r="K35" s="247">
        <f t="shared" si="4"/>
        <v>0</v>
      </c>
    </row>
    <row r="36" spans="1:11" x14ac:dyDescent="0.2">
      <c r="A36" s="257">
        <v>933297292</v>
      </c>
      <c r="B36">
        <v>1042014</v>
      </c>
      <c r="C36">
        <v>2016</v>
      </c>
      <c r="D36" t="s">
        <v>415</v>
      </c>
      <c r="E36">
        <v>25339</v>
      </c>
      <c r="H36">
        <f t="shared" si="1"/>
        <v>25339</v>
      </c>
      <c r="I36" s="247">
        <f t="shared" si="2"/>
        <v>1</v>
      </c>
      <c r="J36" s="247">
        <f t="shared" si="3"/>
        <v>0</v>
      </c>
      <c r="K36" s="247">
        <f t="shared" si="4"/>
        <v>0</v>
      </c>
    </row>
    <row r="37" spans="1:11" x14ac:dyDescent="0.2">
      <c r="A37" s="257">
        <v>938260494</v>
      </c>
      <c r="B37">
        <v>1032014</v>
      </c>
      <c r="C37">
        <v>2016</v>
      </c>
      <c r="D37" t="s">
        <v>416</v>
      </c>
      <c r="E37">
        <v>46272</v>
      </c>
      <c r="F37">
        <v>2000</v>
      </c>
      <c r="H37">
        <f t="shared" si="1"/>
        <v>48272</v>
      </c>
      <c r="I37" s="247">
        <f t="shared" si="2"/>
        <v>0.9585681140205502</v>
      </c>
      <c r="J37" s="247">
        <f t="shared" si="3"/>
        <v>4.1431885979449787E-2</v>
      </c>
      <c r="K37" s="247">
        <f t="shared" si="4"/>
        <v>0</v>
      </c>
    </row>
    <row r="38" spans="1:11" x14ac:dyDescent="0.2">
      <c r="A38" s="257">
        <v>944664440</v>
      </c>
      <c r="B38">
        <v>432014</v>
      </c>
      <c r="C38">
        <v>2016</v>
      </c>
      <c r="D38" t="s">
        <v>417</v>
      </c>
      <c r="E38">
        <v>48846</v>
      </c>
      <c r="H38">
        <f t="shared" si="1"/>
        <v>48846</v>
      </c>
      <c r="I38" s="247">
        <f t="shared" si="2"/>
        <v>1</v>
      </c>
      <c r="J38" s="247">
        <f t="shared" si="3"/>
        <v>0</v>
      </c>
      <c r="K38" s="247">
        <f t="shared" si="4"/>
        <v>0</v>
      </c>
    </row>
    <row r="39" spans="1:11" x14ac:dyDescent="0.2">
      <c r="A39" s="257">
        <v>947537792</v>
      </c>
      <c r="B39">
        <v>722014</v>
      </c>
      <c r="C39">
        <v>2016</v>
      </c>
      <c r="D39" t="s">
        <v>418</v>
      </c>
      <c r="E39">
        <v>30982</v>
      </c>
      <c r="H39">
        <f t="shared" si="1"/>
        <v>30982</v>
      </c>
      <c r="I39" s="247">
        <f t="shared" si="2"/>
        <v>1</v>
      </c>
      <c r="J39" s="247">
        <f t="shared" si="3"/>
        <v>0</v>
      </c>
      <c r="K39" s="247">
        <f t="shared" si="4"/>
        <v>0</v>
      </c>
    </row>
    <row r="40" spans="1:11" x14ac:dyDescent="0.2">
      <c r="A40" s="257">
        <v>947576283</v>
      </c>
      <c r="B40">
        <v>2882014</v>
      </c>
      <c r="C40">
        <v>2016</v>
      </c>
      <c r="D40" t="s">
        <v>419</v>
      </c>
      <c r="F40">
        <v>12397</v>
      </c>
      <c r="H40">
        <f t="shared" si="1"/>
        <v>12397</v>
      </c>
      <c r="I40" s="247">
        <f t="shared" si="2"/>
        <v>0</v>
      </c>
      <c r="J40" s="247">
        <f t="shared" si="3"/>
        <v>1</v>
      </c>
      <c r="K40" s="247">
        <f t="shared" si="4"/>
        <v>0</v>
      </c>
    </row>
    <row r="41" spans="1:11" x14ac:dyDescent="0.2">
      <c r="A41" s="257">
        <v>947590618</v>
      </c>
      <c r="B41">
        <v>2712014</v>
      </c>
      <c r="C41">
        <v>2016</v>
      </c>
      <c r="D41" t="s">
        <v>420</v>
      </c>
      <c r="F41">
        <v>2610</v>
      </c>
      <c r="H41">
        <f t="shared" si="1"/>
        <v>2610</v>
      </c>
      <c r="I41" s="247">
        <f t="shared" si="2"/>
        <v>0</v>
      </c>
      <c r="J41" s="247">
        <f t="shared" si="3"/>
        <v>1</v>
      </c>
      <c r="K41" s="247">
        <f t="shared" si="4"/>
        <v>0</v>
      </c>
    </row>
    <row r="42" spans="1:11" x14ac:dyDescent="0.2">
      <c r="A42" s="257">
        <v>948067323</v>
      </c>
      <c r="B42">
        <v>842014</v>
      </c>
      <c r="C42">
        <v>2016</v>
      </c>
      <c r="D42" t="s">
        <v>421</v>
      </c>
      <c r="E42">
        <v>30706</v>
      </c>
      <c r="H42">
        <f t="shared" si="1"/>
        <v>30706</v>
      </c>
      <c r="I42" s="247">
        <f t="shared" si="2"/>
        <v>1</v>
      </c>
      <c r="J42" s="247">
        <f t="shared" si="3"/>
        <v>0</v>
      </c>
      <c r="K42" s="247">
        <f t="shared" si="4"/>
        <v>0</v>
      </c>
    </row>
    <row r="43" spans="1:11" x14ac:dyDescent="0.2">
      <c r="A43" s="257">
        <v>948429209</v>
      </c>
      <c r="B43">
        <v>1962014</v>
      </c>
      <c r="C43">
        <v>2016</v>
      </c>
      <c r="D43" t="s">
        <v>422</v>
      </c>
      <c r="E43">
        <v>30708</v>
      </c>
      <c r="H43">
        <f t="shared" si="1"/>
        <v>30708</v>
      </c>
      <c r="I43" s="247">
        <f t="shared" si="2"/>
        <v>1</v>
      </c>
      <c r="J43" s="247">
        <f t="shared" si="3"/>
        <v>0</v>
      </c>
      <c r="K43" s="247">
        <f t="shared" si="4"/>
        <v>0</v>
      </c>
    </row>
    <row r="44" spans="1:11" x14ac:dyDescent="0.2">
      <c r="A44" s="257">
        <v>948526786</v>
      </c>
      <c r="B44">
        <v>1352014</v>
      </c>
      <c r="C44">
        <v>2016</v>
      </c>
      <c r="D44" t="s">
        <v>348</v>
      </c>
      <c r="E44">
        <v>81468</v>
      </c>
      <c r="F44">
        <v>111</v>
      </c>
      <c r="H44">
        <f t="shared" si="1"/>
        <v>81579</v>
      </c>
      <c r="I44" s="247">
        <f t="shared" si="2"/>
        <v>0.99863935571654472</v>
      </c>
      <c r="J44" s="247">
        <f t="shared" si="3"/>
        <v>1.3606442834553009E-3</v>
      </c>
      <c r="K44" s="247">
        <f t="shared" si="4"/>
        <v>0</v>
      </c>
    </row>
    <row r="45" spans="1:11" x14ac:dyDescent="0.2">
      <c r="A45" s="257">
        <v>948755742</v>
      </c>
      <c r="B45">
        <v>1642014</v>
      </c>
      <c r="C45">
        <v>2016</v>
      </c>
      <c r="D45" t="s">
        <v>423</v>
      </c>
      <c r="E45">
        <v>52067</v>
      </c>
      <c r="F45">
        <v>13133</v>
      </c>
      <c r="H45">
        <f t="shared" si="1"/>
        <v>65200</v>
      </c>
      <c r="I45" s="247">
        <f t="shared" si="2"/>
        <v>0.79857361963190188</v>
      </c>
      <c r="J45" s="247">
        <f t="shared" si="3"/>
        <v>0.20142638036809815</v>
      </c>
      <c r="K45" s="247">
        <f t="shared" si="4"/>
        <v>0</v>
      </c>
    </row>
    <row r="46" spans="1:11" x14ac:dyDescent="0.2">
      <c r="A46" s="257">
        <v>953181606</v>
      </c>
      <c r="B46">
        <v>222014</v>
      </c>
      <c r="C46">
        <v>2016</v>
      </c>
      <c r="D46" t="s">
        <v>424</v>
      </c>
      <c r="E46">
        <v>11430</v>
      </c>
      <c r="H46">
        <f t="shared" si="1"/>
        <v>11430</v>
      </c>
      <c r="I46" s="247">
        <f t="shared" si="2"/>
        <v>1</v>
      </c>
      <c r="J46" s="247">
        <f t="shared" si="3"/>
        <v>0</v>
      </c>
      <c r="K46" s="247">
        <f t="shared" si="4"/>
        <v>0</v>
      </c>
    </row>
    <row r="47" spans="1:11" x14ac:dyDescent="0.2">
      <c r="A47" s="257">
        <v>953681781</v>
      </c>
      <c r="B47">
        <v>3062014</v>
      </c>
      <c r="C47">
        <v>2016</v>
      </c>
      <c r="D47" t="s">
        <v>425</v>
      </c>
      <c r="E47">
        <v>70317</v>
      </c>
      <c r="H47">
        <f t="shared" si="1"/>
        <v>70317</v>
      </c>
      <c r="I47" s="247">
        <f t="shared" si="2"/>
        <v>1</v>
      </c>
      <c r="J47" s="247">
        <f t="shared" si="3"/>
        <v>0</v>
      </c>
      <c r="K47" s="247">
        <f t="shared" si="4"/>
        <v>0</v>
      </c>
    </row>
    <row r="48" spans="1:11" x14ac:dyDescent="0.2">
      <c r="A48" s="257">
        <v>954090493</v>
      </c>
      <c r="B48">
        <v>1872014</v>
      </c>
      <c r="C48">
        <v>2016</v>
      </c>
      <c r="D48" t="s">
        <v>426</v>
      </c>
      <c r="E48">
        <v>3256</v>
      </c>
      <c r="G48">
        <v>6061</v>
      </c>
      <c r="H48">
        <f t="shared" si="1"/>
        <v>9317</v>
      </c>
      <c r="I48" s="247">
        <f t="shared" si="2"/>
        <v>0.34946871310507677</v>
      </c>
      <c r="J48" s="247">
        <f t="shared" si="3"/>
        <v>0</v>
      </c>
      <c r="K48" s="247">
        <f t="shared" si="4"/>
        <v>0.65053128689492323</v>
      </c>
    </row>
    <row r="49" spans="1:11" x14ac:dyDescent="0.2">
      <c r="A49" s="257">
        <v>955664361</v>
      </c>
      <c r="B49">
        <v>1632014</v>
      </c>
      <c r="C49">
        <v>2016</v>
      </c>
      <c r="D49" t="s">
        <v>427</v>
      </c>
      <c r="E49">
        <v>29835</v>
      </c>
      <c r="H49">
        <f t="shared" si="1"/>
        <v>29835</v>
      </c>
      <c r="I49" s="247">
        <f t="shared" si="2"/>
        <v>1</v>
      </c>
      <c r="J49" s="247">
        <f t="shared" si="3"/>
        <v>0</v>
      </c>
      <c r="K49" s="247">
        <f t="shared" si="4"/>
        <v>0</v>
      </c>
    </row>
    <row r="50" spans="1:11" x14ac:dyDescent="0.2">
      <c r="A50" s="257">
        <v>955996836</v>
      </c>
      <c r="B50">
        <v>2512014</v>
      </c>
      <c r="C50">
        <v>2016</v>
      </c>
      <c r="D50" t="s">
        <v>428</v>
      </c>
      <c r="E50">
        <v>107762</v>
      </c>
      <c r="F50">
        <v>15384</v>
      </c>
      <c r="H50">
        <f t="shared" si="1"/>
        <v>123146</v>
      </c>
      <c r="I50" s="247">
        <f t="shared" si="2"/>
        <v>0.87507511409221572</v>
      </c>
      <c r="J50" s="247">
        <f t="shared" si="3"/>
        <v>0.12492488590778425</v>
      </c>
      <c r="K50" s="247">
        <f t="shared" si="4"/>
        <v>0</v>
      </c>
    </row>
    <row r="51" spans="1:11" x14ac:dyDescent="0.2">
      <c r="A51" s="257">
        <v>956740134</v>
      </c>
      <c r="B51">
        <v>1382014</v>
      </c>
      <c r="C51">
        <v>2016</v>
      </c>
      <c r="D51" t="s">
        <v>429</v>
      </c>
      <c r="E51">
        <v>19589</v>
      </c>
      <c r="F51">
        <v>8374</v>
      </c>
      <c r="H51">
        <f t="shared" si="1"/>
        <v>27963</v>
      </c>
      <c r="I51" s="247">
        <f t="shared" si="2"/>
        <v>0.70053284697636165</v>
      </c>
      <c r="J51" s="247">
        <f t="shared" si="3"/>
        <v>0.29946715302363835</v>
      </c>
      <c r="K51" s="247">
        <f t="shared" si="4"/>
        <v>0</v>
      </c>
    </row>
    <row r="52" spans="1:11" x14ac:dyDescent="0.2">
      <c r="A52" s="257">
        <v>957896928</v>
      </c>
      <c r="B52">
        <v>1682014</v>
      </c>
      <c r="C52">
        <v>2016</v>
      </c>
      <c r="D52" t="s">
        <v>430</v>
      </c>
      <c r="E52">
        <v>11654</v>
      </c>
      <c r="H52">
        <f t="shared" si="1"/>
        <v>11654</v>
      </c>
      <c r="I52" s="247">
        <f t="shared" si="2"/>
        <v>1</v>
      </c>
      <c r="J52" s="247">
        <f t="shared" si="3"/>
        <v>0</v>
      </c>
      <c r="K52" s="247">
        <f t="shared" si="4"/>
        <v>0</v>
      </c>
    </row>
    <row r="53" spans="1:11" x14ac:dyDescent="0.2">
      <c r="A53" s="257">
        <v>959254893</v>
      </c>
      <c r="B53">
        <v>162014</v>
      </c>
      <c r="C53">
        <v>2016</v>
      </c>
      <c r="D53" t="s">
        <v>431</v>
      </c>
      <c r="E53">
        <v>26958</v>
      </c>
      <c r="H53">
        <f t="shared" si="1"/>
        <v>26958</v>
      </c>
      <c r="I53" s="247">
        <f t="shared" si="2"/>
        <v>1</v>
      </c>
      <c r="J53" s="247">
        <f t="shared" si="3"/>
        <v>0</v>
      </c>
      <c r="K53" s="247">
        <f t="shared" si="4"/>
        <v>0</v>
      </c>
    </row>
    <row r="54" spans="1:11" x14ac:dyDescent="0.2">
      <c r="A54" s="257">
        <v>960684737</v>
      </c>
      <c r="B54">
        <v>3112014</v>
      </c>
      <c r="C54">
        <v>2016</v>
      </c>
      <c r="D54" t="s">
        <v>432</v>
      </c>
      <c r="E54">
        <v>148041</v>
      </c>
      <c r="F54">
        <v>75471</v>
      </c>
      <c r="H54">
        <f t="shared" si="1"/>
        <v>223512</v>
      </c>
      <c r="I54" s="247">
        <f t="shared" si="2"/>
        <v>0.66234027703210563</v>
      </c>
      <c r="J54" s="247">
        <f t="shared" si="3"/>
        <v>0.33765972296789432</v>
      </c>
      <c r="K54" s="247">
        <f t="shared" si="4"/>
        <v>0</v>
      </c>
    </row>
    <row r="55" spans="1:11" x14ac:dyDescent="0.2">
      <c r="A55" s="257">
        <v>962986633</v>
      </c>
      <c r="B55">
        <v>3192014</v>
      </c>
      <c r="C55">
        <v>2016</v>
      </c>
      <c r="D55" t="s">
        <v>433</v>
      </c>
      <c r="F55">
        <v>129639</v>
      </c>
      <c r="G55">
        <v>5509880</v>
      </c>
      <c r="H55">
        <f t="shared" si="1"/>
        <v>5639519</v>
      </c>
      <c r="I55" s="247">
        <f t="shared" si="2"/>
        <v>0</v>
      </c>
      <c r="J55" s="247">
        <f t="shared" si="3"/>
        <v>2.2987598765071986E-2</v>
      </c>
      <c r="K55" s="247">
        <f t="shared" si="4"/>
        <v>0.97701240123492805</v>
      </c>
    </row>
    <row r="56" spans="1:11" x14ac:dyDescent="0.2">
      <c r="A56" s="257">
        <v>963022158</v>
      </c>
      <c r="B56">
        <v>6592014</v>
      </c>
      <c r="C56">
        <v>2016</v>
      </c>
      <c r="D56" t="s">
        <v>364</v>
      </c>
      <c r="E56">
        <v>62087</v>
      </c>
      <c r="F56">
        <v>3705</v>
      </c>
      <c r="H56">
        <f t="shared" si="1"/>
        <v>65792</v>
      </c>
      <c r="I56" s="247">
        <f t="shared" si="2"/>
        <v>0.94368616245136183</v>
      </c>
      <c r="J56" s="247">
        <f t="shared" si="3"/>
        <v>5.6313837548638133E-2</v>
      </c>
      <c r="K56" s="247">
        <f t="shared" si="4"/>
        <v>0</v>
      </c>
    </row>
    <row r="57" spans="1:11" x14ac:dyDescent="0.2">
      <c r="A57" s="257">
        <v>966309202</v>
      </c>
      <c r="B57">
        <v>972014</v>
      </c>
      <c r="C57">
        <v>2016</v>
      </c>
      <c r="D57" t="s">
        <v>434</v>
      </c>
      <c r="E57">
        <v>49233</v>
      </c>
      <c r="H57">
        <f t="shared" si="1"/>
        <v>49233</v>
      </c>
      <c r="I57" s="247">
        <f t="shared" si="2"/>
        <v>1</v>
      </c>
      <c r="J57" s="247">
        <f t="shared" si="3"/>
        <v>0</v>
      </c>
      <c r="K57" s="247">
        <f t="shared" si="4"/>
        <v>0</v>
      </c>
    </row>
    <row r="58" spans="1:11" x14ac:dyDescent="0.2">
      <c r="A58" s="257">
        <v>966731508</v>
      </c>
      <c r="B58">
        <v>3492014</v>
      </c>
      <c r="C58">
        <v>2016</v>
      </c>
      <c r="D58" t="s">
        <v>435</v>
      </c>
      <c r="E58">
        <v>57537</v>
      </c>
      <c r="F58">
        <v>160</v>
      </c>
      <c r="H58">
        <f t="shared" si="1"/>
        <v>57697</v>
      </c>
      <c r="I58" s="247">
        <f t="shared" si="2"/>
        <v>0.99722689221276672</v>
      </c>
      <c r="J58" s="247">
        <f t="shared" si="3"/>
        <v>2.7731077872333049E-3</v>
      </c>
      <c r="K58" s="247">
        <f t="shared" si="4"/>
        <v>0</v>
      </c>
    </row>
    <row r="59" spans="1:11" x14ac:dyDescent="0.2">
      <c r="A59" s="257">
        <v>967670170</v>
      </c>
      <c r="B59">
        <v>2422014</v>
      </c>
      <c r="C59">
        <v>2016</v>
      </c>
      <c r="D59" t="s">
        <v>436</v>
      </c>
      <c r="E59">
        <v>11886</v>
      </c>
      <c r="H59">
        <f t="shared" si="1"/>
        <v>11886</v>
      </c>
      <c r="I59" s="247">
        <f t="shared" si="2"/>
        <v>1</v>
      </c>
      <c r="J59" s="247">
        <f t="shared" si="3"/>
        <v>0</v>
      </c>
      <c r="K59" s="247">
        <f t="shared" si="4"/>
        <v>0</v>
      </c>
    </row>
    <row r="60" spans="1:11" x14ac:dyDescent="0.2">
      <c r="A60" s="257">
        <v>968002228</v>
      </c>
      <c r="B60">
        <v>632014</v>
      </c>
      <c r="C60">
        <v>2016</v>
      </c>
      <c r="D60" t="s">
        <v>437</v>
      </c>
      <c r="E60">
        <v>44000</v>
      </c>
      <c r="F60">
        <v>18549</v>
      </c>
      <c r="H60">
        <f t="shared" si="1"/>
        <v>62549</v>
      </c>
      <c r="I60" s="247">
        <f t="shared" si="2"/>
        <v>0.70344849637883899</v>
      </c>
      <c r="J60" s="247">
        <f t="shared" si="3"/>
        <v>0.29655150362116101</v>
      </c>
      <c r="K60" s="247">
        <f t="shared" si="4"/>
        <v>0</v>
      </c>
    </row>
    <row r="61" spans="1:11" x14ac:dyDescent="0.2">
      <c r="A61" s="257">
        <v>968168134</v>
      </c>
      <c r="B61">
        <v>4642014</v>
      </c>
      <c r="C61">
        <v>2016</v>
      </c>
      <c r="D61" t="s">
        <v>438</v>
      </c>
      <c r="E61">
        <v>81529</v>
      </c>
      <c r="F61">
        <v>13148</v>
      </c>
      <c r="H61">
        <f t="shared" si="1"/>
        <v>94677</v>
      </c>
      <c r="I61" s="247">
        <f t="shared" si="2"/>
        <v>0.86112783463776843</v>
      </c>
      <c r="J61" s="247">
        <f t="shared" si="3"/>
        <v>0.1388721653622316</v>
      </c>
      <c r="K61" s="247">
        <f t="shared" si="4"/>
        <v>0</v>
      </c>
    </row>
    <row r="62" spans="1:11" x14ac:dyDescent="0.2">
      <c r="A62" s="257">
        <v>968398083</v>
      </c>
      <c r="B62">
        <v>1572014</v>
      </c>
      <c r="C62">
        <v>2016</v>
      </c>
      <c r="D62" t="s">
        <v>439</v>
      </c>
      <c r="E62">
        <v>28292</v>
      </c>
      <c r="H62">
        <f t="shared" si="1"/>
        <v>28292</v>
      </c>
      <c r="I62" s="247">
        <f t="shared" si="2"/>
        <v>1</v>
      </c>
      <c r="J62" s="247">
        <f t="shared" si="3"/>
        <v>0</v>
      </c>
      <c r="K62" s="247">
        <f t="shared" si="4"/>
        <v>0</v>
      </c>
    </row>
    <row r="63" spans="1:11" x14ac:dyDescent="0.2">
      <c r="A63" s="257">
        <v>970974253</v>
      </c>
      <c r="B63">
        <v>1622014</v>
      </c>
      <c r="C63">
        <v>2016</v>
      </c>
      <c r="D63" t="s">
        <v>352</v>
      </c>
      <c r="E63">
        <v>41181</v>
      </c>
      <c r="F63">
        <v>955</v>
      </c>
      <c r="H63">
        <f t="shared" si="1"/>
        <v>42136</v>
      </c>
      <c r="I63" s="247">
        <f t="shared" si="2"/>
        <v>0.97733529523447882</v>
      </c>
      <c r="J63" s="247">
        <f t="shared" si="3"/>
        <v>2.2664704765521168E-2</v>
      </c>
      <c r="K63" s="247">
        <f t="shared" si="4"/>
        <v>0</v>
      </c>
    </row>
    <row r="64" spans="1:11" x14ac:dyDescent="0.2">
      <c r="A64" s="257">
        <v>971028440</v>
      </c>
      <c r="B64">
        <v>352014</v>
      </c>
      <c r="C64">
        <v>2016</v>
      </c>
      <c r="D64" t="s">
        <v>343</v>
      </c>
      <c r="E64">
        <v>25075</v>
      </c>
      <c r="H64">
        <f t="shared" si="1"/>
        <v>25075</v>
      </c>
      <c r="I64" s="247">
        <f t="shared" si="2"/>
        <v>1</v>
      </c>
      <c r="J64" s="247">
        <f t="shared" si="3"/>
        <v>0</v>
      </c>
      <c r="K64" s="247">
        <f t="shared" si="4"/>
        <v>0</v>
      </c>
    </row>
    <row r="65" spans="1:11" x14ac:dyDescent="0.2">
      <c r="A65" s="257">
        <v>971028513</v>
      </c>
      <c r="B65">
        <v>412014</v>
      </c>
      <c r="C65">
        <v>2016</v>
      </c>
      <c r="D65" t="s">
        <v>344</v>
      </c>
      <c r="E65">
        <v>14918</v>
      </c>
      <c r="F65">
        <v>0</v>
      </c>
      <c r="H65">
        <f t="shared" si="1"/>
        <v>14918</v>
      </c>
      <c r="I65" s="247">
        <f t="shared" si="2"/>
        <v>1</v>
      </c>
      <c r="J65" s="247">
        <f t="shared" si="3"/>
        <v>0</v>
      </c>
      <c r="K65" s="247">
        <f t="shared" si="4"/>
        <v>0</v>
      </c>
    </row>
    <row r="66" spans="1:11" x14ac:dyDescent="0.2">
      <c r="A66" s="257">
        <v>971028548</v>
      </c>
      <c r="B66">
        <v>452014</v>
      </c>
      <c r="C66">
        <v>2016</v>
      </c>
      <c r="D66" t="s">
        <v>440</v>
      </c>
      <c r="E66">
        <v>23897</v>
      </c>
      <c r="H66">
        <f t="shared" si="1"/>
        <v>23897</v>
      </c>
      <c r="I66" s="247">
        <f t="shared" si="2"/>
        <v>1</v>
      </c>
      <c r="J66" s="247">
        <f t="shared" si="3"/>
        <v>0</v>
      </c>
      <c r="K66" s="247">
        <f t="shared" si="4"/>
        <v>0</v>
      </c>
    </row>
    <row r="67" spans="1:11" x14ac:dyDescent="0.2">
      <c r="A67" s="257">
        <v>971029102</v>
      </c>
      <c r="B67">
        <v>5992014</v>
      </c>
      <c r="C67">
        <v>2016</v>
      </c>
      <c r="D67" t="s">
        <v>441</v>
      </c>
      <c r="E67">
        <v>32923</v>
      </c>
      <c r="H67">
        <f t="shared" ref="H67:H130" si="5">E67+F67+G67</f>
        <v>32923</v>
      </c>
      <c r="I67" s="247">
        <f t="shared" ref="I67:I130" si="6">E67/$H67</f>
        <v>1</v>
      </c>
      <c r="J67" s="247">
        <f t="shared" ref="J67:J130" si="7">F67/$H67</f>
        <v>0</v>
      </c>
      <c r="K67" s="247">
        <f t="shared" ref="K67:K130" si="8">G67/$H67</f>
        <v>0</v>
      </c>
    </row>
    <row r="68" spans="1:11" x14ac:dyDescent="0.2">
      <c r="A68" s="257">
        <v>971029390</v>
      </c>
      <c r="B68">
        <v>72014</v>
      </c>
      <c r="C68">
        <v>2016</v>
      </c>
      <c r="D68" t="s">
        <v>442</v>
      </c>
      <c r="E68">
        <v>89435</v>
      </c>
      <c r="F68">
        <v>778</v>
      </c>
      <c r="H68">
        <f t="shared" si="5"/>
        <v>90213</v>
      </c>
      <c r="I68" s="247">
        <f t="shared" si="6"/>
        <v>0.99137596576990017</v>
      </c>
      <c r="J68" s="247">
        <f t="shared" si="7"/>
        <v>8.6240342300998741E-3</v>
      </c>
      <c r="K68" s="247">
        <f t="shared" si="8"/>
        <v>0</v>
      </c>
    </row>
    <row r="69" spans="1:11" x14ac:dyDescent="0.2">
      <c r="A69" s="257">
        <v>971030569</v>
      </c>
      <c r="B69">
        <v>3432014</v>
      </c>
      <c r="C69">
        <v>2016</v>
      </c>
      <c r="D69" t="s">
        <v>360</v>
      </c>
      <c r="E69">
        <v>25543</v>
      </c>
      <c r="F69">
        <v>8066</v>
      </c>
      <c r="H69">
        <f t="shared" si="5"/>
        <v>33609</v>
      </c>
      <c r="I69" s="247">
        <f t="shared" si="6"/>
        <v>0.76000476062959321</v>
      </c>
      <c r="J69" s="247">
        <f t="shared" si="7"/>
        <v>0.23999523937040673</v>
      </c>
      <c r="K69" s="247">
        <f t="shared" si="8"/>
        <v>0</v>
      </c>
    </row>
    <row r="70" spans="1:11" x14ac:dyDescent="0.2">
      <c r="A70" s="257">
        <v>971030658</v>
      </c>
      <c r="B70">
        <v>952014</v>
      </c>
      <c r="C70">
        <v>2016</v>
      </c>
      <c r="D70" t="s">
        <v>443</v>
      </c>
      <c r="E70">
        <v>13712</v>
      </c>
      <c r="H70">
        <f t="shared" si="5"/>
        <v>13712</v>
      </c>
      <c r="I70" s="247">
        <f t="shared" si="6"/>
        <v>1</v>
      </c>
      <c r="J70" s="247">
        <f t="shared" si="7"/>
        <v>0</v>
      </c>
      <c r="K70" s="247">
        <f t="shared" si="8"/>
        <v>0</v>
      </c>
    </row>
    <row r="71" spans="1:11" x14ac:dyDescent="0.2">
      <c r="A71" s="257">
        <v>971031107</v>
      </c>
      <c r="B71">
        <v>522014</v>
      </c>
      <c r="C71">
        <v>2016</v>
      </c>
      <c r="D71" t="s">
        <v>444</v>
      </c>
      <c r="E71">
        <v>12672</v>
      </c>
      <c r="H71">
        <f t="shared" si="5"/>
        <v>12672</v>
      </c>
      <c r="I71" s="247">
        <f t="shared" si="6"/>
        <v>1</v>
      </c>
      <c r="J71" s="247">
        <f t="shared" si="7"/>
        <v>0</v>
      </c>
      <c r="K71" s="247">
        <f t="shared" si="8"/>
        <v>0</v>
      </c>
    </row>
    <row r="72" spans="1:11" x14ac:dyDescent="0.2">
      <c r="A72" s="257">
        <v>971031425</v>
      </c>
      <c r="B72">
        <v>2672014</v>
      </c>
      <c r="C72">
        <v>2016</v>
      </c>
      <c r="D72" t="s">
        <v>445</v>
      </c>
      <c r="E72">
        <v>24652</v>
      </c>
      <c r="H72">
        <f t="shared" si="5"/>
        <v>24652</v>
      </c>
      <c r="I72" s="247">
        <f t="shared" si="6"/>
        <v>1</v>
      </c>
      <c r="J72" s="247">
        <f t="shared" si="7"/>
        <v>0</v>
      </c>
      <c r="K72" s="247">
        <f t="shared" si="8"/>
        <v>0</v>
      </c>
    </row>
    <row r="73" spans="1:11" x14ac:dyDescent="0.2">
      <c r="A73" s="257">
        <v>971034998</v>
      </c>
      <c r="B73">
        <v>2062014</v>
      </c>
      <c r="C73">
        <v>2016</v>
      </c>
      <c r="D73" t="s">
        <v>446</v>
      </c>
      <c r="E73">
        <v>34165</v>
      </c>
      <c r="F73">
        <v>4361</v>
      </c>
      <c r="H73">
        <f t="shared" si="5"/>
        <v>38526</v>
      </c>
      <c r="I73" s="247">
        <f t="shared" si="6"/>
        <v>0.88680371697035765</v>
      </c>
      <c r="J73" s="247">
        <f t="shared" si="7"/>
        <v>0.11319628302964233</v>
      </c>
      <c r="K73" s="247">
        <f t="shared" si="8"/>
        <v>0</v>
      </c>
    </row>
    <row r="74" spans="1:11" x14ac:dyDescent="0.2">
      <c r="A74" s="257">
        <v>971040246</v>
      </c>
      <c r="B74">
        <v>2872014</v>
      </c>
      <c r="C74">
        <v>2016</v>
      </c>
      <c r="D74" t="s">
        <v>358</v>
      </c>
      <c r="F74">
        <v>370</v>
      </c>
      <c r="H74">
        <f t="shared" si="5"/>
        <v>370</v>
      </c>
      <c r="I74" s="247">
        <f t="shared" si="6"/>
        <v>0</v>
      </c>
      <c r="J74" s="247">
        <f t="shared" si="7"/>
        <v>1</v>
      </c>
      <c r="K74" s="247">
        <f t="shared" si="8"/>
        <v>0</v>
      </c>
    </row>
    <row r="75" spans="1:11" x14ac:dyDescent="0.2">
      <c r="A75" s="257">
        <v>971048611</v>
      </c>
      <c r="B75">
        <v>92014</v>
      </c>
      <c r="C75">
        <v>2016</v>
      </c>
      <c r="D75" t="s">
        <v>447</v>
      </c>
      <c r="E75">
        <v>26065</v>
      </c>
      <c r="F75">
        <v>14417</v>
      </c>
      <c r="H75">
        <f t="shared" si="5"/>
        <v>40482</v>
      </c>
      <c r="I75" s="247">
        <f t="shared" si="6"/>
        <v>0.64386640976236353</v>
      </c>
      <c r="J75" s="247">
        <f t="shared" si="7"/>
        <v>0.35613359023763647</v>
      </c>
      <c r="K75" s="247">
        <f t="shared" si="8"/>
        <v>0</v>
      </c>
    </row>
    <row r="76" spans="1:11" x14ac:dyDescent="0.2">
      <c r="A76" s="257">
        <v>971058854</v>
      </c>
      <c r="B76">
        <v>2492014</v>
      </c>
      <c r="C76">
        <v>2016</v>
      </c>
      <c r="D76" t="s">
        <v>448</v>
      </c>
      <c r="E76">
        <v>127616</v>
      </c>
      <c r="F76">
        <v>51647</v>
      </c>
      <c r="H76">
        <f t="shared" si="5"/>
        <v>179263</v>
      </c>
      <c r="I76" s="247">
        <f t="shared" si="6"/>
        <v>0.71189258240685471</v>
      </c>
      <c r="J76" s="247">
        <f t="shared" si="7"/>
        <v>0.28810741759314529</v>
      </c>
      <c r="K76" s="247">
        <f t="shared" si="8"/>
        <v>0</v>
      </c>
    </row>
    <row r="77" spans="1:11" x14ac:dyDescent="0.2">
      <c r="A77" s="257">
        <v>971589752</v>
      </c>
      <c r="B77">
        <v>2752014</v>
      </c>
      <c r="C77">
        <v>2016</v>
      </c>
      <c r="D77" t="s">
        <v>449</v>
      </c>
      <c r="E77">
        <v>121661</v>
      </c>
      <c r="F77">
        <v>12000</v>
      </c>
      <c r="G77">
        <v>1647</v>
      </c>
      <c r="H77">
        <f t="shared" si="5"/>
        <v>135308</v>
      </c>
      <c r="I77" s="247">
        <f t="shared" si="6"/>
        <v>0.89914121855322671</v>
      </c>
      <c r="J77" s="247">
        <f t="shared" si="7"/>
        <v>8.8686552162473758E-2</v>
      </c>
      <c r="K77" s="247">
        <f t="shared" si="8"/>
        <v>1.2172229284299525E-2</v>
      </c>
    </row>
    <row r="78" spans="1:11" x14ac:dyDescent="0.2">
      <c r="A78" s="257">
        <v>971592117</v>
      </c>
      <c r="B78">
        <v>182014</v>
      </c>
      <c r="C78">
        <v>2016</v>
      </c>
      <c r="D78" t="s">
        <v>342</v>
      </c>
      <c r="E78">
        <v>23009</v>
      </c>
      <c r="F78">
        <v>1469</v>
      </c>
      <c r="H78">
        <f t="shared" si="5"/>
        <v>24478</v>
      </c>
      <c r="I78" s="247">
        <f t="shared" si="6"/>
        <v>0.93998692703652265</v>
      </c>
      <c r="J78" s="247">
        <f t="shared" si="7"/>
        <v>6.001307296347741E-2</v>
      </c>
      <c r="K78" s="247">
        <f t="shared" si="8"/>
        <v>0</v>
      </c>
    </row>
    <row r="79" spans="1:11" x14ac:dyDescent="0.2">
      <c r="A79" s="257">
        <v>973058347</v>
      </c>
      <c r="B79">
        <v>6522014</v>
      </c>
      <c r="C79">
        <v>2016</v>
      </c>
      <c r="D79" t="s">
        <v>450</v>
      </c>
      <c r="E79">
        <v>846</v>
      </c>
      <c r="H79">
        <f t="shared" si="5"/>
        <v>846</v>
      </c>
      <c r="I79" s="247">
        <f t="shared" si="6"/>
        <v>1</v>
      </c>
      <c r="J79" s="247">
        <f t="shared" si="7"/>
        <v>0</v>
      </c>
      <c r="K79" s="247">
        <f t="shared" si="8"/>
        <v>0</v>
      </c>
    </row>
    <row r="80" spans="1:11" x14ac:dyDescent="0.2">
      <c r="A80" s="257">
        <v>975332438</v>
      </c>
      <c r="B80">
        <v>4182014</v>
      </c>
      <c r="C80">
        <v>2016</v>
      </c>
      <c r="D80" t="s">
        <v>451</v>
      </c>
      <c r="E80">
        <v>20140</v>
      </c>
      <c r="H80">
        <f t="shared" si="5"/>
        <v>20140</v>
      </c>
      <c r="I80" s="247">
        <f t="shared" si="6"/>
        <v>1</v>
      </c>
      <c r="J80" s="247">
        <f t="shared" si="7"/>
        <v>0</v>
      </c>
      <c r="K80" s="247">
        <f t="shared" si="8"/>
        <v>0</v>
      </c>
    </row>
    <row r="81" spans="1:11" x14ac:dyDescent="0.2">
      <c r="A81" s="257">
        <v>976626192</v>
      </c>
      <c r="B81">
        <v>2052014</v>
      </c>
      <c r="C81">
        <v>2016</v>
      </c>
      <c r="D81" t="s">
        <v>452</v>
      </c>
      <c r="E81">
        <v>33128</v>
      </c>
      <c r="H81">
        <f t="shared" si="5"/>
        <v>33128</v>
      </c>
      <c r="I81" s="247">
        <f t="shared" si="6"/>
        <v>1</v>
      </c>
      <c r="J81" s="247">
        <f t="shared" si="7"/>
        <v>0</v>
      </c>
      <c r="K81" s="247">
        <f t="shared" si="8"/>
        <v>0</v>
      </c>
    </row>
    <row r="82" spans="1:11" x14ac:dyDescent="0.2">
      <c r="A82" s="257">
        <v>976723805</v>
      </c>
      <c r="B82">
        <v>1462014</v>
      </c>
      <c r="C82">
        <v>2016</v>
      </c>
      <c r="D82" t="s">
        <v>453</v>
      </c>
      <c r="E82">
        <v>37256</v>
      </c>
      <c r="F82">
        <v>22730</v>
      </c>
      <c r="G82">
        <v>3051</v>
      </c>
      <c r="H82">
        <f t="shared" si="5"/>
        <v>63037</v>
      </c>
      <c r="I82" s="247">
        <f t="shared" si="6"/>
        <v>0.59101797357107733</v>
      </c>
      <c r="J82" s="247">
        <f t="shared" si="7"/>
        <v>0.36058188048289103</v>
      </c>
      <c r="K82" s="247">
        <f t="shared" si="8"/>
        <v>4.8400145946031696E-2</v>
      </c>
    </row>
    <row r="83" spans="1:11" x14ac:dyDescent="0.2">
      <c r="A83" s="257">
        <v>976894677</v>
      </c>
      <c r="B83">
        <v>4472014</v>
      </c>
      <c r="C83">
        <v>2016</v>
      </c>
      <c r="D83" t="s">
        <v>362</v>
      </c>
      <c r="F83">
        <v>6686</v>
      </c>
      <c r="G83">
        <v>38714</v>
      </c>
      <c r="H83">
        <f t="shared" si="5"/>
        <v>45400</v>
      </c>
      <c r="I83" s="247">
        <f t="shared" si="6"/>
        <v>0</v>
      </c>
      <c r="J83" s="247">
        <f t="shared" si="7"/>
        <v>0.14726872246696035</v>
      </c>
      <c r="K83" s="247">
        <f t="shared" si="8"/>
        <v>0.85273127753303968</v>
      </c>
    </row>
    <row r="84" spans="1:11" x14ac:dyDescent="0.2">
      <c r="A84" s="257">
        <v>976944801</v>
      </c>
      <c r="B84">
        <v>5662014</v>
      </c>
      <c r="C84">
        <v>2016</v>
      </c>
      <c r="D84" t="s">
        <v>454</v>
      </c>
      <c r="E84">
        <v>925759</v>
      </c>
      <c r="F84">
        <v>319824</v>
      </c>
      <c r="G84">
        <v>29427</v>
      </c>
      <c r="H84">
        <f t="shared" si="5"/>
        <v>1275010</v>
      </c>
      <c r="I84" s="247">
        <f t="shared" si="6"/>
        <v>0.72607979545258472</v>
      </c>
      <c r="J84" s="247">
        <f t="shared" si="7"/>
        <v>0.2508403855656034</v>
      </c>
      <c r="K84" s="247">
        <f t="shared" si="8"/>
        <v>2.3079818981811908E-2</v>
      </c>
    </row>
    <row r="85" spans="1:11" x14ac:dyDescent="0.2">
      <c r="A85" s="257">
        <v>977106184</v>
      </c>
      <c r="B85">
        <v>1162014</v>
      </c>
      <c r="C85">
        <v>2016</v>
      </c>
      <c r="D85" t="s">
        <v>455</v>
      </c>
      <c r="E85">
        <v>39069</v>
      </c>
      <c r="F85">
        <v>23</v>
      </c>
      <c r="H85">
        <f t="shared" si="5"/>
        <v>39092</v>
      </c>
      <c r="I85" s="247">
        <f t="shared" si="6"/>
        <v>0.99941164432620488</v>
      </c>
      <c r="J85" s="247">
        <f t="shared" si="7"/>
        <v>5.8835567379514992E-4</v>
      </c>
      <c r="K85" s="247">
        <f t="shared" si="8"/>
        <v>0</v>
      </c>
    </row>
    <row r="86" spans="1:11" x14ac:dyDescent="0.2">
      <c r="A86" s="257">
        <v>977285712</v>
      </c>
      <c r="B86">
        <v>912014</v>
      </c>
      <c r="C86">
        <v>2016</v>
      </c>
      <c r="D86" t="s">
        <v>456</v>
      </c>
      <c r="E86">
        <v>40051</v>
      </c>
      <c r="H86">
        <f t="shared" si="5"/>
        <v>40051</v>
      </c>
      <c r="I86" s="247">
        <f t="shared" si="6"/>
        <v>1</v>
      </c>
      <c r="J86" s="247">
        <f t="shared" si="7"/>
        <v>0</v>
      </c>
      <c r="K86" s="247">
        <f t="shared" si="8"/>
        <v>0</v>
      </c>
    </row>
    <row r="87" spans="1:11" x14ac:dyDescent="0.2">
      <c r="A87" s="257">
        <v>978631029</v>
      </c>
      <c r="B87">
        <v>2152014</v>
      </c>
      <c r="C87">
        <v>2016</v>
      </c>
      <c r="D87" t="s">
        <v>457</v>
      </c>
      <c r="E87">
        <v>509724</v>
      </c>
      <c r="F87">
        <v>174697</v>
      </c>
      <c r="H87">
        <f t="shared" si="5"/>
        <v>684421</v>
      </c>
      <c r="I87" s="247">
        <f t="shared" si="6"/>
        <v>0.74475213355522407</v>
      </c>
      <c r="J87" s="247">
        <f t="shared" si="7"/>
        <v>0.25524786644477593</v>
      </c>
      <c r="K87" s="247">
        <f t="shared" si="8"/>
        <v>0</v>
      </c>
    </row>
    <row r="88" spans="1:11" x14ac:dyDescent="0.2">
      <c r="A88" s="257">
        <v>978645178</v>
      </c>
      <c r="B88">
        <v>2312014</v>
      </c>
      <c r="C88">
        <v>2016</v>
      </c>
      <c r="D88" t="s">
        <v>458</v>
      </c>
      <c r="E88">
        <v>20198</v>
      </c>
      <c r="H88">
        <f t="shared" si="5"/>
        <v>20198</v>
      </c>
      <c r="I88" s="247">
        <f t="shared" si="6"/>
        <v>1</v>
      </c>
      <c r="J88" s="247">
        <f t="shared" si="7"/>
        <v>0</v>
      </c>
      <c r="K88" s="247">
        <f t="shared" si="8"/>
        <v>0</v>
      </c>
    </row>
    <row r="89" spans="1:11" x14ac:dyDescent="0.2">
      <c r="A89" s="257">
        <v>978664628</v>
      </c>
      <c r="B89">
        <v>1812014</v>
      </c>
      <c r="C89">
        <v>2016</v>
      </c>
      <c r="D89" t="s">
        <v>459</v>
      </c>
      <c r="E89">
        <v>11684</v>
      </c>
      <c r="H89">
        <f t="shared" si="5"/>
        <v>11684</v>
      </c>
      <c r="I89" s="247">
        <f t="shared" si="6"/>
        <v>1</v>
      </c>
      <c r="J89" s="247">
        <f t="shared" si="7"/>
        <v>0</v>
      </c>
      <c r="K89" s="247">
        <f t="shared" si="8"/>
        <v>0</v>
      </c>
    </row>
    <row r="90" spans="1:11" x14ac:dyDescent="0.2">
      <c r="A90" s="257">
        <v>979151950</v>
      </c>
      <c r="B90">
        <v>2272014</v>
      </c>
      <c r="C90">
        <v>2016</v>
      </c>
      <c r="D90" t="s">
        <v>460</v>
      </c>
      <c r="E90">
        <v>405888</v>
      </c>
      <c r="F90">
        <v>106978</v>
      </c>
      <c r="G90">
        <v>18219</v>
      </c>
      <c r="H90">
        <f t="shared" si="5"/>
        <v>531085</v>
      </c>
      <c r="I90" s="247">
        <f t="shared" si="6"/>
        <v>0.76426184132483499</v>
      </c>
      <c r="J90" s="247">
        <f t="shared" si="7"/>
        <v>0.20143291563497367</v>
      </c>
      <c r="K90" s="247">
        <f t="shared" si="8"/>
        <v>3.4305243040191308E-2</v>
      </c>
    </row>
    <row r="91" spans="1:11" x14ac:dyDescent="0.2">
      <c r="A91" s="257">
        <v>979379455</v>
      </c>
      <c r="B91">
        <v>862014</v>
      </c>
      <c r="C91">
        <v>2016</v>
      </c>
      <c r="D91" t="s">
        <v>461</v>
      </c>
      <c r="E91">
        <v>140284</v>
      </c>
      <c r="F91">
        <v>26189</v>
      </c>
      <c r="H91">
        <f t="shared" si="5"/>
        <v>166473</v>
      </c>
      <c r="I91" s="247">
        <f t="shared" si="6"/>
        <v>0.84268319787593182</v>
      </c>
      <c r="J91" s="247">
        <f t="shared" si="7"/>
        <v>0.15731680212406818</v>
      </c>
      <c r="K91" s="247">
        <f t="shared" si="8"/>
        <v>0</v>
      </c>
    </row>
    <row r="92" spans="1:11" x14ac:dyDescent="0.2">
      <c r="A92" s="257">
        <v>979399901</v>
      </c>
      <c r="B92">
        <v>932014</v>
      </c>
      <c r="C92">
        <v>2016</v>
      </c>
      <c r="D92" t="s">
        <v>462</v>
      </c>
      <c r="E92">
        <v>45290</v>
      </c>
      <c r="F92">
        <v>7434</v>
      </c>
      <c r="H92">
        <f t="shared" si="5"/>
        <v>52724</v>
      </c>
      <c r="I92" s="247">
        <f t="shared" si="6"/>
        <v>0.85900159320233671</v>
      </c>
      <c r="J92" s="247">
        <f t="shared" si="7"/>
        <v>0.14099840679766332</v>
      </c>
      <c r="K92" s="247">
        <f t="shared" si="8"/>
        <v>0</v>
      </c>
    </row>
    <row r="93" spans="1:11" x14ac:dyDescent="0.2">
      <c r="A93" s="257">
        <v>979422679</v>
      </c>
      <c r="B93">
        <v>6112014</v>
      </c>
      <c r="C93">
        <v>2016</v>
      </c>
      <c r="D93" t="s">
        <v>463</v>
      </c>
      <c r="E93">
        <v>796604</v>
      </c>
      <c r="F93">
        <v>333965</v>
      </c>
      <c r="H93">
        <f t="shared" si="5"/>
        <v>1130569</v>
      </c>
      <c r="I93" s="247">
        <f t="shared" si="6"/>
        <v>0.70460449561238636</v>
      </c>
      <c r="J93" s="247">
        <f t="shared" si="7"/>
        <v>0.29539550438761369</v>
      </c>
      <c r="K93" s="247">
        <f t="shared" si="8"/>
        <v>0</v>
      </c>
    </row>
    <row r="94" spans="1:11" x14ac:dyDescent="0.2">
      <c r="A94" s="257">
        <v>979497482</v>
      </c>
      <c r="B94">
        <v>2642014</v>
      </c>
      <c r="C94">
        <v>2016</v>
      </c>
      <c r="D94" t="s">
        <v>464</v>
      </c>
      <c r="E94">
        <v>50017</v>
      </c>
      <c r="H94">
        <f t="shared" si="5"/>
        <v>50017</v>
      </c>
      <c r="I94" s="247">
        <f t="shared" si="6"/>
        <v>1</v>
      </c>
      <c r="J94" s="247">
        <f t="shared" si="7"/>
        <v>0</v>
      </c>
      <c r="K94" s="247">
        <f t="shared" si="8"/>
        <v>0</v>
      </c>
    </row>
    <row r="95" spans="1:11" x14ac:dyDescent="0.2">
      <c r="A95" s="257">
        <v>979546386</v>
      </c>
      <c r="B95">
        <v>1532014</v>
      </c>
      <c r="C95">
        <v>2016</v>
      </c>
      <c r="D95" t="s">
        <v>465</v>
      </c>
      <c r="E95">
        <v>36428</v>
      </c>
      <c r="H95">
        <f t="shared" si="5"/>
        <v>36428</v>
      </c>
      <c r="I95" s="247">
        <f t="shared" si="6"/>
        <v>1</v>
      </c>
      <c r="J95" s="247">
        <f t="shared" si="7"/>
        <v>0</v>
      </c>
      <c r="K95" s="247">
        <f t="shared" si="8"/>
        <v>0</v>
      </c>
    </row>
    <row r="96" spans="1:11" x14ac:dyDescent="0.2">
      <c r="A96" s="257">
        <v>979599684</v>
      </c>
      <c r="B96">
        <v>962014</v>
      </c>
      <c r="C96">
        <v>2016</v>
      </c>
      <c r="D96" t="s">
        <v>466</v>
      </c>
      <c r="E96">
        <v>42498</v>
      </c>
      <c r="H96">
        <f t="shared" si="5"/>
        <v>42498</v>
      </c>
      <c r="I96" s="247">
        <f t="shared" si="6"/>
        <v>1</v>
      </c>
      <c r="J96" s="247">
        <f t="shared" si="7"/>
        <v>0</v>
      </c>
      <c r="K96" s="247">
        <f t="shared" si="8"/>
        <v>0</v>
      </c>
    </row>
    <row r="97" spans="1:11" x14ac:dyDescent="0.2">
      <c r="A97" s="257">
        <v>979918224</v>
      </c>
      <c r="B97">
        <v>2132014</v>
      </c>
      <c r="C97">
        <v>2016</v>
      </c>
      <c r="D97" t="s">
        <v>467</v>
      </c>
      <c r="E97">
        <v>24917</v>
      </c>
      <c r="H97">
        <f t="shared" si="5"/>
        <v>24917</v>
      </c>
      <c r="I97" s="247">
        <f t="shared" si="6"/>
        <v>1</v>
      </c>
      <c r="J97" s="247">
        <f t="shared" si="7"/>
        <v>0</v>
      </c>
      <c r="K97" s="247">
        <f t="shared" si="8"/>
        <v>0</v>
      </c>
    </row>
    <row r="98" spans="1:11" x14ac:dyDescent="0.2">
      <c r="A98" s="257">
        <v>979951140</v>
      </c>
      <c r="B98">
        <v>2042014</v>
      </c>
      <c r="C98">
        <v>2016</v>
      </c>
      <c r="D98" t="s">
        <v>355</v>
      </c>
      <c r="E98">
        <v>23592</v>
      </c>
      <c r="F98">
        <v>118</v>
      </c>
      <c r="H98">
        <f t="shared" si="5"/>
        <v>23710</v>
      </c>
      <c r="I98" s="247">
        <f t="shared" si="6"/>
        <v>0.99502319696330666</v>
      </c>
      <c r="J98" s="247">
        <f t="shared" si="7"/>
        <v>4.9768030366933785E-3</v>
      </c>
      <c r="K98" s="247">
        <f t="shared" si="8"/>
        <v>0</v>
      </c>
    </row>
    <row r="99" spans="1:11" x14ac:dyDescent="0.2">
      <c r="A99" s="257">
        <v>980038408</v>
      </c>
      <c r="B99">
        <v>5112014</v>
      </c>
      <c r="C99">
        <v>2016</v>
      </c>
      <c r="D99" t="s">
        <v>468</v>
      </c>
      <c r="E99">
        <v>571569</v>
      </c>
      <c r="F99">
        <v>251887</v>
      </c>
      <c r="H99">
        <f t="shared" si="5"/>
        <v>823456</v>
      </c>
      <c r="I99" s="247">
        <f t="shared" si="6"/>
        <v>0.69410994637236234</v>
      </c>
      <c r="J99" s="247">
        <f t="shared" si="7"/>
        <v>0.30589005362763766</v>
      </c>
      <c r="K99" s="247">
        <f t="shared" si="8"/>
        <v>0</v>
      </c>
    </row>
    <row r="100" spans="1:11" x14ac:dyDescent="0.2">
      <c r="A100" s="257">
        <v>980234088</v>
      </c>
      <c r="B100">
        <v>322014</v>
      </c>
      <c r="C100">
        <v>2016</v>
      </c>
      <c r="D100" t="s">
        <v>469</v>
      </c>
      <c r="E100">
        <v>335506</v>
      </c>
      <c r="F100">
        <v>289</v>
      </c>
      <c r="H100">
        <f t="shared" si="5"/>
        <v>335795</v>
      </c>
      <c r="I100" s="247">
        <f t="shared" si="6"/>
        <v>0.99913935585699609</v>
      </c>
      <c r="J100" s="247">
        <f t="shared" si="7"/>
        <v>8.6064414300391604E-4</v>
      </c>
      <c r="K100" s="247">
        <f t="shared" si="8"/>
        <v>0</v>
      </c>
    </row>
    <row r="101" spans="1:11" x14ac:dyDescent="0.2">
      <c r="A101" s="257">
        <v>980283976</v>
      </c>
      <c r="B101">
        <v>5912014</v>
      </c>
      <c r="C101">
        <v>2016</v>
      </c>
      <c r="D101" t="s">
        <v>470</v>
      </c>
      <c r="E101">
        <v>81682</v>
      </c>
      <c r="F101">
        <v>883</v>
      </c>
      <c r="H101">
        <f t="shared" si="5"/>
        <v>82565</v>
      </c>
      <c r="I101" s="247">
        <f t="shared" si="6"/>
        <v>0.98930539574880394</v>
      </c>
      <c r="J101" s="247">
        <f t="shared" si="7"/>
        <v>1.0694604251196027E-2</v>
      </c>
      <c r="K101" s="247">
        <f t="shared" si="8"/>
        <v>0</v>
      </c>
    </row>
    <row r="102" spans="1:11" x14ac:dyDescent="0.2">
      <c r="A102" s="257">
        <v>980335216</v>
      </c>
      <c r="B102">
        <v>5122014</v>
      </c>
      <c r="C102">
        <v>2016</v>
      </c>
      <c r="D102" t="s">
        <v>331</v>
      </c>
      <c r="E102">
        <v>2612</v>
      </c>
      <c r="F102">
        <v>1118</v>
      </c>
      <c r="H102">
        <f t="shared" si="5"/>
        <v>3730</v>
      </c>
      <c r="I102" s="247">
        <f t="shared" si="6"/>
        <v>0.70026809651474531</v>
      </c>
      <c r="J102" s="247">
        <f t="shared" si="7"/>
        <v>0.29973190348525469</v>
      </c>
      <c r="K102" s="247">
        <f t="shared" si="8"/>
        <v>0</v>
      </c>
    </row>
    <row r="103" spans="1:11" x14ac:dyDescent="0.2">
      <c r="A103" s="257">
        <v>980489698</v>
      </c>
      <c r="B103">
        <v>6752014</v>
      </c>
      <c r="C103">
        <v>2016</v>
      </c>
      <c r="D103" t="s">
        <v>471</v>
      </c>
      <c r="E103">
        <v>2255082</v>
      </c>
      <c r="F103">
        <v>872754</v>
      </c>
      <c r="G103">
        <v>5433</v>
      </c>
      <c r="H103">
        <f t="shared" si="5"/>
        <v>3133269</v>
      </c>
      <c r="I103" s="247">
        <f t="shared" si="6"/>
        <v>0.71972179854331053</v>
      </c>
      <c r="J103" s="247">
        <f t="shared" si="7"/>
        <v>0.27854422968471587</v>
      </c>
      <c r="K103" s="247">
        <f t="shared" si="8"/>
        <v>1.7339717719736161E-3</v>
      </c>
    </row>
    <row r="104" spans="1:11" x14ac:dyDescent="0.2">
      <c r="A104" s="257">
        <v>980498646</v>
      </c>
      <c r="B104">
        <v>1842014</v>
      </c>
      <c r="C104">
        <v>2016</v>
      </c>
      <c r="D104" t="s">
        <v>354</v>
      </c>
      <c r="E104">
        <v>24297</v>
      </c>
      <c r="F104">
        <v>2257</v>
      </c>
      <c r="G104">
        <v>0</v>
      </c>
      <c r="H104">
        <f t="shared" si="5"/>
        <v>26554</v>
      </c>
      <c r="I104" s="247">
        <f t="shared" si="6"/>
        <v>0.91500338931987646</v>
      </c>
      <c r="J104" s="247">
        <f t="shared" si="7"/>
        <v>8.4996610680123527E-2</v>
      </c>
      <c r="K104" s="247">
        <f t="shared" si="8"/>
        <v>0</v>
      </c>
    </row>
    <row r="105" spans="1:11" x14ac:dyDescent="0.2">
      <c r="A105" s="257">
        <v>980824586</v>
      </c>
      <c r="B105">
        <v>6132014</v>
      </c>
      <c r="C105">
        <v>2016</v>
      </c>
      <c r="D105" t="s">
        <v>472</v>
      </c>
      <c r="E105">
        <v>76532</v>
      </c>
      <c r="H105">
        <f t="shared" si="5"/>
        <v>76532</v>
      </c>
      <c r="I105" s="247">
        <f t="shared" si="6"/>
        <v>1</v>
      </c>
      <c r="J105" s="247">
        <f t="shared" si="7"/>
        <v>0</v>
      </c>
      <c r="K105" s="247">
        <f t="shared" si="8"/>
        <v>0</v>
      </c>
    </row>
    <row r="106" spans="1:11" x14ac:dyDescent="0.2">
      <c r="A106" s="257">
        <v>981375521</v>
      </c>
      <c r="B106">
        <v>5932014</v>
      </c>
      <c r="C106">
        <v>2016</v>
      </c>
      <c r="D106" t="s">
        <v>473</v>
      </c>
      <c r="E106">
        <v>19563</v>
      </c>
      <c r="H106">
        <f t="shared" si="5"/>
        <v>19563</v>
      </c>
      <c r="I106" s="247">
        <f t="shared" si="6"/>
        <v>1</v>
      </c>
      <c r="J106" s="247">
        <f t="shared" si="7"/>
        <v>0</v>
      </c>
      <c r="K106" s="247">
        <f t="shared" si="8"/>
        <v>0</v>
      </c>
    </row>
    <row r="107" spans="1:11" x14ac:dyDescent="0.2">
      <c r="A107" s="257">
        <v>981915550</v>
      </c>
      <c r="B107">
        <v>6152014</v>
      </c>
      <c r="C107">
        <v>2016</v>
      </c>
      <c r="D107" t="s">
        <v>474</v>
      </c>
      <c r="E107">
        <v>349499</v>
      </c>
      <c r="F107">
        <v>199461</v>
      </c>
      <c r="H107">
        <f t="shared" si="5"/>
        <v>548960</v>
      </c>
      <c r="I107" s="247">
        <f t="shared" si="6"/>
        <v>0.63665658700087435</v>
      </c>
      <c r="J107" s="247">
        <f t="shared" si="7"/>
        <v>0.36334341299912559</v>
      </c>
      <c r="K107" s="247">
        <f t="shared" si="8"/>
        <v>0</v>
      </c>
    </row>
    <row r="108" spans="1:11" x14ac:dyDescent="0.2">
      <c r="A108" s="257">
        <v>981963849</v>
      </c>
      <c r="B108">
        <v>5742014</v>
      </c>
      <c r="C108">
        <v>2016</v>
      </c>
      <c r="D108" t="s">
        <v>475</v>
      </c>
      <c r="E108">
        <v>869313</v>
      </c>
      <c r="F108">
        <v>303170</v>
      </c>
      <c r="G108">
        <v>2176</v>
      </c>
      <c r="H108">
        <f t="shared" si="5"/>
        <v>1174659</v>
      </c>
      <c r="I108" s="247">
        <f t="shared" si="6"/>
        <v>0.74005562465362285</v>
      </c>
      <c r="J108" s="247">
        <f t="shared" si="7"/>
        <v>0.25809192284739657</v>
      </c>
      <c r="K108" s="247">
        <f t="shared" si="8"/>
        <v>1.8524524989805551E-3</v>
      </c>
    </row>
    <row r="109" spans="1:11" x14ac:dyDescent="0.2">
      <c r="A109" s="257">
        <v>982173329</v>
      </c>
      <c r="B109">
        <v>2232014</v>
      </c>
      <c r="C109">
        <v>2016</v>
      </c>
      <c r="D109" t="s">
        <v>476</v>
      </c>
      <c r="E109">
        <v>52633</v>
      </c>
      <c r="H109">
        <f t="shared" si="5"/>
        <v>52633</v>
      </c>
      <c r="I109" s="247">
        <f t="shared" si="6"/>
        <v>1</v>
      </c>
      <c r="J109" s="247">
        <f t="shared" si="7"/>
        <v>0</v>
      </c>
      <c r="K109" s="247">
        <f t="shared" si="8"/>
        <v>0</v>
      </c>
    </row>
    <row r="110" spans="1:11" x14ac:dyDescent="0.2">
      <c r="A110" s="257">
        <v>982677386</v>
      </c>
      <c r="B110">
        <v>5782014</v>
      </c>
      <c r="C110">
        <v>2016</v>
      </c>
      <c r="D110" t="s">
        <v>477</v>
      </c>
      <c r="E110">
        <v>24488</v>
      </c>
      <c r="H110">
        <f t="shared" si="5"/>
        <v>24488</v>
      </c>
      <c r="I110" s="247">
        <f t="shared" si="6"/>
        <v>1</v>
      </c>
      <c r="J110" s="247">
        <f t="shared" si="7"/>
        <v>0</v>
      </c>
      <c r="K110" s="247">
        <f t="shared" si="8"/>
        <v>0</v>
      </c>
    </row>
    <row r="111" spans="1:11" x14ac:dyDescent="0.2">
      <c r="A111" s="257">
        <v>982897327</v>
      </c>
      <c r="B111">
        <v>652014</v>
      </c>
      <c r="C111">
        <v>2016</v>
      </c>
      <c r="D111" t="s">
        <v>478</v>
      </c>
      <c r="E111">
        <v>54122</v>
      </c>
      <c r="F111">
        <v>20216</v>
      </c>
      <c r="H111">
        <f t="shared" si="5"/>
        <v>74338</v>
      </c>
      <c r="I111" s="247">
        <f t="shared" si="6"/>
        <v>0.72805294734859693</v>
      </c>
      <c r="J111" s="247">
        <f t="shared" si="7"/>
        <v>0.27194705265140307</v>
      </c>
      <c r="K111" s="247">
        <f t="shared" si="8"/>
        <v>0</v>
      </c>
    </row>
    <row r="112" spans="1:11" x14ac:dyDescent="0.2">
      <c r="A112" s="257">
        <v>982974011</v>
      </c>
      <c r="B112">
        <v>6242014</v>
      </c>
      <c r="C112">
        <v>2016</v>
      </c>
      <c r="D112" t="s">
        <v>479</v>
      </c>
      <c r="E112">
        <v>847079</v>
      </c>
      <c r="F112">
        <v>301120</v>
      </c>
      <c r="G112">
        <v>1029</v>
      </c>
      <c r="H112">
        <f t="shared" si="5"/>
        <v>1149228</v>
      </c>
      <c r="I112" s="247">
        <f t="shared" si="6"/>
        <v>0.73708524331116188</v>
      </c>
      <c r="J112" s="247">
        <f t="shared" si="7"/>
        <v>0.26201937300518263</v>
      </c>
      <c r="K112" s="247">
        <f t="shared" si="8"/>
        <v>8.9538368365546267E-4</v>
      </c>
    </row>
    <row r="113" spans="1:11" x14ac:dyDescent="0.2">
      <c r="A113" s="257">
        <v>983099807</v>
      </c>
      <c r="B113">
        <v>6372014</v>
      </c>
      <c r="C113">
        <v>2016</v>
      </c>
      <c r="D113" t="s">
        <v>480</v>
      </c>
      <c r="E113">
        <v>57695</v>
      </c>
      <c r="F113">
        <v>23565</v>
      </c>
      <c r="H113">
        <f t="shared" si="5"/>
        <v>81260</v>
      </c>
      <c r="I113" s="247">
        <f t="shared" si="6"/>
        <v>0.71000492247108049</v>
      </c>
      <c r="J113" s="247">
        <f t="shared" si="7"/>
        <v>0.28999507752891951</v>
      </c>
      <c r="K113" s="247">
        <f t="shared" si="8"/>
        <v>0</v>
      </c>
    </row>
    <row r="114" spans="1:11" x14ac:dyDescent="0.2">
      <c r="A114" s="257">
        <v>983452841</v>
      </c>
      <c r="B114">
        <v>9002014</v>
      </c>
      <c r="C114">
        <v>2016</v>
      </c>
      <c r="D114" t="s">
        <v>279</v>
      </c>
      <c r="G114">
        <v>2496</v>
      </c>
      <c r="H114">
        <f t="shared" si="5"/>
        <v>2496</v>
      </c>
      <c r="I114" s="247">
        <f t="shared" si="6"/>
        <v>0</v>
      </c>
      <c r="J114" s="247">
        <f t="shared" si="7"/>
        <v>0</v>
      </c>
      <c r="K114" s="247">
        <f t="shared" si="8"/>
        <v>1</v>
      </c>
    </row>
    <row r="115" spans="1:11" x14ac:dyDescent="0.2">
      <c r="A115" s="257">
        <v>983502601</v>
      </c>
      <c r="B115">
        <v>2382014</v>
      </c>
      <c r="C115">
        <v>2016</v>
      </c>
      <c r="D115" t="s">
        <v>356</v>
      </c>
      <c r="E115">
        <v>53520</v>
      </c>
      <c r="F115">
        <v>1417</v>
      </c>
      <c r="H115">
        <f t="shared" si="5"/>
        <v>54937</v>
      </c>
      <c r="I115" s="247">
        <f t="shared" si="6"/>
        <v>0.97420681871962433</v>
      </c>
      <c r="J115" s="247">
        <f t="shared" si="7"/>
        <v>2.5793181280375704E-2</v>
      </c>
      <c r="K115" s="247">
        <f t="shared" si="8"/>
        <v>0</v>
      </c>
    </row>
    <row r="116" spans="1:11" x14ac:dyDescent="0.2">
      <c r="A116" s="257">
        <v>984015666</v>
      </c>
      <c r="B116">
        <v>6862014</v>
      </c>
      <c r="C116">
        <v>2016</v>
      </c>
      <c r="D116" t="s">
        <v>332</v>
      </c>
      <c r="E116">
        <v>15879</v>
      </c>
      <c r="F116">
        <v>1740</v>
      </c>
      <c r="H116">
        <f t="shared" si="5"/>
        <v>17619</v>
      </c>
      <c r="I116" s="247">
        <f t="shared" si="6"/>
        <v>0.9012429763323685</v>
      </c>
      <c r="J116" s="247">
        <f t="shared" si="7"/>
        <v>9.8757023667631533E-2</v>
      </c>
      <c r="K116" s="247">
        <f t="shared" si="8"/>
        <v>0</v>
      </c>
    </row>
    <row r="117" spans="1:11" x14ac:dyDescent="0.2">
      <c r="A117" s="257">
        <v>984653360</v>
      </c>
      <c r="B117">
        <v>3732014</v>
      </c>
      <c r="C117">
        <v>2016</v>
      </c>
      <c r="D117" t="s">
        <v>481</v>
      </c>
      <c r="E117">
        <v>17182</v>
      </c>
      <c r="H117">
        <f t="shared" si="5"/>
        <v>17182</v>
      </c>
      <c r="I117" s="247">
        <f t="shared" si="6"/>
        <v>1</v>
      </c>
      <c r="J117" s="247">
        <f t="shared" si="7"/>
        <v>0</v>
      </c>
      <c r="K117" s="247">
        <f t="shared" si="8"/>
        <v>0</v>
      </c>
    </row>
    <row r="118" spans="1:11" x14ac:dyDescent="0.2">
      <c r="A118" s="257">
        <v>984665776</v>
      </c>
      <c r="B118">
        <v>6252014</v>
      </c>
      <c r="C118">
        <v>2016</v>
      </c>
      <c r="D118" t="s">
        <v>482</v>
      </c>
      <c r="E118">
        <v>82247</v>
      </c>
      <c r="H118">
        <f t="shared" si="5"/>
        <v>82247</v>
      </c>
      <c r="I118" s="247">
        <f t="shared" si="6"/>
        <v>1</v>
      </c>
      <c r="J118" s="247">
        <f t="shared" si="7"/>
        <v>0</v>
      </c>
      <c r="K118" s="247">
        <f t="shared" si="8"/>
        <v>0</v>
      </c>
    </row>
    <row r="119" spans="1:11" x14ac:dyDescent="0.2">
      <c r="A119" s="257">
        <v>984882114</v>
      </c>
      <c r="B119">
        <v>2692014</v>
      </c>
      <c r="C119">
        <v>2016</v>
      </c>
      <c r="D119" t="s">
        <v>483</v>
      </c>
      <c r="E119">
        <v>211232</v>
      </c>
      <c r="F119">
        <v>66073</v>
      </c>
      <c r="G119">
        <v>35858</v>
      </c>
      <c r="H119">
        <f t="shared" si="5"/>
        <v>313163</v>
      </c>
      <c r="I119" s="247">
        <f t="shared" si="6"/>
        <v>0.67451135670561335</v>
      </c>
      <c r="J119" s="247">
        <f t="shared" si="7"/>
        <v>0.21098597216146225</v>
      </c>
      <c r="K119" s="247">
        <f t="shared" si="8"/>
        <v>0.11450267113292439</v>
      </c>
    </row>
    <row r="120" spans="1:11" x14ac:dyDescent="0.2">
      <c r="A120" s="257">
        <v>985294836</v>
      </c>
      <c r="B120">
        <v>6692014</v>
      </c>
      <c r="C120">
        <v>2016</v>
      </c>
      <c r="D120" t="s">
        <v>484</v>
      </c>
      <c r="E120">
        <v>71794</v>
      </c>
      <c r="F120">
        <v>4676</v>
      </c>
      <c r="H120">
        <f t="shared" si="5"/>
        <v>76470</v>
      </c>
      <c r="I120" s="247">
        <f t="shared" si="6"/>
        <v>0.93885183732182553</v>
      </c>
      <c r="J120" s="247">
        <f t="shared" si="7"/>
        <v>6.1148162678174446E-2</v>
      </c>
      <c r="K120" s="247">
        <f t="shared" si="8"/>
        <v>0</v>
      </c>
    </row>
    <row r="121" spans="1:11" x14ac:dyDescent="0.2">
      <c r="A121" s="257">
        <v>985411131</v>
      </c>
      <c r="B121">
        <v>4332014</v>
      </c>
      <c r="C121">
        <v>2016</v>
      </c>
      <c r="D121" t="s">
        <v>485</v>
      </c>
      <c r="E121">
        <v>126859</v>
      </c>
      <c r="F121">
        <v>27846</v>
      </c>
      <c r="G121">
        <v>500</v>
      </c>
      <c r="H121">
        <f t="shared" si="5"/>
        <v>155205</v>
      </c>
      <c r="I121" s="247">
        <f t="shared" si="6"/>
        <v>0.81736413131020269</v>
      </c>
      <c r="J121" s="247">
        <f t="shared" si="7"/>
        <v>0.17941432299217164</v>
      </c>
      <c r="K121" s="247">
        <f t="shared" si="8"/>
        <v>3.2215456976257208E-3</v>
      </c>
    </row>
    <row r="122" spans="1:11" x14ac:dyDescent="0.2">
      <c r="A122" s="257">
        <v>985834059</v>
      </c>
      <c r="B122">
        <v>1832014</v>
      </c>
      <c r="C122">
        <v>2016</v>
      </c>
      <c r="D122" t="s">
        <v>486</v>
      </c>
      <c r="E122">
        <v>15791</v>
      </c>
      <c r="H122">
        <f t="shared" si="5"/>
        <v>15791</v>
      </c>
      <c r="I122" s="247">
        <f t="shared" si="6"/>
        <v>1</v>
      </c>
      <c r="J122" s="247">
        <f t="shared" si="7"/>
        <v>0</v>
      </c>
      <c r="K122" s="247">
        <f t="shared" si="8"/>
        <v>0</v>
      </c>
    </row>
    <row r="123" spans="1:11" x14ac:dyDescent="0.2">
      <c r="A123" s="257">
        <v>986347801</v>
      </c>
      <c r="B123">
        <v>3542014</v>
      </c>
      <c r="C123">
        <v>2016</v>
      </c>
      <c r="D123" t="s">
        <v>487</v>
      </c>
      <c r="E123">
        <v>153998</v>
      </c>
      <c r="F123">
        <v>61201</v>
      </c>
      <c r="H123">
        <f t="shared" si="5"/>
        <v>215199</v>
      </c>
      <c r="I123" s="247">
        <f t="shared" si="6"/>
        <v>0.71560741453259546</v>
      </c>
      <c r="J123" s="247">
        <f t="shared" si="7"/>
        <v>0.28439258546740459</v>
      </c>
      <c r="K123" s="247">
        <f t="shared" si="8"/>
        <v>0</v>
      </c>
    </row>
    <row r="124" spans="1:11" x14ac:dyDescent="0.2">
      <c r="A124" s="257">
        <v>987059729</v>
      </c>
      <c r="B124">
        <v>6852014</v>
      </c>
      <c r="C124">
        <v>2016</v>
      </c>
      <c r="D124" t="s">
        <v>488</v>
      </c>
      <c r="F124">
        <v>1363</v>
      </c>
      <c r="G124">
        <v>419</v>
      </c>
      <c r="H124">
        <f t="shared" si="5"/>
        <v>1782</v>
      </c>
      <c r="I124" s="247">
        <f t="shared" si="6"/>
        <v>0</v>
      </c>
      <c r="J124" s="247">
        <f t="shared" si="7"/>
        <v>0.76487093153759822</v>
      </c>
      <c r="K124" s="247">
        <f t="shared" si="8"/>
        <v>0.23512906846240181</v>
      </c>
    </row>
    <row r="125" spans="1:11" x14ac:dyDescent="0.2">
      <c r="A125" s="257">
        <v>987626844</v>
      </c>
      <c r="B125">
        <v>6932014</v>
      </c>
      <c r="C125">
        <v>2016</v>
      </c>
      <c r="D125" t="s">
        <v>489</v>
      </c>
      <c r="E125">
        <v>128518</v>
      </c>
      <c r="H125">
        <f t="shared" si="5"/>
        <v>128518</v>
      </c>
      <c r="I125" s="247">
        <f t="shared" si="6"/>
        <v>1</v>
      </c>
      <c r="J125" s="247">
        <f t="shared" si="7"/>
        <v>0</v>
      </c>
      <c r="K125" s="247">
        <f t="shared" si="8"/>
        <v>0</v>
      </c>
    </row>
    <row r="126" spans="1:11" x14ac:dyDescent="0.2">
      <c r="A126" s="257">
        <v>988807648</v>
      </c>
      <c r="B126">
        <v>6992014</v>
      </c>
      <c r="C126">
        <v>2016</v>
      </c>
      <c r="D126" t="s">
        <v>490</v>
      </c>
      <c r="E126">
        <v>498950</v>
      </c>
      <c r="F126">
        <v>138362</v>
      </c>
      <c r="H126">
        <f t="shared" si="5"/>
        <v>637312</v>
      </c>
      <c r="I126" s="247">
        <f t="shared" si="6"/>
        <v>0.78289754468768824</v>
      </c>
      <c r="J126" s="247">
        <f t="shared" si="7"/>
        <v>0.2171024553123117</v>
      </c>
      <c r="K126" s="247">
        <f t="shared" si="8"/>
        <v>0</v>
      </c>
    </row>
    <row r="127" spans="1:11" x14ac:dyDescent="0.2">
      <c r="A127" s="257">
        <v>990892679</v>
      </c>
      <c r="B127">
        <v>7262014</v>
      </c>
      <c r="C127">
        <v>2016</v>
      </c>
      <c r="D127" t="s">
        <v>491</v>
      </c>
      <c r="E127">
        <v>226978</v>
      </c>
      <c r="F127">
        <v>80782</v>
      </c>
      <c r="H127">
        <f t="shared" si="5"/>
        <v>307760</v>
      </c>
      <c r="I127" s="247">
        <f t="shared" si="6"/>
        <v>0.73751624642578628</v>
      </c>
      <c r="J127" s="247">
        <f t="shared" si="7"/>
        <v>0.26248375357421366</v>
      </c>
      <c r="K127" s="247">
        <f t="shared" si="8"/>
        <v>0</v>
      </c>
    </row>
    <row r="128" spans="1:11" x14ac:dyDescent="0.2">
      <c r="A128" s="257">
        <v>991077537</v>
      </c>
      <c r="B128">
        <v>1942014</v>
      </c>
      <c r="C128">
        <v>2016</v>
      </c>
      <c r="D128" t="s">
        <v>492</v>
      </c>
      <c r="E128">
        <v>17919</v>
      </c>
      <c r="H128">
        <f t="shared" si="5"/>
        <v>17919</v>
      </c>
      <c r="I128" s="247">
        <f t="shared" si="6"/>
        <v>1</v>
      </c>
      <c r="J128" s="247">
        <f t="shared" si="7"/>
        <v>0</v>
      </c>
      <c r="K128" s="247">
        <f t="shared" si="8"/>
        <v>0</v>
      </c>
    </row>
    <row r="129" spans="1:11" x14ac:dyDescent="0.2">
      <c r="A129" s="257">
        <v>995114666</v>
      </c>
      <c r="B129">
        <v>1322014</v>
      </c>
      <c r="C129">
        <v>2016</v>
      </c>
      <c r="D129" t="s">
        <v>493</v>
      </c>
      <c r="E129">
        <v>55385</v>
      </c>
      <c r="F129">
        <v>29398</v>
      </c>
      <c r="H129">
        <f t="shared" si="5"/>
        <v>84783</v>
      </c>
      <c r="I129" s="247">
        <f t="shared" si="6"/>
        <v>0.65325595933146974</v>
      </c>
      <c r="J129" s="247">
        <f t="shared" si="7"/>
        <v>0.34674404066853026</v>
      </c>
      <c r="K129" s="247">
        <f t="shared" si="8"/>
        <v>0</v>
      </c>
    </row>
    <row r="130" spans="1:11" x14ac:dyDescent="0.2">
      <c r="A130" s="257">
        <v>995350580</v>
      </c>
      <c r="B130">
        <v>1192014</v>
      </c>
      <c r="C130">
        <v>2016</v>
      </c>
      <c r="D130" t="s">
        <v>494</v>
      </c>
      <c r="E130">
        <v>35101</v>
      </c>
      <c r="H130">
        <f t="shared" si="5"/>
        <v>35101</v>
      </c>
      <c r="I130" s="247">
        <f t="shared" si="6"/>
        <v>1</v>
      </c>
      <c r="J130" s="247">
        <f t="shared" si="7"/>
        <v>0</v>
      </c>
      <c r="K130" s="247">
        <f t="shared" si="8"/>
        <v>0</v>
      </c>
    </row>
    <row r="131" spans="1:11" x14ac:dyDescent="0.2">
      <c r="A131" s="257">
        <v>996325458</v>
      </c>
      <c r="B131">
        <v>8722014</v>
      </c>
      <c r="C131">
        <v>2016</v>
      </c>
      <c r="D131" t="s">
        <v>495</v>
      </c>
      <c r="G131">
        <v>36710</v>
      </c>
      <c r="H131">
        <f t="shared" ref="H131:H133" si="9">E131+F131+G131</f>
        <v>36710</v>
      </c>
      <c r="I131" s="247">
        <f t="shared" ref="I131:I133" si="10">E131/$H131</f>
        <v>0</v>
      </c>
      <c r="J131" s="247">
        <f t="shared" ref="J131:J133" si="11">F131/$H131</f>
        <v>0</v>
      </c>
      <c r="K131" s="247">
        <f t="shared" ref="K131:K133" si="12">G131/$H131</f>
        <v>1</v>
      </c>
    </row>
    <row r="132" spans="1:11" x14ac:dyDescent="0.2">
      <c r="A132" s="257">
        <v>997712099</v>
      </c>
      <c r="B132">
        <v>2142014</v>
      </c>
      <c r="C132">
        <v>2016</v>
      </c>
      <c r="D132" t="s">
        <v>496</v>
      </c>
      <c r="E132">
        <v>26375</v>
      </c>
      <c r="H132">
        <f t="shared" si="9"/>
        <v>26375</v>
      </c>
      <c r="I132" s="247">
        <f t="shared" si="10"/>
        <v>1</v>
      </c>
      <c r="J132" s="247">
        <f t="shared" si="11"/>
        <v>0</v>
      </c>
      <c r="K132" s="247">
        <f t="shared" si="12"/>
        <v>0</v>
      </c>
    </row>
    <row r="133" spans="1:11" x14ac:dyDescent="0.2">
      <c r="A133" s="257">
        <v>998509289</v>
      </c>
      <c r="B133">
        <v>8522014</v>
      </c>
      <c r="C133">
        <v>2016</v>
      </c>
      <c r="D133" t="s">
        <v>497</v>
      </c>
      <c r="E133">
        <v>34945</v>
      </c>
      <c r="F133">
        <v>16543</v>
      </c>
      <c r="H133">
        <f t="shared" si="9"/>
        <v>51488</v>
      </c>
      <c r="I133" s="247">
        <f t="shared" si="10"/>
        <v>0.67870183343691737</v>
      </c>
      <c r="J133" s="247">
        <f t="shared" si="11"/>
        <v>0.32129816656308269</v>
      </c>
      <c r="K133" s="247">
        <f t="shared" si="12"/>
        <v>0</v>
      </c>
    </row>
    <row r="134" spans="1:11" x14ac:dyDescent="0.2">
      <c r="H134" s="107"/>
      <c r="K134" s="247"/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>
      <selection activeCell="A8" sqref="A8"/>
    </sheetView>
  </sheetViews>
  <sheetFormatPr baseColWidth="10" defaultRowHeight="12.75" x14ac:dyDescent="0.2"/>
  <sheetData>
    <row r="2" spans="1:6" x14ac:dyDescent="0.2">
      <c r="A2" s="274" t="s">
        <v>510</v>
      </c>
    </row>
    <row r="3" spans="1:6" x14ac:dyDescent="0.2">
      <c r="A3" s="270" t="s">
        <v>511</v>
      </c>
      <c r="B3" s="270" t="s">
        <v>504</v>
      </c>
      <c r="C3" s="270" t="s">
        <v>505</v>
      </c>
      <c r="D3" s="270" t="s">
        <v>506</v>
      </c>
      <c r="E3" s="270" t="s">
        <v>507</v>
      </c>
      <c r="F3" s="271" t="s">
        <v>508</v>
      </c>
    </row>
    <row r="4" spans="1:6" x14ac:dyDescent="0.2">
      <c r="A4">
        <v>16</v>
      </c>
      <c r="B4" t="s">
        <v>509</v>
      </c>
      <c r="C4" s="272">
        <v>-6.4947346855209797E-3</v>
      </c>
      <c r="D4" s="273">
        <v>-1862.5854400000001</v>
      </c>
      <c r="E4" s="273">
        <v>286783.91499999998</v>
      </c>
      <c r="F4" s="273">
        <v>1862.5854400000001</v>
      </c>
    </row>
    <row r="5" spans="1:6" x14ac:dyDescent="0.2">
      <c r="A5">
        <v>147</v>
      </c>
      <c r="B5" t="s">
        <v>175</v>
      </c>
      <c r="C5" s="272">
        <v>-1.9575738826476299E-2</v>
      </c>
      <c r="D5" s="273">
        <v>-1912.56368</v>
      </c>
      <c r="E5" s="273">
        <v>97700.714999999997</v>
      </c>
      <c r="F5" s="273">
        <v>1912.56368</v>
      </c>
    </row>
    <row r="7" spans="1:6" x14ac:dyDescent="0.2">
      <c r="A7" s="274" t="s">
        <v>512</v>
      </c>
    </row>
    <row r="8" spans="1:6" x14ac:dyDescent="0.2">
      <c r="A8" s="270" t="s">
        <v>513</v>
      </c>
      <c r="B8" s="270" t="s">
        <v>504</v>
      </c>
      <c r="C8" s="270" t="s">
        <v>505</v>
      </c>
      <c r="D8" s="270" t="s">
        <v>506</v>
      </c>
      <c r="E8" s="270" t="s">
        <v>507</v>
      </c>
      <c r="F8" s="271" t="s">
        <v>514</v>
      </c>
    </row>
    <row r="9" spans="1:6" x14ac:dyDescent="0.2">
      <c r="A9">
        <v>16</v>
      </c>
      <c r="B9" t="s">
        <v>509</v>
      </c>
      <c r="C9" s="249">
        <v>-5.0491827804166499E-3</v>
      </c>
      <c r="D9">
        <v>-1485</v>
      </c>
      <c r="E9">
        <v>294107</v>
      </c>
      <c r="F9">
        <v>1485</v>
      </c>
    </row>
    <row r="10" spans="1:6" x14ac:dyDescent="0.2">
      <c r="A10">
        <v>593</v>
      </c>
      <c r="B10" t="s">
        <v>124</v>
      </c>
      <c r="C10" s="249">
        <v>-4.1718786977247404E-3</v>
      </c>
      <c r="D10">
        <v>-617</v>
      </c>
      <c r="E10">
        <v>147895</v>
      </c>
      <c r="F10">
        <v>617</v>
      </c>
    </row>
    <row r="12" spans="1:6" x14ac:dyDescent="0.2">
      <c r="A12" s="2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31"/>
  <sheetViews>
    <sheetView workbookViewId="0">
      <selection activeCell="A11" sqref="A11"/>
    </sheetView>
  </sheetViews>
  <sheetFormatPr baseColWidth="10" defaultColWidth="10.85546875" defaultRowHeight="12.75" x14ac:dyDescent="0.2"/>
  <cols>
    <col min="1" max="1" width="52.42578125" style="1" customWidth="1"/>
    <col min="2" max="2" width="9" style="1" customWidth="1"/>
    <col min="3" max="3" width="9.85546875" style="1" customWidth="1"/>
    <col min="4" max="8" width="9.140625" style="1" customWidth="1"/>
    <col min="9" max="16384" width="10.85546875" style="1"/>
  </cols>
  <sheetData>
    <row r="1" spans="1:9" ht="27" customHeight="1" x14ac:dyDescent="0.2">
      <c r="A1" s="22" t="s">
        <v>263</v>
      </c>
      <c r="B1" s="5"/>
      <c r="C1" s="5"/>
    </row>
    <row r="2" spans="1:9" x14ac:dyDescent="0.2">
      <c r="A2" s="91"/>
      <c r="B2" s="91"/>
      <c r="C2" s="91"/>
    </row>
    <row r="3" spans="1:9" x14ac:dyDescent="0.2">
      <c r="A3" s="92" t="s">
        <v>198</v>
      </c>
      <c r="B3" s="91">
        <v>0.6</v>
      </c>
      <c r="C3" s="93"/>
      <c r="D3" s="5"/>
    </row>
    <row r="4" spans="1:9" x14ac:dyDescent="0.2">
      <c r="A4" s="92"/>
      <c r="B4" s="91"/>
      <c r="C4" s="93"/>
      <c r="D4" s="5"/>
    </row>
    <row r="5" spans="1:9" x14ac:dyDescent="0.2">
      <c r="A5" s="92" t="s">
        <v>156</v>
      </c>
      <c r="B5" s="234">
        <v>6.3200000000000006E-2</v>
      </c>
      <c r="C5" s="93"/>
      <c r="D5" s="5"/>
      <c r="G5" s="2"/>
      <c r="I5" s="3"/>
    </row>
    <row r="6" spans="1:9" x14ac:dyDescent="0.2">
      <c r="A6" s="303"/>
      <c r="B6" s="94"/>
      <c r="C6" s="93"/>
      <c r="D6" s="5"/>
      <c r="G6" s="2"/>
      <c r="I6" s="3"/>
    </row>
    <row r="7" spans="1:9" x14ac:dyDescent="0.2">
      <c r="A7" s="303"/>
      <c r="B7" s="94"/>
      <c r="C7" s="137"/>
      <c r="D7" s="5"/>
      <c r="G7" s="2"/>
      <c r="I7" s="3"/>
    </row>
    <row r="8" spans="1:9" x14ac:dyDescent="0.2">
      <c r="A8" s="91" t="s">
        <v>381</v>
      </c>
      <c r="B8" s="94"/>
      <c r="C8" s="93"/>
      <c r="D8" s="5"/>
      <c r="G8" s="2"/>
      <c r="I8" s="3"/>
    </row>
    <row r="9" spans="1:9" x14ac:dyDescent="0.2">
      <c r="A9" s="91" t="s">
        <v>383</v>
      </c>
      <c r="B9" s="94"/>
      <c r="C9" s="93"/>
      <c r="D9" s="5"/>
      <c r="G9" s="2"/>
      <c r="I9" s="3"/>
    </row>
    <row r="10" spans="1:9" x14ac:dyDescent="0.2">
      <c r="A10" s="91" t="s">
        <v>382</v>
      </c>
      <c r="B10" s="94"/>
      <c r="C10" s="93"/>
      <c r="D10" s="5"/>
      <c r="G10" s="2"/>
      <c r="I10" s="3"/>
    </row>
    <row r="11" spans="1:9" x14ac:dyDescent="0.2">
      <c r="A11" s="91" t="s">
        <v>384</v>
      </c>
      <c r="B11" s="94"/>
      <c r="C11" s="93"/>
      <c r="D11" s="5"/>
      <c r="G11" s="2"/>
      <c r="I11" s="3"/>
    </row>
    <row r="12" spans="1:9" x14ac:dyDescent="0.2">
      <c r="A12" s="91"/>
      <c r="B12" s="91"/>
      <c r="C12" s="91"/>
      <c r="G12" s="2"/>
      <c r="I12" s="3"/>
    </row>
    <row r="13" spans="1:9" x14ac:dyDescent="0.2">
      <c r="A13" s="92" t="s">
        <v>194</v>
      </c>
      <c r="B13" s="95" t="s">
        <v>195</v>
      </c>
      <c r="C13" s="95" t="s">
        <v>196</v>
      </c>
    </row>
    <row r="14" spans="1:9" x14ac:dyDescent="0.2">
      <c r="A14" s="91"/>
      <c r="B14" s="23">
        <v>2014</v>
      </c>
      <c r="C14" s="236">
        <v>136.9</v>
      </c>
      <c r="D14" s="4"/>
    </row>
    <row r="15" spans="1:9" x14ac:dyDescent="0.2">
      <c r="A15" s="91"/>
      <c r="B15" s="23">
        <v>2015</v>
      </c>
      <c r="C15" s="236">
        <v>139.80000000000001</v>
      </c>
      <c r="D15" s="9"/>
    </row>
    <row r="16" spans="1:9" x14ac:dyDescent="0.2">
      <c r="A16" s="91"/>
      <c r="B16" s="23">
        <v>2016</v>
      </c>
      <c r="C16" s="236">
        <v>144.80000000000001</v>
      </c>
      <c r="D16" s="5"/>
    </row>
    <row r="17" spans="1:12" x14ac:dyDescent="0.2">
      <c r="A17" s="95" t="s">
        <v>197</v>
      </c>
      <c r="B17" s="91"/>
      <c r="C17" s="237">
        <f>C16/C14</f>
        <v>1.0577063550036523</v>
      </c>
    </row>
    <row r="18" spans="1:12" x14ac:dyDescent="0.2">
      <c r="A18" s="24"/>
      <c r="B18" s="25"/>
      <c r="C18" s="238"/>
    </row>
    <row r="19" spans="1:12" x14ac:dyDescent="0.2">
      <c r="A19" s="149" t="s">
        <v>280</v>
      </c>
      <c r="B19" s="91"/>
      <c r="C19" s="239"/>
      <c r="D19" s="172"/>
    </row>
    <row r="20" spans="1:12" x14ac:dyDescent="0.2">
      <c r="A20" s="149"/>
      <c r="B20" s="91">
        <v>2014</v>
      </c>
      <c r="C20" s="240">
        <v>209.5</v>
      </c>
    </row>
    <row r="21" spans="1:12" x14ac:dyDescent="0.2">
      <c r="A21" s="148"/>
      <c r="B21" s="91">
        <v>2015</v>
      </c>
      <c r="C21" s="241">
        <v>215.7</v>
      </c>
    </row>
    <row r="22" spans="1:12" ht="15" customHeight="1" x14ac:dyDescent="0.2">
      <c r="A22" s="148"/>
      <c r="B22" s="91">
        <v>2016</v>
      </c>
      <c r="C22" s="241">
        <v>220.4</v>
      </c>
      <c r="E22" s="142"/>
    </row>
    <row r="23" spans="1:12" x14ac:dyDescent="0.2">
      <c r="A23" s="150" t="s">
        <v>281</v>
      </c>
      <c r="C23" s="242">
        <f>C22/C20</f>
        <v>1.0520286396181384</v>
      </c>
      <c r="D23" s="7"/>
      <c r="E23" s="7"/>
      <c r="F23" s="7"/>
      <c r="G23" s="7"/>
      <c r="H23" s="7"/>
      <c r="I23" s="7"/>
      <c r="J23" s="7"/>
      <c r="K23" s="8"/>
      <c r="L23" s="8"/>
    </row>
    <row r="26" spans="1:12" x14ac:dyDescent="0.2">
      <c r="A26" s="92" t="s">
        <v>58</v>
      </c>
      <c r="B26" s="93"/>
    </row>
    <row r="27" spans="1:12" x14ac:dyDescent="0.2">
      <c r="A27" s="235" t="s">
        <v>306</v>
      </c>
      <c r="B27" s="243">
        <v>259.7</v>
      </c>
    </row>
    <row r="28" spans="1:12" ht="13.5" customHeight="1" x14ac:dyDescent="0.2">
      <c r="A28" s="235" t="s">
        <v>307</v>
      </c>
      <c r="B28" s="243">
        <v>247.85</v>
      </c>
    </row>
    <row r="29" spans="1:12" x14ac:dyDescent="0.2">
      <c r="A29" s="235" t="s">
        <v>308</v>
      </c>
      <c r="B29" s="243">
        <v>276.60000000000002</v>
      </c>
    </row>
    <row r="30" spans="1:12" x14ac:dyDescent="0.2">
      <c r="A30" s="235" t="s">
        <v>309</v>
      </c>
      <c r="B30" s="243">
        <v>244.45</v>
      </c>
    </row>
    <row r="31" spans="1:12" x14ac:dyDescent="0.2">
      <c r="A31" s="235" t="s">
        <v>310</v>
      </c>
      <c r="B31" s="243">
        <v>246.69</v>
      </c>
    </row>
  </sheetData>
  <mergeCells count="1">
    <mergeCell ref="A6:A7"/>
  </mergeCells>
  <phoneticPr fontId="5" type="noConversion"/>
  <pageMargins left="0.78740157499999996" right="0.78740157499999996" top="0.984251969" bottom="0.984251969" header="0.5" footer="0.5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5"/>
  </sheetPr>
  <dimension ref="A1:AP170"/>
  <sheetViews>
    <sheetView tabSelected="1" workbookViewId="0">
      <pane xSplit="2" ySplit="2" topLeftCell="C3" activePane="bottomRight" state="frozen"/>
      <selection activeCell="C2" sqref="C2"/>
      <selection pane="topRight" activeCell="C2" sqref="C2"/>
      <selection pane="bottomLeft" activeCell="C2" sqref="C2"/>
      <selection pane="bottomRight" activeCell="Y3" sqref="Y3"/>
    </sheetView>
  </sheetViews>
  <sheetFormatPr baseColWidth="10" defaultColWidth="10.85546875" defaultRowHeight="12.75" x14ac:dyDescent="0.2"/>
  <cols>
    <col min="1" max="1" width="9.42578125" style="66" customWidth="1"/>
    <col min="2" max="2" width="36.140625" style="66" customWidth="1"/>
    <col min="3" max="4" width="11.5703125" style="73" customWidth="1"/>
    <col min="5" max="5" width="10.85546875" style="73" customWidth="1"/>
    <col min="6" max="6" width="11.5703125" style="73" customWidth="1"/>
    <col min="7" max="7" width="11.85546875" style="73" customWidth="1"/>
    <col min="8" max="8" width="11" style="73" customWidth="1"/>
    <col min="9" max="15" width="10.85546875" style="73" customWidth="1"/>
    <col min="16" max="16" width="12" style="73" customWidth="1"/>
    <col min="17" max="18" width="13" style="73" customWidth="1"/>
    <col min="19" max="21" width="13.28515625" style="73" customWidth="1"/>
    <col min="22" max="22" width="14.140625" style="66" customWidth="1"/>
    <col min="23" max="23" width="13.28515625" style="66" customWidth="1"/>
    <col min="24" max="24" width="25.140625" style="66" customWidth="1"/>
    <col min="25" max="25" width="28" style="75" customWidth="1"/>
    <col min="26" max="26" width="14.85546875" style="66" customWidth="1"/>
    <col min="27" max="38" width="10.85546875" style="66"/>
    <col min="39" max="39" width="3.5703125" style="66" customWidth="1"/>
    <col min="40" max="16384" width="10.85546875" style="66"/>
  </cols>
  <sheetData>
    <row r="1" spans="1:42" customFormat="1" ht="16.5" customHeight="1" thickBot="1" x14ac:dyDescent="0.25">
      <c r="A1" s="308" t="s">
        <v>254</v>
      </c>
      <c r="B1" s="309"/>
      <c r="C1" s="327" t="s">
        <v>255</v>
      </c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9"/>
      <c r="R1" s="306" t="s">
        <v>4</v>
      </c>
      <c r="S1" s="307"/>
      <c r="T1" s="307"/>
      <c r="U1" s="307"/>
      <c r="V1" s="307"/>
      <c r="W1" s="307"/>
      <c r="X1" s="304" t="s">
        <v>260</v>
      </c>
      <c r="Y1" s="305"/>
      <c r="AA1" s="266"/>
      <c r="AB1" s="266"/>
      <c r="AC1">
        <f>COUNTIF(AC3:AC146,"&gt;0")</f>
        <v>66</v>
      </c>
    </row>
    <row r="2" spans="1:42" s="60" customFormat="1" ht="99.75" customHeight="1" thickBot="1" x14ac:dyDescent="0.25">
      <c r="A2" s="279" t="s">
        <v>73</v>
      </c>
      <c r="B2" s="280" t="s">
        <v>74</v>
      </c>
      <c r="C2" s="281" t="s">
        <v>46</v>
      </c>
      <c r="D2" s="282" t="s">
        <v>284</v>
      </c>
      <c r="E2" s="282" t="s">
        <v>72</v>
      </c>
      <c r="F2" s="282" t="s">
        <v>29</v>
      </c>
      <c r="G2" s="282" t="s">
        <v>6</v>
      </c>
      <c r="H2" s="282" t="s">
        <v>158</v>
      </c>
      <c r="I2" s="282" t="s">
        <v>164</v>
      </c>
      <c r="J2" s="283" t="s">
        <v>157</v>
      </c>
      <c r="K2" s="283" t="s">
        <v>163</v>
      </c>
      <c r="L2" s="283" t="s">
        <v>32</v>
      </c>
      <c r="M2" s="282" t="s">
        <v>33</v>
      </c>
      <c r="N2" s="284" t="s">
        <v>285</v>
      </c>
      <c r="O2" s="284" t="s">
        <v>45</v>
      </c>
      <c r="P2" s="284" t="s">
        <v>155</v>
      </c>
      <c r="Q2" s="285" t="s">
        <v>165</v>
      </c>
      <c r="R2" s="286" t="s">
        <v>221</v>
      </c>
      <c r="S2" s="287" t="s">
        <v>222</v>
      </c>
      <c r="T2" s="287" t="s">
        <v>247</v>
      </c>
      <c r="U2" s="287" t="s">
        <v>24</v>
      </c>
      <c r="V2" s="288" t="s">
        <v>25</v>
      </c>
      <c r="W2" s="289" t="s">
        <v>26</v>
      </c>
      <c r="X2" s="290" t="s">
        <v>261</v>
      </c>
      <c r="Y2" s="291" t="s">
        <v>262</v>
      </c>
      <c r="Z2" s="292" t="s">
        <v>525</v>
      </c>
      <c r="AA2" s="293" t="s">
        <v>385</v>
      </c>
      <c r="AB2" s="293" t="s">
        <v>503</v>
      </c>
      <c r="AC2" s="293" t="s">
        <v>386</v>
      </c>
      <c r="AD2" s="293" t="s">
        <v>388</v>
      </c>
      <c r="AE2" s="293" t="s">
        <v>387</v>
      </c>
      <c r="AF2" s="293" t="s">
        <v>389</v>
      </c>
      <c r="AG2" s="294" t="s">
        <v>390</v>
      </c>
      <c r="AH2" s="294" t="s">
        <v>391</v>
      </c>
      <c r="AI2" s="294" t="s">
        <v>392</v>
      </c>
      <c r="AJ2" s="294" t="s">
        <v>516</v>
      </c>
      <c r="AK2" s="294" t="s">
        <v>517</v>
      </c>
      <c r="AL2" s="294" t="s">
        <v>518</v>
      </c>
      <c r="AM2" s="295"/>
      <c r="AN2" s="254" t="s">
        <v>515</v>
      </c>
      <c r="AO2" s="254" t="s">
        <v>524</v>
      </c>
      <c r="AP2" s="60">
        <v>100</v>
      </c>
    </row>
    <row r="3" spans="1:42" x14ac:dyDescent="0.2">
      <c r="A3">
        <v>6242014</v>
      </c>
      <c r="B3" s="1" t="s">
        <v>129</v>
      </c>
      <c r="C3" s="96">
        <f>VLOOKUP(A3,IRData!$A$3:$F$146,6,FALSE)</f>
        <v>426258.509765625</v>
      </c>
      <c r="D3" s="188">
        <f>C3*Forutsetninger!$C$23</f>
        <v>448436.16015438543</v>
      </c>
      <c r="E3" s="97">
        <f>VLOOKUP($A3,IRData!$A$2:$N$146,7,FALSE)</f>
        <v>217791</v>
      </c>
      <c r="F3" s="97">
        <f>VLOOKUP($A3,IRData!$A$2:$N$146,8,FALSE)</f>
        <v>3712320</v>
      </c>
      <c r="G3" s="97">
        <f>VLOOKUP($A3,IRData!$A$2:$N$146,9,FALSE)</f>
        <v>3749443.2</v>
      </c>
      <c r="H3" s="97">
        <f>VLOOKUP($A3,IRData!$A$2:$N$146,10,FALSE)</f>
        <v>181219</v>
      </c>
      <c r="I3" s="97">
        <f>VLOOKUP($A3,IRData!$A$2:$N$146,11,FALSE)</f>
        <v>178151</v>
      </c>
      <c r="J3" s="52">
        <f>VLOOKUP(A3,IRData!$A$3:$AF$146,32,FALSE)</f>
        <v>44915.129305541515</v>
      </c>
      <c r="K3" s="52">
        <f>VLOOKUP(A3,IRData!$A$3:$AM$146,37,FALSE)</f>
        <v>44154.72550290823</v>
      </c>
      <c r="L3" s="145">
        <f>VLOOKUP($A3,IRData!$A$2:$N$146,13,FALSE)</f>
        <v>49609</v>
      </c>
      <c r="M3" s="98">
        <f>L3*Forutsetninger!$C$17</f>
        <v>52471.754565376184</v>
      </c>
      <c r="N3" s="145">
        <f>VLOOKUP(A3,IRData!$A$3:$E$146,5,FALSE)*Forutsetninger!$C$23</f>
        <v>1261.3823389021479</v>
      </c>
      <c r="O3" s="145">
        <f>VLOOKUP(A3,IRData!$A$3:$AG$146,19,FALSE)*Forutsetninger!$C$17</f>
        <v>1516.4125038520363</v>
      </c>
      <c r="P3" s="189">
        <f t="shared" ref="P3:P34" si="0">D3+E3+K3+J3+M3+N3</f>
        <v>809030.15186711354</v>
      </c>
      <c r="Q3" s="253">
        <f>ROUND(D3+E3+J3+K3+M3+G3*Forutsetninger!$B$5+N3,0)</f>
        <v>1045995</v>
      </c>
      <c r="R3" s="53">
        <f>IFERROR((VLOOKUP(A3,'DEAnorm D-nett'!$A$4:$H$134,8,FALSE)+O3),0)</f>
        <v>763550.92454074451</v>
      </c>
      <c r="S3" s="26">
        <f>IFERROR((VLOOKUP(A3,'DEAnorm R-nett'!$A$4:$H$86,8,FALSE)+N3+K3),N3+K3)</f>
        <v>273473.07343110465</v>
      </c>
      <c r="T3" s="232">
        <f>IFERROR(VLOOKUP(A3,IRData!$A$3:$AN$146,40,FALSE),0)</f>
        <v>1300.771506104325</v>
      </c>
      <c r="U3" s="54">
        <f>(1-Forutsetninger!$B$3)*Q3+(R3+S3+T3)*Forutsetninger!$B$3</f>
        <v>1041392.8616867721</v>
      </c>
      <c r="V3" s="26">
        <f t="shared" ref="V3:V34" si="1">U3-P3</f>
        <v>232362.70981965854</v>
      </c>
      <c r="W3" s="46">
        <f t="shared" ref="W3:W34" si="2">IF(G3=0,0,V3/G3)</f>
        <v>6.1972590975550322E-2</v>
      </c>
      <c r="X3" s="202">
        <f>(R3+S3+T3)-G3*($K$159+$K$153)/Forutsetninger!$B$3</f>
        <v>1216034.5499378571</v>
      </c>
      <c r="Y3" s="278">
        <f>ROUND((1-Forutsetninger!$B$3)*Q3+Forutsetninger!$B$3*X3,0)</f>
        <v>1148019</v>
      </c>
      <c r="Z3" s="47">
        <v>1149253</v>
      </c>
      <c r="AA3" s="73">
        <f>Y3-Z3</f>
        <v>-1234</v>
      </c>
      <c r="AB3" s="269">
        <f>AA3/Z3</f>
        <v>-1.0737409430299507E-3</v>
      </c>
      <c r="AC3" s="66">
        <f>IF(AA3&gt;0,AA3,0)</f>
        <v>0</v>
      </c>
      <c r="AD3" s="256">
        <f>VLOOKUP(A3,IR2016prnettnivå!$B$2:$K$133,8,FALSE)</f>
        <v>0.73708524331116188</v>
      </c>
      <c r="AE3" s="256">
        <f>VLOOKUP(A3,IR2016prnettnivå!$B$2:$K$133,9,FALSE)</f>
        <v>0.26201937300518263</v>
      </c>
      <c r="AF3" s="256">
        <f>VLOOKUP(A3,IR2016prnettnivå!$B$2:$K$133,10,FALSE)</f>
        <v>8.9538368365546267E-4</v>
      </c>
      <c r="AG3" s="277">
        <f>$AC3*AD3</f>
        <v>0</v>
      </c>
      <c r="AH3" s="277">
        <f t="shared" ref="AH3:AI3" si="3">$AC3*AE3</f>
        <v>0</v>
      </c>
      <c r="AI3" s="277">
        <f t="shared" si="3"/>
        <v>0</v>
      </c>
      <c r="AJ3" s="277">
        <f>AG3*$AP$5</f>
        <v>0</v>
      </c>
      <c r="AK3" s="277">
        <f t="shared" ref="AK3:AL3" si="4">AH3*$AP$5</f>
        <v>0</v>
      </c>
      <c r="AL3" s="277">
        <f t="shared" si="4"/>
        <v>0</v>
      </c>
      <c r="AN3" s="276" t="s">
        <v>522</v>
      </c>
      <c r="AO3" s="75">
        <v>1.37E-2</v>
      </c>
      <c r="AP3" s="66">
        <f>AP2/2*AO3</f>
        <v>0.68500000000000005</v>
      </c>
    </row>
    <row r="4" spans="1:42" x14ac:dyDescent="0.2">
      <c r="A4">
        <v>7532014</v>
      </c>
      <c r="B4" s="1" t="s">
        <v>97</v>
      </c>
      <c r="C4" s="99">
        <f>VLOOKUP(A4,IRData!$A$3:$F$146,6,FALSE)</f>
        <v>28381.000129699707</v>
      </c>
      <c r="D4" s="52">
        <f>C4*Forutsetninger!$C$23</f>
        <v>29857.624957450193</v>
      </c>
      <c r="E4" s="50">
        <f>VLOOKUP($A4,IRData!$A$2:$N$146,7,FALSE)</f>
        <v>4014</v>
      </c>
      <c r="F4" s="50">
        <f>VLOOKUP($A4,IRData!$A$2:$N$146,8,FALSE)</f>
        <v>56437</v>
      </c>
      <c r="G4" s="50">
        <f>VLOOKUP($A4,IRData!$A$2:$N$146,9,FALSE)</f>
        <v>57001.37</v>
      </c>
      <c r="H4" s="50">
        <f>VLOOKUP($A4,IRData!$A$2:$N$146,10,FALSE)</f>
        <v>0</v>
      </c>
      <c r="I4" s="50">
        <f>VLOOKUP($A4,IRData!$A$2:$N$146,11,FALSE)</f>
        <v>13301</v>
      </c>
      <c r="J4" s="52">
        <f>VLOOKUP(A4,IRData!$A$3:$AF$146,32,FALSE)</f>
        <v>0</v>
      </c>
      <c r="K4" s="52">
        <f>VLOOKUP(A4,IRData!$A$3:$AM$146,37,FALSE)</f>
        <v>3296.6528614163399</v>
      </c>
      <c r="L4" s="145">
        <f>VLOOKUP($A4,IRData!$A$2:$N$146,13,FALSE)</f>
        <v>0</v>
      </c>
      <c r="M4" s="51">
        <f>L4*Forutsetninger!$C$17</f>
        <v>0</v>
      </c>
      <c r="N4" s="145">
        <f>VLOOKUP(A4,IRData!$A$3:$E$146,5,FALSE)*Forutsetninger!$C$23</f>
        <v>0</v>
      </c>
      <c r="O4" s="145">
        <f>VLOOKUP(A4,IRData!$A$3:$AG$146,19,FALSE)*Forutsetninger!$C$17</f>
        <v>0</v>
      </c>
      <c r="P4" s="52">
        <f t="shared" si="0"/>
        <v>37168.277818866532</v>
      </c>
      <c r="Q4" s="253">
        <f>ROUND(D4+E4+J4+K4+M4+G4*Forutsetninger!$B$5+N4,0)</f>
        <v>40771</v>
      </c>
      <c r="R4" s="53">
        <f>IFERROR((VLOOKUP(A4,'DEAnorm D-nett'!$A$4:$H$134,8,FALSE)+O4),0)</f>
        <v>0</v>
      </c>
      <c r="S4" s="26">
        <f>IFERROR((VLOOKUP(A4,'DEAnorm R-nett'!$A$4:$H$86,8,FALSE)+N4+K4),N4+K4)</f>
        <v>25199.237556853182</v>
      </c>
      <c r="T4" s="151">
        <f>IFERROR(VLOOKUP(A4,IRData!$A$3:$AN$146,40,FALSE),0)</f>
        <v>0</v>
      </c>
      <c r="U4" s="54">
        <f>(1-Forutsetninger!$B$3)*Q4+(R4+S4+T4)*Forutsetninger!$B$3</f>
        <v>31427.942534111909</v>
      </c>
      <c r="V4" s="47">
        <f t="shared" si="1"/>
        <v>-5740.335284754623</v>
      </c>
      <c r="W4" s="208">
        <f t="shared" si="2"/>
        <v>-0.10070521611593937</v>
      </c>
      <c r="X4" s="47">
        <f>(R4+S4+T4)-G4*($K$159+$K$153)/Forutsetninger!$B$3</f>
        <v>27900.892284844191</v>
      </c>
      <c r="Y4" s="278">
        <f>ROUND((1-Forutsetninger!$B$3)*Q4+Forutsetninger!$B$3*X4,0)</f>
        <v>33049</v>
      </c>
      <c r="Z4" s="47">
        <v>32827</v>
      </c>
      <c r="AA4" s="73">
        <f t="shared" ref="AA4:AA67" si="5">Y4-Z4</f>
        <v>222</v>
      </c>
      <c r="AB4" s="269">
        <f t="shared" ref="AB4:AB67" si="6">AA4/Z4</f>
        <v>6.7627258049776096E-3</v>
      </c>
      <c r="AC4" s="66">
        <f t="shared" ref="AC4:AC67" si="7">IF(AA4&gt;0,AA4,0)</f>
        <v>222</v>
      </c>
      <c r="AD4" s="256">
        <f>VLOOKUP(A4,IR2016prnettnivå!$B$2:$K$133,8,FALSE)</f>
        <v>0</v>
      </c>
      <c r="AE4" s="256">
        <f>VLOOKUP(A4,IR2016prnettnivå!$B$2:$K$133,9,FALSE)</f>
        <v>1</v>
      </c>
      <c r="AF4" s="256">
        <f>VLOOKUP(A4,IR2016prnettnivå!$B$2:$K$133,10,FALSE)</f>
        <v>0</v>
      </c>
      <c r="AG4" s="277">
        <f t="shared" ref="AG4:AG67" si="8">$AC4*AD4</f>
        <v>0</v>
      </c>
      <c r="AH4" s="277">
        <f t="shared" ref="AH4:AH67" si="9">$AC4*AE4</f>
        <v>222</v>
      </c>
      <c r="AI4" s="277">
        <f t="shared" ref="AI4:AI67" si="10">$AC4*AF4</f>
        <v>0</v>
      </c>
      <c r="AJ4" s="277">
        <f t="shared" ref="AJ4:AJ67" si="11">AG4*$AP$5</f>
        <v>0</v>
      </c>
      <c r="AK4" s="277">
        <f t="shared" ref="AK4:AK67" si="12">AH4*$AP$5</f>
        <v>2.8416000000000006</v>
      </c>
      <c r="AL4" s="277">
        <f t="shared" ref="AL4:AL67" si="13">AI4*$AP$5</f>
        <v>0</v>
      </c>
      <c r="AN4" s="276" t="s">
        <v>523</v>
      </c>
      <c r="AO4" s="75">
        <v>1.1900000000000001E-2</v>
      </c>
      <c r="AP4" s="66">
        <f>AP2/2*AO4</f>
        <v>0.59500000000000008</v>
      </c>
    </row>
    <row r="5" spans="1:42" x14ac:dyDescent="0.2">
      <c r="A5">
        <v>72014</v>
      </c>
      <c r="B5" s="1" t="s">
        <v>35</v>
      </c>
      <c r="C5" s="99">
        <f>VLOOKUP(A5,IRData!$A$3:$F$146,6,FALSE)</f>
        <v>42738.563564300537</v>
      </c>
      <c r="D5" s="52">
        <f>C5*Forutsetninger!$C$23</f>
        <v>44962.192885784432</v>
      </c>
      <c r="E5" s="50">
        <f>VLOOKUP($A5,IRData!$A$2:$N$146,7,FALSE)</f>
        <v>15051</v>
      </c>
      <c r="F5" s="50">
        <f>VLOOKUP($A5,IRData!$A$2:$N$146,8,FALSE)</f>
        <v>214969</v>
      </c>
      <c r="G5" s="50">
        <f>VLOOKUP($A5,IRData!$A$2:$N$146,9,FALSE)</f>
        <v>217118.69</v>
      </c>
      <c r="H5" s="50">
        <f>VLOOKUP($A5,IRData!$A$2:$N$146,10,FALSE)</f>
        <v>21156</v>
      </c>
      <c r="I5" s="50">
        <f>VLOOKUP($A5,IRData!$A$2:$N$146,11,FALSE)</f>
        <v>7240</v>
      </c>
      <c r="J5" s="52">
        <f>VLOOKUP(A5,IRData!$A$3:$AF$146,32,FALSE)</f>
        <v>5171.5842615365982</v>
      </c>
      <c r="K5" s="52">
        <f>VLOOKUP(A5,IRData!$A$3:$AM$146,37,FALSE)</f>
        <v>1769.8180210590363</v>
      </c>
      <c r="L5" s="145">
        <f>VLOOKUP($A5,IRData!$A$2:$N$146,13,FALSE)</f>
        <v>1288</v>
      </c>
      <c r="M5" s="51">
        <f>L5*Forutsetninger!$C$17</f>
        <v>1362.3257852447041</v>
      </c>
      <c r="N5" s="145">
        <f>VLOOKUP(A5,IRData!$A$3:$E$146,5,FALSE)*Forutsetninger!$C$23</f>
        <v>0</v>
      </c>
      <c r="O5" s="145">
        <f>VLOOKUP(A5,IRData!$A$3:$AG$146,19,FALSE)*Forutsetninger!$C$17</f>
        <v>0</v>
      </c>
      <c r="P5" s="52">
        <f t="shared" si="0"/>
        <v>68316.920953624765</v>
      </c>
      <c r="Q5" s="253">
        <f>ROUND(D5+E5+J5+K5+M5+G5*Forutsetninger!$B$5+N5,0)</f>
        <v>82039</v>
      </c>
      <c r="R5" s="53">
        <f>IFERROR((VLOOKUP(A5,'DEAnorm D-nett'!$A$4:$H$134,8,FALSE)+O5),0)</f>
        <v>75085.218143353093</v>
      </c>
      <c r="S5" s="26">
        <f>IFERROR((VLOOKUP(A5,'DEAnorm R-nett'!$A$4:$H$86,8,FALSE)+N5+K5),N5+K5)</f>
        <v>9024.6305905748286</v>
      </c>
      <c r="T5" s="151">
        <f>IFERROR(VLOOKUP(A5,IRData!$A$3:$AN$146,40,FALSE),0)</f>
        <v>0</v>
      </c>
      <c r="U5" s="54">
        <f>(1-Forutsetninger!$B$3)*Q5+(R5+S5+T5)*Forutsetninger!$B$3</f>
        <v>83281.509240356754</v>
      </c>
      <c r="V5" s="47">
        <f t="shared" si="1"/>
        <v>14964.588286731989</v>
      </c>
      <c r="W5" s="208">
        <f t="shared" si="2"/>
        <v>6.8923538027665834E-2</v>
      </c>
      <c r="X5" s="47">
        <f>(R5+S5+T5)-G5*($K$159+$K$153)/Forutsetninger!$B$3</f>
        <v>94400.473948264247</v>
      </c>
      <c r="Y5" s="278">
        <f>ROUND((1-Forutsetninger!$B$3)*Q5+Forutsetninger!$B$3*X5,0)</f>
        <v>89456</v>
      </c>
      <c r="Z5" s="47">
        <v>90213</v>
      </c>
      <c r="AA5" s="73">
        <f t="shared" si="5"/>
        <v>-757</v>
      </c>
      <c r="AB5" s="269">
        <f t="shared" si="6"/>
        <v>-8.3912518151485933E-3</v>
      </c>
      <c r="AC5" s="66">
        <f t="shared" si="7"/>
        <v>0</v>
      </c>
      <c r="AD5" s="256">
        <f>VLOOKUP(A5,IR2016prnettnivå!$B$2:$K$133,8,FALSE)</f>
        <v>0.99137596576990017</v>
      </c>
      <c r="AE5" s="256">
        <f>VLOOKUP(A5,IR2016prnettnivå!$B$2:$K$133,9,FALSE)</f>
        <v>8.6240342300998741E-3</v>
      </c>
      <c r="AF5" s="256">
        <f>VLOOKUP(A5,IR2016prnettnivå!$B$2:$K$133,10,FALSE)</f>
        <v>0</v>
      </c>
      <c r="AG5" s="277">
        <f t="shared" si="8"/>
        <v>0</v>
      </c>
      <c r="AH5" s="277">
        <f t="shared" si="9"/>
        <v>0</v>
      </c>
      <c r="AI5" s="277">
        <f t="shared" si="10"/>
        <v>0</v>
      </c>
      <c r="AJ5" s="277">
        <f t="shared" si="11"/>
        <v>0</v>
      </c>
      <c r="AK5" s="277">
        <f t="shared" si="12"/>
        <v>0</v>
      </c>
      <c r="AL5" s="277">
        <f t="shared" si="13"/>
        <v>0</v>
      </c>
      <c r="AN5" s="275" t="s">
        <v>519</v>
      </c>
      <c r="AP5" s="133">
        <f>SUM(AP3:AP4)/100</f>
        <v>1.2800000000000002E-2</v>
      </c>
    </row>
    <row r="6" spans="1:42" x14ac:dyDescent="0.2">
      <c r="A6">
        <v>92014</v>
      </c>
      <c r="B6" s="1" t="s">
        <v>201</v>
      </c>
      <c r="C6" s="99">
        <f>VLOOKUP(A6,IRData!$A$3:$F$146,6,FALSE)</f>
        <v>16014.618011474609</v>
      </c>
      <c r="D6" s="52">
        <f>C6*Forutsetninger!$C$23</f>
        <v>16847.836800615769</v>
      </c>
      <c r="E6" s="50">
        <f>VLOOKUP($A6,IRData!$A$2:$N$146,7,FALSE)</f>
        <v>7442</v>
      </c>
      <c r="F6" s="50">
        <f>VLOOKUP($A6,IRData!$A$2:$N$146,8,FALSE)</f>
        <v>121134</v>
      </c>
      <c r="G6" s="50">
        <f>VLOOKUP($A6,IRData!$A$2:$N$146,9,FALSE)</f>
        <v>122345.34</v>
      </c>
      <c r="H6" s="50">
        <f>VLOOKUP($A6,IRData!$A$2:$N$146,10,FALSE)</f>
        <v>4538</v>
      </c>
      <c r="I6" s="50">
        <f>VLOOKUP($A6,IRData!$A$2:$N$146,11,FALSE)</f>
        <v>3026</v>
      </c>
      <c r="J6" s="52">
        <f>VLOOKUP(A6,IRData!$A$3:$AF$146,32,FALSE)</f>
        <v>1109.3141131997108</v>
      </c>
      <c r="K6" s="52">
        <f>VLOOKUP(A6,IRData!$A$3:$AM$146,37,FALSE)</f>
        <v>739.70570880174637</v>
      </c>
      <c r="L6" s="145">
        <f>VLOOKUP($A6,IRData!$A$2:$N$146,13,FALSE)</f>
        <v>1000</v>
      </c>
      <c r="M6" s="51">
        <f>L6*Forutsetninger!$C$17</f>
        <v>1057.7063550036523</v>
      </c>
      <c r="N6" s="145">
        <f>VLOOKUP(A6,IRData!$A$3:$E$146,5,FALSE)*Forutsetninger!$C$23</f>
        <v>0</v>
      </c>
      <c r="O6" s="145">
        <f>VLOOKUP(A6,IRData!$A$3:$AG$146,19,FALSE)*Forutsetninger!$C$17</f>
        <v>0</v>
      </c>
      <c r="P6" s="52">
        <f t="shared" si="0"/>
        <v>27196.562977620877</v>
      </c>
      <c r="Q6" s="253">
        <f>ROUND(D6+E6+J6+K6+M6+G6*Forutsetninger!$B$5+N6,0)</f>
        <v>34929</v>
      </c>
      <c r="R6" s="53">
        <f>IFERROR((VLOOKUP(A6,'DEAnorm D-nett'!$A$4:$H$134,8,FALSE)+O6),0)</f>
        <v>25136.157873211829</v>
      </c>
      <c r="S6" s="26">
        <f>IFERROR((VLOOKUP(A6,'DEAnorm R-nett'!$A$4:$H$86,8,FALSE)+N6+K6),N6+K6)</f>
        <v>13097.122308498325</v>
      </c>
      <c r="T6" s="151">
        <f>IFERROR(VLOOKUP(A6,IRData!$A$3:$AN$146,40,FALSE),0)</f>
        <v>0</v>
      </c>
      <c r="U6" s="54">
        <f>(1-Forutsetninger!$B$3)*Q6+(R6+S6+T6)*Forutsetninger!$B$3</f>
        <v>36911.568109026091</v>
      </c>
      <c r="V6" s="47">
        <f t="shared" si="1"/>
        <v>9715.0051314052143</v>
      </c>
      <c r="W6" s="208">
        <f t="shared" si="2"/>
        <v>7.9406417370741014E-2</v>
      </c>
      <c r="X6" s="47">
        <f>(R6+S6+T6)-G6*($K$159+$K$153)/Forutsetninger!$B$3</f>
        <v>44031.998111799687</v>
      </c>
      <c r="Y6" s="278">
        <f>ROUND((1-Forutsetninger!$B$3)*Q6+Forutsetninger!$B$3*X6,0)</f>
        <v>40391</v>
      </c>
      <c r="Z6" s="47">
        <v>40482</v>
      </c>
      <c r="AA6" s="73">
        <f t="shared" si="5"/>
        <v>-91</v>
      </c>
      <c r="AB6" s="269">
        <f t="shared" si="6"/>
        <v>-2.2479126525369298E-3</v>
      </c>
      <c r="AC6" s="66">
        <f t="shared" si="7"/>
        <v>0</v>
      </c>
      <c r="AD6" s="256">
        <f>VLOOKUP(A6,IR2016prnettnivå!$B$2:$K$133,8,FALSE)</f>
        <v>0.64386640976236353</v>
      </c>
      <c r="AE6" s="256">
        <f>VLOOKUP(A6,IR2016prnettnivå!$B$2:$K$133,9,FALSE)</f>
        <v>0.35613359023763647</v>
      </c>
      <c r="AF6" s="256">
        <f>VLOOKUP(A6,IR2016prnettnivå!$B$2:$K$133,10,FALSE)</f>
        <v>0</v>
      </c>
      <c r="AG6" s="277">
        <f t="shared" si="8"/>
        <v>0</v>
      </c>
      <c r="AH6" s="277">
        <f t="shared" si="9"/>
        <v>0</v>
      </c>
      <c r="AI6" s="277">
        <f t="shared" si="10"/>
        <v>0</v>
      </c>
      <c r="AJ6" s="277">
        <f t="shared" si="11"/>
        <v>0</v>
      </c>
      <c r="AK6" s="277">
        <f t="shared" si="12"/>
        <v>0</v>
      </c>
      <c r="AL6" s="277">
        <f t="shared" si="13"/>
        <v>0</v>
      </c>
      <c r="AN6" s="274" t="s">
        <v>520</v>
      </c>
    </row>
    <row r="7" spans="1:42" x14ac:dyDescent="0.2">
      <c r="A7">
        <v>102014</v>
      </c>
      <c r="B7" s="1" t="s">
        <v>202</v>
      </c>
      <c r="C7" s="99">
        <f>VLOOKUP(A7,IRData!$A$3:$F$146,6,FALSE)</f>
        <v>458.37800788879395</v>
      </c>
      <c r="D7" s="52">
        <f>C7*Forutsetninger!$C$23</f>
        <v>482.22679207012021</v>
      </c>
      <c r="E7" s="50">
        <f>VLOOKUP($A7,IRData!$A$2:$N$146,7,FALSE)</f>
        <v>656</v>
      </c>
      <c r="F7" s="50">
        <f>VLOOKUP($A7,IRData!$A$2:$N$146,8,FALSE)</f>
        <v>3974</v>
      </c>
      <c r="G7" s="50">
        <f>VLOOKUP($A7,IRData!$A$2:$N$146,9,FALSE)</f>
        <v>4013.7400000000002</v>
      </c>
      <c r="H7" s="50">
        <f>VLOOKUP($A7,IRData!$A$2:$N$146,10,FALSE)</f>
        <v>538</v>
      </c>
      <c r="I7" s="50">
        <f>VLOOKUP($A7,IRData!$A$2:$N$146,11,FALSE)</f>
        <v>4848</v>
      </c>
      <c r="J7" s="52">
        <f>VLOOKUP(A7,IRData!$A$3:$AF$146,32,FALSE)</f>
        <v>133.3433004617691</v>
      </c>
      <c r="K7" s="52">
        <f>VLOOKUP(A7,IRData!$A$3:$AM$146,37,FALSE)</f>
        <v>1201.5768041610718</v>
      </c>
      <c r="L7" s="145">
        <f>VLOOKUP($A7,IRData!$A$2:$N$146,13,FALSE)</f>
        <v>0</v>
      </c>
      <c r="M7" s="51">
        <f>L7*Forutsetninger!$C$17</f>
        <v>0</v>
      </c>
      <c r="N7" s="145">
        <f>VLOOKUP(A7,IRData!$A$3:$E$146,5,FALSE)*Forutsetninger!$C$23</f>
        <v>0</v>
      </c>
      <c r="O7" s="145">
        <f>VLOOKUP(A7,IRData!$A$3:$AG$146,19,FALSE)*Forutsetninger!$C$17</f>
        <v>0</v>
      </c>
      <c r="P7" s="52">
        <f t="shared" si="0"/>
        <v>2473.146896692961</v>
      </c>
      <c r="Q7" s="253">
        <f>ROUND(D7+E7+J7+K7+M7+G7*Forutsetninger!$B$5+N7,0)</f>
        <v>2727</v>
      </c>
      <c r="R7" s="53">
        <f>IFERROR((VLOOKUP(A7,'DEAnorm D-nett'!$A$4:$H$134,8,FALSE)+O7),0)</f>
        <v>535.41112002484067</v>
      </c>
      <c r="S7" s="26">
        <f>IFERROR((VLOOKUP(A7,'DEAnorm R-nett'!$A$4:$H$86,8,FALSE)+N7+K7),N7+K7)</f>
        <v>1883.3550896089605</v>
      </c>
      <c r="T7" s="151">
        <f>IFERROR(VLOOKUP(A7,IRData!$A$3:$AN$146,40,FALSE),0)</f>
        <v>0</v>
      </c>
      <c r="U7" s="54">
        <f>(1-Forutsetninger!$B$3)*Q7+(R7+S7+T7)*Forutsetninger!$B$3</f>
        <v>2542.0597257802806</v>
      </c>
      <c r="V7" s="47">
        <f t="shared" si="1"/>
        <v>68.912829087319551</v>
      </c>
      <c r="W7" s="208">
        <f t="shared" si="2"/>
        <v>1.7169230963470367E-2</v>
      </c>
      <c r="X7" s="47">
        <f>(R7+S7+T7)-G7*($K$159+$K$153)/Forutsetninger!$B$3</f>
        <v>2609.002683738312</v>
      </c>
      <c r="Y7" s="278">
        <f>ROUND((1-Forutsetninger!$B$3)*Q7+Forutsetninger!$B$3*X7,0)</f>
        <v>2656</v>
      </c>
      <c r="Z7" s="47">
        <v>2657</v>
      </c>
      <c r="AA7" s="73">
        <f t="shared" si="5"/>
        <v>-1</v>
      </c>
      <c r="AB7" s="269">
        <f t="shared" si="6"/>
        <v>-3.7636432066240122E-4</v>
      </c>
      <c r="AC7" s="66">
        <f t="shared" si="7"/>
        <v>0</v>
      </c>
      <c r="AD7" s="256">
        <f>VLOOKUP(A7,IR2016prnettnivå!$B$2:$K$133,8,FALSE)</f>
        <v>6.1723748588633796E-2</v>
      </c>
      <c r="AE7" s="256">
        <f>VLOOKUP(A7,IR2016prnettnivå!$B$2:$K$133,9,FALSE)</f>
        <v>0.93827625141136617</v>
      </c>
      <c r="AF7" s="256">
        <f>VLOOKUP(A7,IR2016prnettnivå!$B$2:$K$133,10,FALSE)</f>
        <v>0</v>
      </c>
      <c r="AG7" s="277">
        <f t="shared" si="8"/>
        <v>0</v>
      </c>
      <c r="AH7" s="277">
        <f t="shared" si="9"/>
        <v>0</v>
      </c>
      <c r="AI7" s="277">
        <f t="shared" si="10"/>
        <v>0</v>
      </c>
      <c r="AJ7" s="277">
        <f t="shared" si="11"/>
        <v>0</v>
      </c>
      <c r="AK7" s="277">
        <f t="shared" si="12"/>
        <v>0</v>
      </c>
      <c r="AL7" s="277">
        <f t="shared" si="13"/>
        <v>0</v>
      </c>
      <c r="AN7" s="274" t="s">
        <v>521</v>
      </c>
    </row>
    <row r="8" spans="1:42" x14ac:dyDescent="0.2">
      <c r="A8">
        <v>372014</v>
      </c>
      <c r="B8" s="1" t="s">
        <v>79</v>
      </c>
      <c r="C8" s="99">
        <f>VLOOKUP(A8,IRData!$A$3:$F$146,6,FALSE)</f>
        <v>38769.241241455078</v>
      </c>
      <c r="D8" s="52">
        <f>C8*Forutsetninger!$C$23</f>
        <v>40786.352122275413</v>
      </c>
      <c r="E8" s="50">
        <f>VLOOKUP($A8,IRData!$A$2:$N$146,7,FALSE)</f>
        <v>17079</v>
      </c>
      <c r="F8" s="50">
        <f>VLOOKUP($A8,IRData!$A$2:$N$146,8,FALSE)</f>
        <v>205997</v>
      </c>
      <c r="G8" s="50">
        <f>VLOOKUP($A8,IRData!$A$2:$N$146,9,FALSE)</f>
        <v>208056.97</v>
      </c>
      <c r="H8" s="50">
        <f>VLOOKUP($A8,IRData!$A$2:$N$146,10,FALSE)</f>
        <v>16951</v>
      </c>
      <c r="I8" s="50">
        <f>VLOOKUP($A8,IRData!$A$2:$N$146,11,FALSE)</f>
        <v>8877</v>
      </c>
      <c r="J8" s="52">
        <f>VLOOKUP(A8,IRData!$A$3:$AF$146,32,FALSE)</f>
        <v>4402.17470484972</v>
      </c>
      <c r="K8" s="52">
        <f>VLOOKUP(A8,IRData!$A$3:$AM$146,37,FALSE)</f>
        <v>2305.3569025397301</v>
      </c>
      <c r="L8" s="145">
        <f>VLOOKUP($A8,IRData!$A$2:$N$146,13,FALSE)</f>
        <v>3294</v>
      </c>
      <c r="M8" s="51">
        <f>L8*Forutsetninger!$C$17</f>
        <v>3484.0847333820307</v>
      </c>
      <c r="N8" s="145">
        <f>VLOOKUP(A8,IRData!$A$3:$E$146,5,FALSE)*Forutsetninger!$C$23</f>
        <v>0</v>
      </c>
      <c r="O8" s="145">
        <f>VLOOKUP(A8,IRData!$A$3:$AG$146,19,FALSE)*Forutsetninger!$C$17</f>
        <v>0</v>
      </c>
      <c r="P8" s="52">
        <f t="shared" si="0"/>
        <v>68056.968463046898</v>
      </c>
      <c r="Q8" s="253">
        <f>ROUND(D8+E8+J8+K8+M8+G8*Forutsetninger!$B$5+N8,0)</f>
        <v>81206</v>
      </c>
      <c r="R8" s="53">
        <f>IFERROR((VLOOKUP(A8,'DEAnorm D-nett'!$A$4:$H$134,8,FALSE)+O8),0)</f>
        <v>79929.111558861259</v>
      </c>
      <c r="S8" s="26">
        <f>IFERROR((VLOOKUP(A8,'DEAnorm R-nett'!$A$4:$H$86,8,FALSE)+N8+K8),N8+K8)</f>
        <v>15804.721945640549</v>
      </c>
      <c r="T8" s="151">
        <f>IFERROR(VLOOKUP(A8,IRData!$A$3:$AN$146,40,FALSE),0)</f>
        <v>0</v>
      </c>
      <c r="U8" s="54">
        <f>(1-Forutsetninger!$B$3)*Q8+(R8+S8+T8)*Forutsetninger!$B$3</f>
        <v>89922.700102701085</v>
      </c>
      <c r="V8" s="47">
        <f t="shared" si="1"/>
        <v>21865.731639654186</v>
      </c>
      <c r="W8" s="208">
        <f t="shared" si="2"/>
        <v>0.10509492491241311</v>
      </c>
      <c r="X8" s="47">
        <f>(R8+S8+T8)-G8*($K$159+$K$153)/Forutsetninger!$B$3</f>
        <v>105594.96660870584</v>
      </c>
      <c r="Y8" s="278">
        <f>ROUND((1-Forutsetninger!$B$3)*Q8+Forutsetninger!$B$3*X8,0)</f>
        <v>95839</v>
      </c>
      <c r="Z8" s="47">
        <v>95778</v>
      </c>
      <c r="AA8" s="73">
        <f t="shared" si="5"/>
        <v>61</v>
      </c>
      <c r="AB8" s="269">
        <f t="shared" si="6"/>
        <v>6.3688947357430723E-4</v>
      </c>
      <c r="AC8" s="66">
        <f t="shared" si="7"/>
        <v>61</v>
      </c>
      <c r="AD8" s="256">
        <f>VLOOKUP(A8,IR2016prnettnivå!$B$2:$K$133,8,FALSE)</f>
        <v>0.76969293044134512</v>
      </c>
      <c r="AE8" s="256">
        <f>VLOOKUP(A8,IR2016prnettnivå!$B$2:$K$133,9,FALSE)</f>
        <v>0.2303070695586549</v>
      </c>
      <c r="AF8" s="256">
        <f>VLOOKUP(A8,IR2016prnettnivå!$B$2:$K$133,10,FALSE)</f>
        <v>0</v>
      </c>
      <c r="AG8" s="277">
        <f t="shared" si="8"/>
        <v>46.951268756922055</v>
      </c>
      <c r="AH8" s="277">
        <f t="shared" si="9"/>
        <v>14.048731243077949</v>
      </c>
      <c r="AI8" s="277">
        <f t="shared" si="10"/>
        <v>0</v>
      </c>
      <c r="AJ8" s="277">
        <f t="shared" si="11"/>
        <v>0.6009762400886024</v>
      </c>
      <c r="AK8" s="277">
        <f t="shared" si="12"/>
        <v>0.17982375991139779</v>
      </c>
      <c r="AL8" s="277">
        <f t="shared" si="13"/>
        <v>0</v>
      </c>
    </row>
    <row r="9" spans="1:42" x14ac:dyDescent="0.2">
      <c r="A9">
        <v>142014</v>
      </c>
      <c r="B9" s="1" t="s">
        <v>203</v>
      </c>
      <c r="C9" s="99">
        <f>VLOOKUP(A9,IRData!$A$3:$F$146,6,FALSE)</f>
        <v>20616.770660400391</v>
      </c>
      <c r="D9" s="52">
        <f>C9*Forutsetninger!$C$23</f>
        <v>21689.433191180171</v>
      </c>
      <c r="E9" s="50">
        <f>VLOOKUP($A9,IRData!$A$2:$N$146,7,FALSE)</f>
        <v>11133</v>
      </c>
      <c r="F9" s="50">
        <f>VLOOKUP($A9,IRData!$A$2:$N$146,8,FALSE)</f>
        <v>156407</v>
      </c>
      <c r="G9" s="50">
        <f>VLOOKUP($A9,IRData!$A$2:$N$146,9,FALSE)</f>
        <v>157971.07</v>
      </c>
      <c r="H9" s="50">
        <f>VLOOKUP($A9,IRData!$A$2:$N$146,10,FALSE)</f>
        <v>12523</v>
      </c>
      <c r="I9" s="50">
        <f>VLOOKUP($A9,IRData!$A$2:$N$146,11,FALSE)</f>
        <v>2938</v>
      </c>
      <c r="J9" s="52">
        <f>VLOOKUP(A9,IRData!$A$3:$AF$146,32,FALSE)</f>
        <v>3089.298933416605</v>
      </c>
      <c r="K9" s="52">
        <f>VLOOKUP(A9,IRData!$A$3:$AM$146,37,FALSE)</f>
        <v>724.7752348780632</v>
      </c>
      <c r="L9" s="145">
        <f>VLOOKUP($A9,IRData!$A$2:$N$146,13,FALSE)</f>
        <v>1305</v>
      </c>
      <c r="M9" s="51">
        <f>L9*Forutsetninger!$C$17</f>
        <v>1380.3067932797662</v>
      </c>
      <c r="N9" s="145">
        <f>VLOOKUP(A9,IRData!$A$3:$E$146,5,FALSE)*Forutsetninger!$C$23</f>
        <v>0</v>
      </c>
      <c r="O9" s="145">
        <f>VLOOKUP(A9,IRData!$A$3:$AG$146,19,FALSE)*Forutsetninger!$C$17</f>
        <v>0</v>
      </c>
      <c r="P9" s="52">
        <f t="shared" si="0"/>
        <v>38016.814152754603</v>
      </c>
      <c r="Q9" s="253">
        <f>ROUND(D9+E9+J9+K9+M9+G9*Forutsetninger!$B$5+N9,0)</f>
        <v>48001</v>
      </c>
      <c r="R9" s="53">
        <f>IFERROR((VLOOKUP(A9,'DEAnorm D-nett'!$A$4:$H$134,8,FALSE)+O9),0)</f>
        <v>41819.443527823001</v>
      </c>
      <c r="S9" s="26">
        <f>IFERROR((VLOOKUP(A9,'DEAnorm R-nett'!$A$4:$H$86,8,FALSE)+N9+K9),N9+K9)</f>
        <v>8650.0055294059384</v>
      </c>
      <c r="T9" s="151">
        <f>IFERROR(VLOOKUP(A9,IRData!$A$3:$AN$146,40,FALSE),0)</f>
        <v>0</v>
      </c>
      <c r="U9" s="54">
        <f>(1-Forutsetninger!$B$3)*Q9+(R9+S9+T9)*Forutsetninger!$B$3</f>
        <v>49482.069434337362</v>
      </c>
      <c r="V9" s="47">
        <f t="shared" si="1"/>
        <v>11465.255281582758</v>
      </c>
      <c r="W9" s="208">
        <f t="shared" si="2"/>
        <v>7.2578196005020149E-2</v>
      </c>
      <c r="X9" s="47">
        <f>(R9+S9+T9)-G9*($K$159+$K$153)/Forutsetninger!$B$3</f>
        <v>57956.695208528428</v>
      </c>
      <c r="Y9" s="278">
        <f>ROUND((1-Forutsetninger!$B$3)*Q9+Forutsetninger!$B$3*X9,0)</f>
        <v>53974</v>
      </c>
      <c r="Z9" s="47">
        <v>53941</v>
      </c>
      <c r="AA9" s="73">
        <f t="shared" si="5"/>
        <v>33</v>
      </c>
      <c r="AB9" s="269">
        <f t="shared" si="6"/>
        <v>6.1177953690142936E-4</v>
      </c>
      <c r="AC9" s="66">
        <f t="shared" si="7"/>
        <v>33</v>
      </c>
      <c r="AD9" s="268">
        <f>AD32</f>
        <v>0.99913935585699609</v>
      </c>
      <c r="AE9" s="268">
        <f t="shared" ref="AE9:AF9" si="14">AE32</f>
        <v>8.6064414300391604E-4</v>
      </c>
      <c r="AF9" s="268">
        <f t="shared" si="14"/>
        <v>0</v>
      </c>
      <c r="AG9" s="277">
        <f t="shared" si="8"/>
        <v>32.971598743280872</v>
      </c>
      <c r="AH9" s="277">
        <f t="shared" si="9"/>
        <v>2.8401256719129228E-2</v>
      </c>
      <c r="AI9" s="277">
        <f t="shared" si="10"/>
        <v>0</v>
      </c>
      <c r="AJ9" s="277">
        <f t="shared" si="11"/>
        <v>0.42203646391399524</v>
      </c>
      <c r="AK9" s="277">
        <f t="shared" si="12"/>
        <v>3.635360860048542E-4</v>
      </c>
      <c r="AL9" s="277">
        <f t="shared" si="13"/>
        <v>0</v>
      </c>
    </row>
    <row r="10" spans="1:42" x14ac:dyDescent="0.2">
      <c r="A10">
        <v>4182014</v>
      </c>
      <c r="B10" s="1" t="s">
        <v>118</v>
      </c>
      <c r="C10" s="99">
        <f>VLOOKUP(A10,IRData!$A$3:$F$146,6,FALSE)</f>
        <v>11092.038208007813</v>
      </c>
      <c r="D10" s="52">
        <f>C10*Forutsetninger!$C$23</f>
        <v>11669.141866562873</v>
      </c>
      <c r="E10" s="50">
        <f>VLOOKUP($A10,IRData!$A$2:$N$146,7,FALSE)</f>
        <v>3474</v>
      </c>
      <c r="F10" s="50">
        <f>VLOOKUP($A10,IRData!$A$2:$N$146,8,FALSE)</f>
        <v>41167</v>
      </c>
      <c r="G10" s="50">
        <f>VLOOKUP($A10,IRData!$A$2:$N$146,9,FALSE)</f>
        <v>41578.67</v>
      </c>
      <c r="H10" s="50">
        <f>VLOOKUP($A10,IRData!$A$2:$N$146,10,FALSE)</f>
        <v>2339</v>
      </c>
      <c r="I10" s="50">
        <f>VLOOKUP($A10,IRData!$A$2:$N$146,11,FALSE)</f>
        <v>0</v>
      </c>
      <c r="J10" s="52">
        <f>VLOOKUP(A10,IRData!$A$3:$AF$146,32,FALSE)</f>
        <v>577.00792184472084</v>
      </c>
      <c r="K10" s="52">
        <f>VLOOKUP(A10,IRData!$A$3:$AM$146,37,FALSE)</f>
        <v>0</v>
      </c>
      <c r="L10" s="145">
        <f>VLOOKUP($A10,IRData!$A$2:$N$146,13,FALSE)</f>
        <v>1565</v>
      </c>
      <c r="M10" s="51">
        <f>L10*Forutsetninger!$C$17</f>
        <v>1655.3104455807159</v>
      </c>
      <c r="N10" s="145">
        <f>VLOOKUP(A10,IRData!$A$3:$E$146,5,FALSE)*Forutsetninger!$C$23</f>
        <v>0</v>
      </c>
      <c r="O10" s="145">
        <f>VLOOKUP(A10,IRData!$A$3:$AG$146,19,FALSE)*Forutsetninger!$C$17</f>
        <v>174.01385404420995</v>
      </c>
      <c r="P10" s="52">
        <f t="shared" si="0"/>
        <v>17375.460233988309</v>
      </c>
      <c r="Q10" s="253">
        <f>ROUND(D10+E10+J10+K10+M10+G10*Forutsetninger!$B$5+N10,0)</f>
        <v>20003</v>
      </c>
      <c r="R10" s="53">
        <f>IFERROR((VLOOKUP(A10,'DEAnorm D-nett'!$A$4:$H$134,8,FALSE)+O10),0)</f>
        <v>18211.126777756101</v>
      </c>
      <c r="S10" s="26">
        <f>IFERROR((VLOOKUP(A10,'DEAnorm R-nett'!$A$4:$H$86,8,FALSE)+N10+K10),N10+K10)</f>
        <v>0</v>
      </c>
      <c r="T10" s="151">
        <f>IFERROR(VLOOKUP(A10,IRData!$A$3:$AN$146,40,FALSE),0)</f>
        <v>0</v>
      </c>
      <c r="U10" s="54">
        <f>(1-Forutsetninger!$B$3)*Q10+(R10+S10+T10)*Forutsetninger!$B$3</f>
        <v>18927.876066653662</v>
      </c>
      <c r="V10" s="47">
        <f t="shared" si="1"/>
        <v>1552.4158326653524</v>
      </c>
      <c r="W10" s="208">
        <f t="shared" si="2"/>
        <v>3.7336832387023261E-2</v>
      </c>
      <c r="X10" s="47">
        <f>(R10+S10+T10)-G10*($K$159+$K$153)/Forutsetninger!$B$3</f>
        <v>20181.802401676679</v>
      </c>
      <c r="Y10" s="278">
        <f>ROUND((1-Forutsetninger!$B$3)*Q10+Forutsetninger!$B$3*X10,0)</f>
        <v>20110</v>
      </c>
      <c r="Z10" s="47">
        <v>20140</v>
      </c>
      <c r="AA10" s="73">
        <f t="shared" si="5"/>
        <v>-30</v>
      </c>
      <c r="AB10" s="269">
        <f t="shared" si="6"/>
        <v>-1.4895729890764648E-3</v>
      </c>
      <c r="AC10" s="66">
        <f t="shared" si="7"/>
        <v>0</v>
      </c>
      <c r="AD10" s="256">
        <f>VLOOKUP(A10,IR2016prnettnivå!$B$2:$K$133,8,FALSE)</f>
        <v>1</v>
      </c>
      <c r="AE10" s="256">
        <f>VLOOKUP(A10,IR2016prnettnivå!$B$2:$K$133,9,FALSE)</f>
        <v>0</v>
      </c>
      <c r="AF10" s="256">
        <f>VLOOKUP(A10,IR2016prnettnivå!$B$2:$K$133,10,FALSE)</f>
        <v>0</v>
      </c>
      <c r="AG10" s="277">
        <f t="shared" si="8"/>
        <v>0</v>
      </c>
      <c r="AH10" s="277">
        <f t="shared" si="9"/>
        <v>0</v>
      </c>
      <c r="AI10" s="277">
        <f t="shared" si="10"/>
        <v>0</v>
      </c>
      <c r="AJ10" s="277">
        <f t="shared" si="11"/>
        <v>0</v>
      </c>
      <c r="AK10" s="277">
        <f t="shared" si="12"/>
        <v>0</v>
      </c>
      <c r="AL10" s="277">
        <f t="shared" si="13"/>
        <v>0</v>
      </c>
    </row>
    <row r="11" spans="1:42" x14ac:dyDescent="0.2">
      <c r="A11">
        <v>162014</v>
      </c>
      <c r="B11" s="1" t="s">
        <v>368</v>
      </c>
      <c r="C11" s="99">
        <f>VLOOKUP(A11,IRData!$A$3:$F$146,6,FALSE)</f>
        <v>17933.135375976563</v>
      </c>
      <c r="D11" s="52">
        <f>C11*Forutsetninger!$C$23</f>
        <v>18866.172013676536</v>
      </c>
      <c r="E11" s="50">
        <f>VLOOKUP($A11,IRData!$A$2:$N$146,7,FALSE)</f>
        <v>4229</v>
      </c>
      <c r="F11" s="50">
        <f>VLOOKUP($A11,IRData!$A$2:$N$146,8,FALSE)</f>
        <v>56898</v>
      </c>
      <c r="G11" s="50">
        <f>VLOOKUP($A11,IRData!$A$2:$N$146,9,FALSE)</f>
        <v>57466.98</v>
      </c>
      <c r="H11" s="50">
        <f>VLOOKUP($A11,IRData!$A$2:$N$146,10,FALSE)</f>
        <v>7116</v>
      </c>
      <c r="I11" s="50">
        <f>VLOOKUP($A11,IRData!$A$2:$N$146,11,FALSE)</f>
        <v>0</v>
      </c>
      <c r="J11" s="52">
        <f>VLOOKUP(A11,IRData!$A$3:$AF$146,32,FALSE)</f>
        <v>1755.4460760354996</v>
      </c>
      <c r="K11" s="52">
        <f>VLOOKUP(A11,IRData!$A$3:$AM$146,37,FALSE)</f>
        <v>0</v>
      </c>
      <c r="L11" s="145">
        <f>VLOOKUP($A11,IRData!$A$2:$N$146,13,FALSE)</f>
        <v>1012</v>
      </c>
      <c r="M11" s="51">
        <f>L11*Forutsetninger!$C$17</f>
        <v>1070.3988312636961</v>
      </c>
      <c r="N11" s="145">
        <f>VLOOKUP(A11,IRData!$A$3:$E$146,5,FALSE)*Forutsetninger!$C$23</f>
        <v>0</v>
      </c>
      <c r="O11" s="145">
        <f>VLOOKUP(A11,IRData!$A$3:$AG$146,19,FALSE)*Forutsetninger!$C$17</f>
        <v>0</v>
      </c>
      <c r="P11" s="52">
        <f t="shared" si="0"/>
        <v>25921.016920975733</v>
      </c>
      <c r="Q11" s="253">
        <f>ROUND(D11+E11+J11+K11+M11+G11*Forutsetninger!$B$5+N11,0)</f>
        <v>29553</v>
      </c>
      <c r="R11" s="53">
        <f>IFERROR((VLOOKUP(A11,'DEAnorm D-nett'!$A$4:$H$134,8,FALSE)+O11),0)</f>
        <v>22607.784114898994</v>
      </c>
      <c r="S11" s="26">
        <f>IFERROR((VLOOKUP(A11,'DEAnorm R-nett'!$A$4:$H$86,8,FALSE)+N11+K11),N11+K11)</f>
        <v>0</v>
      </c>
      <c r="T11" s="151">
        <f>IFERROR(VLOOKUP(A11,IRData!$A$3:$AN$146,40,FALSE),0)</f>
        <v>0</v>
      </c>
      <c r="U11" s="54">
        <f>(1-Forutsetninger!$B$3)*Q11+(R11+S11+T11)*Forutsetninger!$B$3</f>
        <v>25385.870468939396</v>
      </c>
      <c r="V11" s="47">
        <f t="shared" si="1"/>
        <v>-535.146452036337</v>
      </c>
      <c r="W11" s="208">
        <f t="shared" si="2"/>
        <v>-9.3122424744842506E-3</v>
      </c>
      <c r="X11" s="47">
        <f>(R11+S11+T11)-G11*($K$159+$K$153)/Forutsetninger!$B$3</f>
        <v>25331.507039810531</v>
      </c>
      <c r="Y11" s="278">
        <f>ROUND((1-Forutsetninger!$B$3)*Q11+Forutsetninger!$B$3*X11,0)</f>
        <v>27020</v>
      </c>
      <c r="Z11" s="47">
        <v>26958</v>
      </c>
      <c r="AA11" s="73">
        <f t="shared" si="5"/>
        <v>62</v>
      </c>
      <c r="AB11" s="269">
        <f t="shared" si="6"/>
        <v>2.2998738778841161E-3</v>
      </c>
      <c r="AC11" s="297">
        <v>0</v>
      </c>
      <c r="AD11" s="256">
        <f>VLOOKUP(A11,IR2016prnettnivå!$B$2:$K$133,8,FALSE)</f>
        <v>1</v>
      </c>
      <c r="AE11" s="256">
        <f>VLOOKUP(A11,IR2016prnettnivå!$B$2:$K$133,9,FALSE)</f>
        <v>0</v>
      </c>
      <c r="AF11" s="256">
        <f>VLOOKUP(A11,IR2016prnettnivå!$B$2:$K$133,10,FALSE)</f>
        <v>0</v>
      </c>
      <c r="AG11" s="277">
        <f t="shared" si="8"/>
        <v>0</v>
      </c>
      <c r="AH11" s="277">
        <f t="shared" si="9"/>
        <v>0</v>
      </c>
      <c r="AI11" s="277">
        <f t="shared" si="10"/>
        <v>0</v>
      </c>
      <c r="AJ11" s="277">
        <f t="shared" si="11"/>
        <v>0</v>
      </c>
      <c r="AK11" s="277">
        <f t="shared" si="12"/>
        <v>0</v>
      </c>
      <c r="AL11" s="277">
        <f t="shared" si="13"/>
        <v>0</v>
      </c>
      <c r="AN11" s="275" t="s">
        <v>528</v>
      </c>
    </row>
    <row r="12" spans="1:42" x14ac:dyDescent="0.2">
      <c r="A12">
        <v>182014</v>
      </c>
      <c r="B12" s="1" t="s">
        <v>204</v>
      </c>
      <c r="C12" s="99">
        <f>VLOOKUP(A12,IRData!$A$3:$F$146,6,FALSE)</f>
        <v>11689.788028717041</v>
      </c>
      <c r="D12" s="52">
        <f>C12*Forutsetninger!$C$23</f>
        <v>12297.991797275588</v>
      </c>
      <c r="E12" s="50">
        <f>VLOOKUP($A12,IRData!$A$2:$N$146,7,FALSE)</f>
        <v>4111</v>
      </c>
      <c r="F12" s="50">
        <f>VLOOKUP($A12,IRData!$A$2:$N$146,8,FALSE)</f>
        <v>55088</v>
      </c>
      <c r="G12" s="50">
        <f>VLOOKUP($A12,IRData!$A$2:$N$146,9,FALSE)</f>
        <v>55638.879999999997</v>
      </c>
      <c r="H12" s="50">
        <f>VLOOKUP($A12,IRData!$A$2:$N$146,10,FALSE)</f>
        <v>3760</v>
      </c>
      <c r="I12" s="50">
        <f>VLOOKUP($A12,IRData!$A$2:$N$146,11,FALSE)</f>
        <v>95</v>
      </c>
      <c r="J12" s="52">
        <f>VLOOKUP(A12,IRData!$A$3:$AF$146,32,FALSE)</f>
        <v>919.13201093673706</v>
      </c>
      <c r="K12" s="52">
        <f>VLOOKUP(A12,IRData!$A$3:$AM$146,37,FALSE)</f>
        <v>23.222750276327133</v>
      </c>
      <c r="L12" s="145">
        <f>VLOOKUP($A12,IRData!$A$2:$N$146,13,FALSE)</f>
        <v>594</v>
      </c>
      <c r="M12" s="51">
        <f>L12*Forutsetninger!$C$17</f>
        <v>628.27757487216945</v>
      </c>
      <c r="N12" s="145">
        <f>VLOOKUP(A12,IRData!$A$3:$E$146,5,FALSE)*Forutsetninger!$C$23</f>
        <v>0</v>
      </c>
      <c r="O12" s="145">
        <f>VLOOKUP(A12,IRData!$A$3:$AG$146,19,FALSE)*Forutsetninger!$C$17</f>
        <v>208.81238666810285</v>
      </c>
      <c r="P12" s="52">
        <f t="shared" si="0"/>
        <v>17979.62413336082</v>
      </c>
      <c r="Q12" s="253">
        <f>ROUND(D12+E12+J12+K12+M12+G12*Forutsetninger!$B$5+N12,0)</f>
        <v>21496</v>
      </c>
      <c r="R12" s="53">
        <f>IFERROR((VLOOKUP(A12,'DEAnorm D-nett'!$A$4:$H$134,8,FALSE)+O12),0)</f>
        <v>22596.902040407327</v>
      </c>
      <c r="S12" s="26">
        <f>IFERROR((VLOOKUP(A12,'DEAnorm R-nett'!$A$4:$H$86,8,FALSE)+N12+K12),N12+K12)</f>
        <v>1096.4507333857684</v>
      </c>
      <c r="T12" s="151">
        <f>IFERROR(VLOOKUP(A12,IRData!$A$3:$AN$146,40,FALSE),0)</f>
        <v>0</v>
      </c>
      <c r="U12" s="54">
        <f>(1-Forutsetninger!$B$3)*Q12+(R12+S12+T12)*Forutsetninger!$B$3</f>
        <v>22814.411664275856</v>
      </c>
      <c r="V12" s="47">
        <f t="shared" si="1"/>
        <v>4834.7875309150368</v>
      </c>
      <c r="W12" s="208">
        <f t="shared" si="2"/>
        <v>8.6895845691269069E-2</v>
      </c>
      <c r="X12" s="47">
        <f>(R12+S12+T12)-G12*($K$159+$K$153)/Forutsetninger!$B$3</f>
        <v>26330.430500383252</v>
      </c>
      <c r="Y12" s="278">
        <f>ROUND((1-Forutsetninger!$B$3)*Q12+Forutsetninger!$B$3*X12,0)</f>
        <v>24397</v>
      </c>
      <c r="Z12" s="47">
        <v>24478</v>
      </c>
      <c r="AA12" s="73">
        <f t="shared" si="5"/>
        <v>-81</v>
      </c>
      <c r="AB12" s="269">
        <f t="shared" si="6"/>
        <v>-3.3090938802189723E-3</v>
      </c>
      <c r="AC12" s="66">
        <f t="shared" si="7"/>
        <v>0</v>
      </c>
      <c r="AD12" s="256">
        <f>VLOOKUP(A12,IR2016prnettnivå!$B$2:$K$133,8,FALSE)</f>
        <v>0.93998692703652265</v>
      </c>
      <c r="AE12" s="256">
        <f>VLOOKUP(A12,IR2016prnettnivå!$B$2:$K$133,9,FALSE)</f>
        <v>6.001307296347741E-2</v>
      </c>
      <c r="AF12" s="256">
        <f>VLOOKUP(A12,IR2016prnettnivå!$B$2:$K$133,10,FALSE)</f>
        <v>0</v>
      </c>
      <c r="AG12" s="277">
        <f t="shared" si="8"/>
        <v>0</v>
      </c>
      <c r="AH12" s="277">
        <f t="shared" si="9"/>
        <v>0</v>
      </c>
      <c r="AI12" s="277">
        <f t="shared" si="10"/>
        <v>0</v>
      </c>
      <c r="AJ12" s="277">
        <f t="shared" si="11"/>
        <v>0</v>
      </c>
      <c r="AK12" s="277">
        <f t="shared" si="12"/>
        <v>0</v>
      </c>
      <c r="AL12" s="277">
        <f t="shared" si="13"/>
        <v>0</v>
      </c>
    </row>
    <row r="13" spans="1:42" x14ac:dyDescent="0.2">
      <c r="A13">
        <v>222014</v>
      </c>
      <c r="B13" s="1" t="s">
        <v>106</v>
      </c>
      <c r="C13" s="99">
        <f>VLOOKUP(A13,IRData!$A$3:$F$146,6,FALSE)</f>
        <v>6427.5684051513672</v>
      </c>
      <c r="D13" s="52">
        <f>C13*Forutsetninger!$C$23</f>
        <v>6761.9860453239207</v>
      </c>
      <c r="E13" s="50">
        <f>VLOOKUP($A13,IRData!$A$2:$N$146,7,FALSE)</f>
        <v>1404</v>
      </c>
      <c r="F13" s="50">
        <f>VLOOKUP($A13,IRData!$A$2:$N$146,8,FALSE)</f>
        <v>27399</v>
      </c>
      <c r="G13" s="50">
        <f>VLOOKUP($A13,IRData!$A$2:$N$146,9,FALSE)</f>
        <v>27672.99</v>
      </c>
      <c r="H13" s="50">
        <f>VLOOKUP($A13,IRData!$A$2:$N$146,10,FALSE)</f>
        <v>1442</v>
      </c>
      <c r="I13" s="50">
        <f>VLOOKUP($A13,IRData!$A$2:$N$146,11,FALSE)</f>
        <v>0</v>
      </c>
      <c r="J13" s="52">
        <f>VLOOKUP(A13,IRData!$A$3:$AF$146,32,FALSE)</f>
        <v>352.49690419435501</v>
      </c>
      <c r="K13" s="52">
        <f>VLOOKUP(A13,IRData!$A$3:$AM$146,37,FALSE)</f>
        <v>0</v>
      </c>
      <c r="L13" s="145">
        <f>VLOOKUP($A13,IRData!$A$2:$N$146,13,FALSE)</f>
        <v>357</v>
      </c>
      <c r="M13" s="51">
        <f>L13*Forutsetninger!$C$17</f>
        <v>377.60116873630386</v>
      </c>
      <c r="N13" s="145">
        <f>VLOOKUP(A13,IRData!$A$3:$E$146,5,FALSE)*Forutsetninger!$C$23</f>
        <v>0</v>
      </c>
      <c r="O13" s="145">
        <f>VLOOKUP(A13,IRData!$A$3:$AG$146,19,FALSE)*Forutsetninger!$C$17</f>
        <v>0</v>
      </c>
      <c r="P13" s="52">
        <f t="shared" si="0"/>
        <v>8896.0841182545792</v>
      </c>
      <c r="Q13" s="253">
        <f>ROUND(D13+E13+J13+K13+M13+G13*Forutsetninger!$B$5+N13,0)</f>
        <v>10645</v>
      </c>
      <c r="R13" s="53">
        <f>IFERROR((VLOOKUP(A13,'DEAnorm D-nett'!$A$4:$H$134,8,FALSE)+O13),0)</f>
        <v>10562.336920557149</v>
      </c>
      <c r="S13" s="26">
        <f>IFERROR((VLOOKUP(A13,'DEAnorm R-nett'!$A$4:$H$86,8,FALSE)+N13+K13),N13+K13)</f>
        <v>0</v>
      </c>
      <c r="T13" s="151">
        <f>IFERROR(VLOOKUP(A13,IRData!$A$3:$AN$146,40,FALSE),0)</f>
        <v>0</v>
      </c>
      <c r="U13" s="54">
        <f>(1-Forutsetninger!$B$3)*Q13+(R13+S13+T13)*Forutsetninger!$B$3</f>
        <v>10595.402152334289</v>
      </c>
      <c r="V13" s="47">
        <f t="shared" si="1"/>
        <v>1699.3180340797098</v>
      </c>
      <c r="W13" s="208">
        <f t="shared" si="2"/>
        <v>6.1407098910515621E-2</v>
      </c>
      <c r="X13" s="47">
        <f>(R13+S13+T13)-G13*($K$159+$K$153)/Forutsetninger!$B$3</f>
        <v>11873.934593931453</v>
      </c>
      <c r="Y13" s="278">
        <f>ROUND((1-Forutsetninger!$B$3)*Q13+Forutsetninger!$B$3*X13,0)</f>
        <v>11382</v>
      </c>
      <c r="Z13" s="47">
        <v>11430</v>
      </c>
      <c r="AA13" s="73">
        <f t="shared" si="5"/>
        <v>-48</v>
      </c>
      <c r="AB13" s="269">
        <f t="shared" si="6"/>
        <v>-4.1994750656167978E-3</v>
      </c>
      <c r="AC13" s="66">
        <f t="shared" si="7"/>
        <v>0</v>
      </c>
      <c r="AD13" s="256">
        <f>VLOOKUP(A13,IR2016prnettnivå!$B$2:$K$133,8,FALSE)</f>
        <v>1</v>
      </c>
      <c r="AE13" s="256">
        <f>VLOOKUP(A13,IR2016prnettnivå!$B$2:$K$133,9,FALSE)</f>
        <v>0</v>
      </c>
      <c r="AF13" s="256">
        <f>VLOOKUP(A13,IR2016prnettnivå!$B$2:$K$133,10,FALSE)</f>
        <v>0</v>
      </c>
      <c r="AG13" s="277">
        <f t="shared" si="8"/>
        <v>0</v>
      </c>
      <c r="AH13" s="277">
        <f t="shared" si="9"/>
        <v>0</v>
      </c>
      <c r="AI13" s="277">
        <f t="shared" si="10"/>
        <v>0</v>
      </c>
      <c r="AJ13" s="277">
        <f t="shared" si="11"/>
        <v>0</v>
      </c>
      <c r="AK13" s="277">
        <f t="shared" si="12"/>
        <v>0</v>
      </c>
      <c r="AL13" s="277">
        <f t="shared" si="13"/>
        <v>0</v>
      </c>
    </row>
    <row r="14" spans="1:42" x14ac:dyDescent="0.2">
      <c r="A14">
        <v>5662014</v>
      </c>
      <c r="B14" s="1" t="s">
        <v>122</v>
      </c>
      <c r="C14" s="99">
        <f>VLOOKUP(A14,IRData!$A$3:$F$146,6,FALSE)</f>
        <v>564841.51416015625</v>
      </c>
      <c r="D14" s="52">
        <f>C14*Forutsetninger!$C$23</f>
        <v>594229.44974175864</v>
      </c>
      <c r="E14" s="50">
        <f>VLOOKUP($A14,IRData!$A$2:$N$146,7,FALSE)</f>
        <v>269571</v>
      </c>
      <c r="F14" s="50">
        <f>VLOOKUP($A14,IRData!$A$2:$N$146,8,FALSE)</f>
        <v>3778432</v>
      </c>
      <c r="G14" s="50">
        <f>VLOOKUP($A14,IRData!$A$2:$N$146,9,FALSE)</f>
        <v>3816216.3200000003</v>
      </c>
      <c r="H14" s="50">
        <f>VLOOKUP($A14,IRData!$A$2:$N$146,10,FALSE)</f>
        <v>195560</v>
      </c>
      <c r="I14" s="50">
        <f>VLOOKUP($A14,IRData!$A$2:$N$146,11,FALSE)</f>
        <v>98408</v>
      </c>
      <c r="J14" s="52">
        <f>VLOOKUP(A14,IRData!$A$3:$AF$146,32,FALSE)</f>
        <v>48242.697390317917</v>
      </c>
      <c r="K14" s="52">
        <f>VLOOKUP(A14,IRData!$A$3:$AM$146,37,FALSE)</f>
        <v>24276.270018339157</v>
      </c>
      <c r="L14" s="145">
        <f>VLOOKUP($A14,IRData!$A$2:$N$146,13,FALSE)</f>
        <v>51259</v>
      </c>
      <c r="M14" s="51">
        <f>L14*Forutsetninger!$C$17</f>
        <v>54216.970051132215</v>
      </c>
      <c r="N14" s="145">
        <f>VLOOKUP(A14,IRData!$A$3:$E$146,5,FALSE)*Forutsetninger!$C$23</f>
        <v>2829.9570405727923</v>
      </c>
      <c r="O14" s="145">
        <f>VLOOKUP(A14,IRData!$A$3:$AG$146,19,FALSE)*Forutsetninger!$C$17</f>
        <v>29547.714949324323</v>
      </c>
      <c r="P14" s="52">
        <f t="shared" si="0"/>
        <v>993366.34424212074</v>
      </c>
      <c r="Q14" s="253">
        <f>ROUND(D14+E14+J14+K14+M14+G14*Forutsetninger!$B$5+N14,0)</f>
        <v>1234551</v>
      </c>
      <c r="R14" s="53">
        <f>IFERROR((VLOOKUP(A14,'DEAnorm D-nett'!$A$4:$H$134,8,FALSE)+O14),0)</f>
        <v>829951.71219839237</v>
      </c>
      <c r="S14" s="26">
        <f>IFERROR((VLOOKUP(A14,'DEAnorm R-nett'!$A$4:$H$86,8,FALSE)+N14+K14),N14+K14)</f>
        <v>263139.75370766281</v>
      </c>
      <c r="T14" s="151">
        <f>IFERROR(VLOOKUP(A14,IRData!$A$3:$AN$146,40,FALSE),0)</f>
        <v>42389.572273980608</v>
      </c>
      <c r="U14" s="54">
        <f>(1-Forutsetninger!$B$3)*Q14+(R14+S14+T14)*Forutsetninger!$B$3</f>
        <v>1175109.0229080215</v>
      </c>
      <c r="V14" s="47">
        <f t="shared" si="1"/>
        <v>181742.67866590072</v>
      </c>
      <c r="W14" s="208">
        <f t="shared" si="2"/>
        <v>4.762378844024772E-2</v>
      </c>
      <c r="X14" s="47">
        <f>(R14+S14+T14)-G14*($K$159+$K$153)/Forutsetninger!$B$3</f>
        <v>1316355.6182816096</v>
      </c>
      <c r="Y14" s="278">
        <f>ROUND((1-Forutsetninger!$B$3)*Q14+Forutsetninger!$B$3*X14,0)</f>
        <v>1283634</v>
      </c>
      <c r="Z14" s="47">
        <v>1293918</v>
      </c>
      <c r="AA14" s="73">
        <f t="shared" si="5"/>
        <v>-10284</v>
      </c>
      <c r="AB14" s="269">
        <f t="shared" si="6"/>
        <v>-7.9479534251784122E-3</v>
      </c>
      <c r="AC14" s="66">
        <f t="shared" si="7"/>
        <v>0</v>
      </c>
      <c r="AD14" s="256">
        <f>VLOOKUP(A14,IR2016prnettnivå!$B$2:$K$133,8,FALSE)</f>
        <v>0.72607979545258472</v>
      </c>
      <c r="AE14" s="256">
        <f>VLOOKUP(A14,IR2016prnettnivå!$B$2:$K$133,9,FALSE)</f>
        <v>0.2508403855656034</v>
      </c>
      <c r="AF14" s="256">
        <f>VLOOKUP(A14,IR2016prnettnivå!$B$2:$K$133,10,FALSE)</f>
        <v>2.3079818981811908E-2</v>
      </c>
      <c r="AG14" s="277">
        <f t="shared" si="8"/>
        <v>0</v>
      </c>
      <c r="AH14" s="277">
        <f t="shared" si="9"/>
        <v>0</v>
      </c>
      <c r="AI14" s="277">
        <f t="shared" si="10"/>
        <v>0</v>
      </c>
      <c r="AJ14" s="277">
        <f t="shared" si="11"/>
        <v>0</v>
      </c>
      <c r="AK14" s="277">
        <f t="shared" si="12"/>
        <v>0</v>
      </c>
      <c r="AL14" s="277">
        <f t="shared" si="13"/>
        <v>0</v>
      </c>
    </row>
    <row r="15" spans="1:42" x14ac:dyDescent="0.2">
      <c r="A15">
        <v>2572014</v>
      </c>
      <c r="B15" s="1" t="s">
        <v>11</v>
      </c>
      <c r="C15" s="99">
        <f>VLOOKUP(A15,IRData!$A$3:$F$146,6,FALSE)</f>
        <v>47225.154312133789</v>
      </c>
      <c r="D15" s="52">
        <f>C15*Forutsetninger!$C$23</f>
        <v>49682.214846750772</v>
      </c>
      <c r="E15" s="50">
        <f>VLOOKUP($A15,IRData!$A$2:$N$146,7,FALSE)</f>
        <v>18736</v>
      </c>
      <c r="F15" s="50">
        <f>VLOOKUP($A15,IRData!$A$2:$N$146,8,FALSE)</f>
        <v>292652</v>
      </c>
      <c r="G15" s="50">
        <f>VLOOKUP($A15,IRData!$A$2:$N$146,9,FALSE)</f>
        <v>295578.52</v>
      </c>
      <c r="H15" s="50">
        <f>VLOOKUP($A15,IRData!$A$2:$N$146,10,FALSE)</f>
        <v>15178</v>
      </c>
      <c r="I15" s="50">
        <f>VLOOKUP($A15,IRData!$A$2:$N$146,11,FALSE)</f>
        <v>2678</v>
      </c>
      <c r="J15" s="52">
        <f>VLOOKUP(A15,IRData!$A$3:$AF$146,32,FALSE)</f>
        <v>3761.8673130273819</v>
      </c>
      <c r="K15" s="52">
        <f>VLOOKUP(A15,IRData!$A$3:$AM$146,37,FALSE)</f>
        <v>663.74230229854584</v>
      </c>
      <c r="L15" s="145">
        <f>VLOOKUP($A15,IRData!$A$2:$N$146,13,FALSE)</f>
        <v>6430</v>
      </c>
      <c r="M15" s="51">
        <f>L15*Forutsetninger!$C$17</f>
        <v>6801.0518626734838</v>
      </c>
      <c r="N15" s="145">
        <f>VLOOKUP(A15,IRData!$A$3:$E$146,5,FALSE)*Forutsetninger!$C$23</f>
        <v>0</v>
      </c>
      <c r="O15" s="145">
        <f>VLOOKUP(A15,IRData!$A$3:$AG$146,19,FALSE)*Forutsetninger!$C$17</f>
        <v>1740.1384436061905</v>
      </c>
      <c r="P15" s="52">
        <f t="shared" si="0"/>
        <v>79644.876324750192</v>
      </c>
      <c r="Q15" s="253">
        <f>ROUND(D15+E15+J15+K15+M15+G15*Forutsetninger!$B$5+N15,0)</f>
        <v>98325</v>
      </c>
      <c r="R15" s="53">
        <f>IFERROR((VLOOKUP(A15,'DEAnorm D-nett'!$A$4:$H$134,8,FALSE)+O15),0)</f>
        <v>82734.305655360295</v>
      </c>
      <c r="S15" s="26">
        <f>IFERROR((VLOOKUP(A15,'DEAnorm R-nett'!$A$4:$H$86,8,FALSE)+N15+K15),N15+K15)</f>
        <v>9211.9610679893558</v>
      </c>
      <c r="T15" s="151">
        <f>IFERROR(VLOOKUP(A15,IRData!$A$3:$AN$146,40,FALSE),0)</f>
        <v>0</v>
      </c>
      <c r="U15" s="54">
        <f>(1-Forutsetninger!$B$3)*Q15+(R15+S15+T15)*Forutsetninger!$B$3</f>
        <v>94497.760034009785</v>
      </c>
      <c r="V15" s="47">
        <f t="shared" si="1"/>
        <v>14852.883709259593</v>
      </c>
      <c r="W15" s="208">
        <f t="shared" si="2"/>
        <v>5.0250213409484532E-2</v>
      </c>
      <c r="X15" s="47">
        <f>(R15+S15+T15)-G15*($K$159+$K$153)/Forutsetninger!$B$3</f>
        <v>105955.5985350339</v>
      </c>
      <c r="Y15" s="278">
        <f>ROUND((1-Forutsetninger!$B$3)*Q15+Forutsetninger!$B$3*X15,0)</f>
        <v>102903</v>
      </c>
      <c r="Z15" s="47">
        <v>102847</v>
      </c>
      <c r="AA15" s="73">
        <f t="shared" si="5"/>
        <v>56</v>
      </c>
      <c r="AB15" s="269">
        <f t="shared" si="6"/>
        <v>5.4449813801083163E-4</v>
      </c>
      <c r="AC15" s="66">
        <f t="shared" si="7"/>
        <v>56</v>
      </c>
      <c r="AD15" s="256">
        <f>VLOOKUP(A15,IR2016prnettnivå!$B$2:$K$133,8,FALSE)</f>
        <v>0.94559880210409641</v>
      </c>
      <c r="AE15" s="256">
        <f>VLOOKUP(A15,IR2016prnettnivå!$B$2:$K$133,9,FALSE)</f>
        <v>5.440119789590362E-2</v>
      </c>
      <c r="AF15" s="256">
        <f>VLOOKUP(A15,IR2016prnettnivå!$B$2:$K$133,10,FALSE)</f>
        <v>0</v>
      </c>
      <c r="AG15" s="277">
        <f t="shared" si="8"/>
        <v>52.953532917829399</v>
      </c>
      <c r="AH15" s="277">
        <f t="shared" si="9"/>
        <v>3.0464670821706026</v>
      </c>
      <c r="AI15" s="277">
        <f t="shared" si="10"/>
        <v>0</v>
      </c>
      <c r="AJ15" s="277">
        <f t="shared" si="11"/>
        <v>0.67780522134821641</v>
      </c>
      <c r="AK15" s="277">
        <f t="shared" si="12"/>
        <v>3.8994778651783718E-2</v>
      </c>
      <c r="AL15" s="277">
        <f t="shared" si="13"/>
        <v>0</v>
      </c>
    </row>
    <row r="16" spans="1:42" x14ac:dyDescent="0.2">
      <c r="A16">
        <v>352014</v>
      </c>
      <c r="B16" s="1" t="s">
        <v>369</v>
      </c>
      <c r="C16" s="99">
        <f>VLOOKUP(A16,IRData!$A$3:$F$146,6,FALSE)</f>
        <v>12152.279541015625</v>
      </c>
      <c r="D16" s="52">
        <f>C16*Forutsetninger!$C$23</f>
        <v>12784.546113794004</v>
      </c>
      <c r="E16" s="50">
        <f>VLOOKUP($A16,IRData!$A$2:$N$146,7,FALSE)</f>
        <v>3925</v>
      </c>
      <c r="F16" s="50">
        <f>VLOOKUP($A16,IRData!$A$2:$N$146,8,FALSE)</f>
        <v>62323</v>
      </c>
      <c r="G16" s="50">
        <f>VLOOKUP($A16,IRData!$A$2:$N$146,9,FALSE)</f>
        <v>62946.229999999996</v>
      </c>
      <c r="H16" s="50">
        <f>VLOOKUP($A16,IRData!$A$2:$N$146,10,FALSE)</f>
        <v>5216</v>
      </c>
      <c r="I16" s="50">
        <f>VLOOKUP($A16,IRData!$A$2:$N$146,11,FALSE)</f>
        <v>0</v>
      </c>
      <c r="J16" s="52">
        <f>VLOOKUP(A16,IRData!$A$3:$AF$146,32,FALSE)</f>
        <v>1292.7856044769287</v>
      </c>
      <c r="K16" s="52">
        <f>VLOOKUP(A16,IRData!$A$3:$AM$146,37,FALSE)</f>
        <v>0</v>
      </c>
      <c r="L16" s="145">
        <f>VLOOKUP($A16,IRData!$A$2:$N$146,13,FALSE)</f>
        <v>222</v>
      </c>
      <c r="M16" s="51">
        <f>L16*Forutsetninger!$C$17</f>
        <v>234.81081081081081</v>
      </c>
      <c r="N16" s="145">
        <f>VLOOKUP(A16,IRData!$A$3:$E$146,5,FALSE)*Forutsetninger!$C$23</f>
        <v>0</v>
      </c>
      <c r="O16" s="145">
        <f>VLOOKUP(A16,IRData!$A$3:$AG$146,19,FALSE)*Forutsetninger!$C$17</f>
        <v>522.04154599331173</v>
      </c>
      <c r="P16" s="52">
        <f t="shared" si="0"/>
        <v>18237.142529081742</v>
      </c>
      <c r="Q16" s="253">
        <f>ROUND(D16+E16+J16+K16+M16+G16*Forutsetninger!$B$5+N16,0)</f>
        <v>22215</v>
      </c>
      <c r="R16" s="53">
        <f>IFERROR((VLOOKUP(A16,'DEAnorm D-nett'!$A$4:$H$134,8,FALSE)+O16),0)</f>
        <v>23356.839792270323</v>
      </c>
      <c r="S16" s="26">
        <f>IFERROR((VLOOKUP(A16,'DEAnorm R-nett'!$A$4:$H$86,8,FALSE)+N16+K16),N16+K16)</f>
        <v>640.27507024941451</v>
      </c>
      <c r="T16" s="151">
        <f>IFERROR(VLOOKUP(A16,IRData!$A$3:$AN$146,40,FALSE),0)</f>
        <v>0</v>
      </c>
      <c r="U16" s="54">
        <f>(1-Forutsetninger!$B$3)*Q16+(R16+S16+T16)*Forutsetninger!$B$3</f>
        <v>23284.268917511843</v>
      </c>
      <c r="V16" s="47">
        <f t="shared" si="1"/>
        <v>5047.1263884301006</v>
      </c>
      <c r="W16" s="208">
        <f t="shared" si="2"/>
        <v>8.018155159459274E-2</v>
      </c>
      <c r="X16" s="47">
        <f>(R16+S16+T16)-G16*($K$159+$K$153)/Forutsetninger!$B$3</f>
        <v>26980.534031018837</v>
      </c>
      <c r="Y16" s="278">
        <f>ROUND((1-Forutsetninger!$B$3)*Q16+Forutsetninger!$B$3*X16,0)</f>
        <v>25074</v>
      </c>
      <c r="Z16" s="47">
        <v>25075</v>
      </c>
      <c r="AA16" s="73">
        <f t="shared" si="5"/>
        <v>-1</v>
      </c>
      <c r="AB16" s="269">
        <f t="shared" si="6"/>
        <v>-3.9880358923230307E-5</v>
      </c>
      <c r="AC16" s="66">
        <f t="shared" si="7"/>
        <v>0</v>
      </c>
      <c r="AD16" s="256">
        <f>VLOOKUP(A16,IR2016prnettnivå!$B$2:$K$133,8,FALSE)</f>
        <v>1</v>
      </c>
      <c r="AE16" s="256">
        <f>VLOOKUP(A16,IR2016prnettnivå!$B$2:$K$133,9,FALSE)</f>
        <v>0</v>
      </c>
      <c r="AF16" s="256">
        <f>VLOOKUP(A16,IR2016prnettnivå!$B$2:$K$133,10,FALSE)</f>
        <v>0</v>
      </c>
      <c r="AG16" s="277">
        <f t="shared" si="8"/>
        <v>0</v>
      </c>
      <c r="AH16" s="277">
        <f t="shared" si="9"/>
        <v>0</v>
      </c>
      <c r="AI16" s="277">
        <f t="shared" si="10"/>
        <v>0</v>
      </c>
      <c r="AJ16" s="277">
        <f t="shared" si="11"/>
        <v>0</v>
      </c>
      <c r="AK16" s="277">
        <f t="shared" si="12"/>
        <v>0</v>
      </c>
      <c r="AL16" s="277">
        <f t="shared" si="13"/>
        <v>0</v>
      </c>
    </row>
    <row r="17" spans="1:38" x14ac:dyDescent="0.2">
      <c r="A17">
        <v>2712014</v>
      </c>
      <c r="B17" s="1" t="s">
        <v>55</v>
      </c>
      <c r="C17" s="99">
        <f>VLOOKUP(A17,IRData!$A$3:$F$146,6,FALSE)</f>
        <v>1348.5058400630951</v>
      </c>
      <c r="D17" s="52">
        <f>C17*Forutsetninger!$C$23</f>
        <v>1418.6667644386928</v>
      </c>
      <c r="E17" s="50">
        <f>VLOOKUP($A17,IRData!$A$2:$N$146,7,FALSE)</f>
        <v>23</v>
      </c>
      <c r="F17" s="50">
        <f>VLOOKUP($A17,IRData!$A$2:$N$146,8,FALSE)</f>
        <v>542</v>
      </c>
      <c r="G17" s="50">
        <f>VLOOKUP($A17,IRData!$A$2:$N$146,9,FALSE)</f>
        <v>547.41999999999996</v>
      </c>
      <c r="H17" s="50">
        <f>VLOOKUP($A17,IRData!$A$2:$N$146,10,FALSE)</f>
        <v>0</v>
      </c>
      <c r="I17" s="50">
        <f>VLOOKUP($A17,IRData!$A$2:$N$146,11,FALSE)</f>
        <v>4254</v>
      </c>
      <c r="J17" s="52">
        <f>VLOOKUP(A17,IRData!$A$3:$AF$146,32,FALSE)</f>
        <v>0</v>
      </c>
      <c r="K17" s="52">
        <f>VLOOKUP(A17,IRData!$A$3:$AM$146,37,FALSE)</f>
        <v>1176.6564137935638</v>
      </c>
      <c r="L17" s="145">
        <f>VLOOKUP($A17,IRData!$A$2:$N$146,13,FALSE)</f>
        <v>0</v>
      </c>
      <c r="M17" s="51">
        <f>L17*Forutsetninger!$C$17</f>
        <v>0</v>
      </c>
      <c r="N17" s="145">
        <f>VLOOKUP(A17,IRData!$A$3:$E$146,5,FALSE)*Forutsetninger!$C$23</f>
        <v>0</v>
      </c>
      <c r="O17" s="145">
        <f>VLOOKUP(A17,IRData!$A$3:$AG$146,19,FALSE)*Forutsetninger!$C$17</f>
        <v>0</v>
      </c>
      <c r="P17" s="52">
        <f t="shared" si="0"/>
        <v>2618.3231782322564</v>
      </c>
      <c r="Q17" s="253">
        <f>ROUND(D17+E17+J17+K17+M17+G17*Forutsetninger!$B$5+N17,0)</f>
        <v>2653</v>
      </c>
      <c r="R17" s="53">
        <f>IFERROR((VLOOKUP(A17,'DEAnorm D-nett'!$A$4:$H$134,8,FALSE)+O17),0)</f>
        <v>0</v>
      </c>
      <c r="S17" s="26">
        <f>IFERROR((VLOOKUP(A17,'DEAnorm R-nett'!$A$4:$H$86,8,FALSE)+N17+K17),N17+K17)</f>
        <v>2555.8703320551081</v>
      </c>
      <c r="T17" s="151">
        <f>IFERROR(VLOOKUP(A17,IRData!$A$3:$AN$146,40,FALSE),0)</f>
        <v>0</v>
      </c>
      <c r="U17" s="54">
        <f>(1-Forutsetninger!$B$3)*Q17+(R17+S17+T17)*Forutsetninger!$B$3</f>
        <v>2594.7221992330651</v>
      </c>
      <c r="V17" s="47">
        <f t="shared" si="1"/>
        <v>-23.600978999191284</v>
      </c>
      <c r="W17" s="208">
        <f t="shared" si="2"/>
        <v>-4.3113110590024636E-2</v>
      </c>
      <c r="X17" s="47">
        <f>(R17+S17+T17)-G17*($K$159+$K$153)/Forutsetninger!$B$3</f>
        <v>2581.8160212762064</v>
      </c>
      <c r="Y17" s="278">
        <f>ROUND((1-Forutsetninger!$B$3)*Q17+Forutsetninger!$B$3*X17,0)</f>
        <v>2610</v>
      </c>
      <c r="Z17" s="47">
        <v>2610</v>
      </c>
      <c r="AA17" s="73">
        <f t="shared" si="5"/>
        <v>0</v>
      </c>
      <c r="AB17" s="269">
        <f t="shared" si="6"/>
        <v>0</v>
      </c>
      <c r="AC17" s="66">
        <f t="shared" si="7"/>
        <v>0</v>
      </c>
      <c r="AD17" s="256">
        <f>VLOOKUP(A17,IR2016prnettnivå!$B$2:$K$133,8,FALSE)</f>
        <v>0</v>
      </c>
      <c r="AE17" s="256">
        <f>VLOOKUP(A17,IR2016prnettnivå!$B$2:$K$133,9,FALSE)</f>
        <v>1</v>
      </c>
      <c r="AF17" s="256">
        <f>VLOOKUP(A17,IR2016prnettnivå!$B$2:$K$133,10,FALSE)</f>
        <v>0</v>
      </c>
      <c r="AG17" s="277">
        <f t="shared" si="8"/>
        <v>0</v>
      </c>
      <c r="AH17" s="277">
        <f t="shared" si="9"/>
        <v>0</v>
      </c>
      <c r="AI17" s="277">
        <f t="shared" si="10"/>
        <v>0</v>
      </c>
      <c r="AJ17" s="277">
        <f t="shared" si="11"/>
        <v>0</v>
      </c>
      <c r="AK17" s="277">
        <f t="shared" si="12"/>
        <v>0</v>
      </c>
      <c r="AL17" s="277">
        <f t="shared" si="13"/>
        <v>0</v>
      </c>
    </row>
    <row r="18" spans="1:38" x14ac:dyDescent="0.2">
      <c r="A18">
        <v>6152014</v>
      </c>
      <c r="B18" s="1" t="s">
        <v>128</v>
      </c>
      <c r="C18" s="99">
        <f>VLOOKUP(A18,IRData!$A$3:$F$146,6,FALSE)</f>
        <v>121489.57958984375</v>
      </c>
      <c r="D18" s="52">
        <f>C18*Forutsetninger!$C$23</f>
        <v>127810.51714368287</v>
      </c>
      <c r="E18" s="50">
        <f>VLOOKUP($A18,IRData!$A$2:$N$146,7,FALSE)</f>
        <v>71383</v>
      </c>
      <c r="F18" s="50">
        <f>VLOOKUP($A18,IRData!$A$2:$N$146,8,FALSE)</f>
        <v>1056930</v>
      </c>
      <c r="G18" s="50">
        <f>VLOOKUP($A18,IRData!$A$2:$N$146,9,FALSE)</f>
        <v>1067499.3</v>
      </c>
      <c r="H18" s="50">
        <f>VLOOKUP($A18,IRData!$A$2:$N$146,10,FALSE)</f>
        <v>82656</v>
      </c>
      <c r="I18" s="50">
        <f>VLOOKUP($A18,IRData!$A$2:$N$146,11,FALSE)</f>
        <v>102484</v>
      </c>
      <c r="J18" s="52">
        <f>VLOOKUP(A18,IRData!$A$3:$AF$146,32,FALSE)</f>
        <v>21431.320793151855</v>
      </c>
      <c r="K18" s="52">
        <f>VLOOKUP(A18,IRData!$A$3:$AM$146,37,FALSE)</f>
        <v>26572.390149116516</v>
      </c>
      <c r="L18" s="145">
        <f>VLOOKUP($A18,IRData!$A$2:$N$146,13,FALSE)</f>
        <v>24050</v>
      </c>
      <c r="M18" s="51">
        <f>L18*Forutsetninger!$C$17</f>
        <v>25437.837837837837</v>
      </c>
      <c r="N18" s="145">
        <f>VLOOKUP(A18,IRData!$A$3:$E$146,5,FALSE)*Forutsetninger!$C$23</f>
        <v>1520.18138424821</v>
      </c>
      <c r="O18" s="145">
        <f>VLOOKUP(A18,IRData!$A$3:$AG$146,19,FALSE)*Forutsetninger!$C$17</f>
        <v>0</v>
      </c>
      <c r="P18" s="52">
        <f t="shared" si="0"/>
        <v>274155.24730803724</v>
      </c>
      <c r="Q18" s="253">
        <f>ROUND(D18+E18+J18+K18+M18+G18*Forutsetninger!$B$5+N18,0)</f>
        <v>341621</v>
      </c>
      <c r="R18" s="53">
        <f>IFERROR((VLOOKUP(A18,'DEAnorm D-nett'!$A$4:$H$134,8,FALSE)+O18),0)</f>
        <v>199361.75572715697</v>
      </c>
      <c r="S18" s="26">
        <f>IFERROR((VLOOKUP(A18,'DEAnorm R-nett'!$A$4:$H$86,8,FALSE)+N18+K18),N18+K18)</f>
        <v>186027.98586365249</v>
      </c>
      <c r="T18" s="151">
        <f>IFERROR(VLOOKUP(A18,IRData!$A$3:$AN$146,40,FALSE),0)</f>
        <v>1244.1908800000001</v>
      </c>
      <c r="U18" s="54">
        <f>(1-Forutsetninger!$B$3)*Q18+(R18+S18+T18)*Forutsetninger!$B$3</f>
        <v>368628.75948248565</v>
      </c>
      <c r="V18" s="47">
        <f t="shared" si="1"/>
        <v>94473.512174448406</v>
      </c>
      <c r="W18" s="208">
        <f t="shared" si="2"/>
        <v>8.8499835245276881E-2</v>
      </c>
      <c r="X18" s="47">
        <f>(R18+S18+T18)-G18*($K$159+$K$153)/Forutsetninger!$B$3</f>
        <v>437229.46256021061</v>
      </c>
      <c r="Y18" s="278">
        <f>ROUND((1-Forutsetninger!$B$3)*Q18+Forutsetninger!$B$3*X18,0)</f>
        <v>398986</v>
      </c>
      <c r="Z18" s="47">
        <v>397982</v>
      </c>
      <c r="AA18" s="73">
        <f t="shared" si="5"/>
        <v>1004</v>
      </c>
      <c r="AB18" s="269">
        <f t="shared" si="6"/>
        <v>2.5227271585147068E-3</v>
      </c>
      <c r="AC18" s="66">
        <f t="shared" si="7"/>
        <v>1004</v>
      </c>
      <c r="AD18" s="256">
        <f>VLOOKUP(A18,IR2016prnettnivå!$B$2:$K$133,8,FALSE)</f>
        <v>0.63665658700087435</v>
      </c>
      <c r="AE18" s="256">
        <f>VLOOKUP(A18,IR2016prnettnivå!$B$2:$K$133,9,FALSE)</f>
        <v>0.36334341299912559</v>
      </c>
      <c r="AF18" s="256">
        <f>VLOOKUP(A18,IR2016prnettnivå!$B$2:$K$133,10,FALSE)</f>
        <v>0</v>
      </c>
      <c r="AG18" s="277">
        <f t="shared" si="8"/>
        <v>639.20321334887785</v>
      </c>
      <c r="AH18" s="277">
        <f t="shared" si="9"/>
        <v>364.79678665112209</v>
      </c>
      <c r="AI18" s="277">
        <f t="shared" si="10"/>
        <v>0</v>
      </c>
      <c r="AJ18" s="277">
        <f t="shared" si="11"/>
        <v>8.1818011308656384</v>
      </c>
      <c r="AK18" s="277">
        <f t="shared" si="12"/>
        <v>4.6693988691343637</v>
      </c>
      <c r="AL18" s="277">
        <f t="shared" si="13"/>
        <v>0</v>
      </c>
    </row>
    <row r="19" spans="1:38" x14ac:dyDescent="0.2">
      <c r="A19">
        <v>4472014</v>
      </c>
      <c r="B19" s="1" t="s">
        <v>42</v>
      </c>
      <c r="C19" s="99">
        <f>VLOOKUP(A19,IRData!$A$3:$F$146,6,FALSE)</f>
        <v>21001.160612106323</v>
      </c>
      <c r="D19" s="52">
        <f>C19*Forutsetninger!$C$23</f>
        <v>22093.822429156247</v>
      </c>
      <c r="E19" s="50">
        <f>VLOOKUP($A19,IRData!$A$2:$N$146,7,FALSE)</f>
        <v>12642</v>
      </c>
      <c r="F19" s="50">
        <f>VLOOKUP($A19,IRData!$A$2:$N$146,8,FALSE)</f>
        <v>111806</v>
      </c>
      <c r="G19" s="50">
        <f>VLOOKUP($A19,IRData!$A$2:$N$146,9,FALSE)</f>
        <v>112924.06</v>
      </c>
      <c r="H19" s="50">
        <f>VLOOKUP($A19,IRData!$A$2:$N$146,10,FALSE)</f>
        <v>0</v>
      </c>
      <c r="I19" s="50">
        <f>VLOOKUP($A19,IRData!$A$2:$N$146,11,FALSE)</f>
        <v>1928</v>
      </c>
      <c r="J19" s="52">
        <f>VLOOKUP(A19,IRData!$A$3:$AF$146,32,FALSE)</f>
        <v>0</v>
      </c>
      <c r="K19" s="52">
        <f>VLOOKUP(A19,IRData!$A$3:$AM$146,37,FALSE)</f>
        <v>500.70160055160522</v>
      </c>
      <c r="L19" s="145">
        <f>VLOOKUP($A19,IRData!$A$2:$N$146,13,FALSE)</f>
        <v>0</v>
      </c>
      <c r="M19" s="51">
        <f>L19*Forutsetninger!$C$17</f>
        <v>0</v>
      </c>
      <c r="N19" s="145">
        <f>VLOOKUP(A19,IRData!$A$3:$E$146,5,FALSE)*Forutsetninger!$C$23</f>
        <v>0</v>
      </c>
      <c r="O19" s="145">
        <f>VLOOKUP(A19,IRData!$A$3:$AG$146,19,FALSE)*Forutsetninger!$C$17</f>
        <v>0</v>
      </c>
      <c r="P19" s="52">
        <f t="shared" si="0"/>
        <v>35236.524029707856</v>
      </c>
      <c r="Q19" s="253">
        <f>ROUND(D19+E19+J19+K19+M19+G19*Forutsetninger!$B$5+N19,0)</f>
        <v>42373</v>
      </c>
      <c r="R19" s="53">
        <f>IFERROR((VLOOKUP(A19,'DEAnorm D-nett'!$A$4:$H$134,8,FALSE)+O19),0)</f>
        <v>0</v>
      </c>
      <c r="S19" s="26">
        <f>IFERROR((VLOOKUP(A19,'DEAnorm R-nett'!$A$4:$H$86,8,FALSE)+N19+K19),N19+K19)</f>
        <v>5720.2815073663442</v>
      </c>
      <c r="T19" s="151">
        <f>IFERROR(VLOOKUP(A19,IRData!$A$3:$AN$146,40,FALSE),0)</f>
        <v>36332.808513747892</v>
      </c>
      <c r="U19" s="54">
        <f>(1-Forutsetninger!$B$3)*Q19+(R19+S19+T19)*Forutsetninger!$B$3</f>
        <v>42181.054012668537</v>
      </c>
      <c r="V19" s="47">
        <f t="shared" si="1"/>
        <v>6944.5299829606811</v>
      </c>
      <c r="W19" s="208">
        <f t="shared" si="2"/>
        <v>6.1497345941694634E-2</v>
      </c>
      <c r="X19" s="47">
        <f>(R19+S19+T19)-G19*($K$159+$K$153)/Forutsetninger!$B$3</f>
        <v>47405.274023059108</v>
      </c>
      <c r="Y19" s="278">
        <f>ROUND((1-Forutsetninger!$B$3)*Q19+Forutsetninger!$B$3*X19,0)</f>
        <v>45392</v>
      </c>
      <c r="Z19" s="47">
        <v>45400</v>
      </c>
      <c r="AA19" s="73">
        <f t="shared" si="5"/>
        <v>-8</v>
      </c>
      <c r="AB19" s="269">
        <f t="shared" si="6"/>
        <v>-1.7621145374449341E-4</v>
      </c>
      <c r="AC19" s="66">
        <f t="shared" si="7"/>
        <v>0</v>
      </c>
      <c r="AD19" s="256">
        <f>VLOOKUP(A19,IR2016prnettnivå!$B$2:$K$133,8,FALSE)</f>
        <v>0</v>
      </c>
      <c r="AE19" s="256">
        <f>VLOOKUP(A19,IR2016prnettnivå!$B$2:$K$133,9,FALSE)</f>
        <v>0.14726872246696035</v>
      </c>
      <c r="AF19" s="256">
        <f>VLOOKUP(A19,IR2016prnettnivå!$B$2:$K$133,10,FALSE)</f>
        <v>0.85273127753303968</v>
      </c>
      <c r="AG19" s="277">
        <f t="shared" si="8"/>
        <v>0</v>
      </c>
      <c r="AH19" s="277">
        <f t="shared" si="9"/>
        <v>0</v>
      </c>
      <c r="AI19" s="277">
        <f t="shared" si="10"/>
        <v>0</v>
      </c>
      <c r="AJ19" s="277">
        <f t="shared" si="11"/>
        <v>0</v>
      </c>
      <c r="AK19" s="277">
        <f t="shared" si="12"/>
        <v>0</v>
      </c>
      <c r="AL19" s="277">
        <f t="shared" si="13"/>
        <v>0</v>
      </c>
    </row>
    <row r="20" spans="1:38" x14ac:dyDescent="0.2">
      <c r="A20">
        <v>5742014</v>
      </c>
      <c r="B20" s="1" t="s">
        <v>94</v>
      </c>
      <c r="C20" s="99">
        <f>VLOOKUP(A20,IRData!$A$3:$F$146,6,FALSE)</f>
        <v>434897.30029296875</v>
      </c>
      <c r="D20" s="52">
        <f>C20*Forutsetninger!$C$23</f>
        <v>457524.41520081292</v>
      </c>
      <c r="E20" s="50">
        <f>VLOOKUP($A20,IRData!$A$2:$N$146,7,FALSE)</f>
        <v>198639</v>
      </c>
      <c r="F20" s="50">
        <f>VLOOKUP($A20,IRData!$A$2:$N$146,8,FALSE)</f>
        <v>3064699</v>
      </c>
      <c r="G20" s="50">
        <f>VLOOKUP($A20,IRData!$A$2:$N$146,9,FALSE)</f>
        <v>3095345.99</v>
      </c>
      <c r="H20" s="50">
        <f>VLOOKUP($A20,IRData!$A$2:$N$146,10,FALSE)</f>
        <v>135542</v>
      </c>
      <c r="I20" s="50">
        <f>VLOOKUP($A20,IRData!$A$2:$N$146,11,FALSE)</f>
        <v>198390</v>
      </c>
      <c r="J20" s="52">
        <f>VLOOKUP(A20,IRData!$A$3:$AF$146,32,FALSE)</f>
        <v>35200.257438778877</v>
      </c>
      <c r="K20" s="52">
        <f>VLOOKUP(A20,IRData!$A$3:$AM$146,37,FALSE)</f>
        <v>51521.883056759834</v>
      </c>
      <c r="L20" s="145">
        <f>VLOOKUP($A20,IRData!$A$2:$N$146,13,FALSE)</f>
        <v>71994</v>
      </c>
      <c r="M20" s="51">
        <f>L20*Forutsetninger!$C$17</f>
        <v>76148.511322132937</v>
      </c>
      <c r="N20" s="145">
        <f>VLOOKUP(A20,IRData!$A$3:$E$146,5,FALSE)*Forutsetninger!$C$23</f>
        <v>1483.3603818615752</v>
      </c>
      <c r="O20" s="145">
        <f>VLOOKUP(A20,IRData!$A$3:$AG$146,19,FALSE)*Forutsetninger!$C$17</f>
        <v>0</v>
      </c>
      <c r="P20" s="52">
        <f t="shared" si="0"/>
        <v>820517.42740034615</v>
      </c>
      <c r="Q20" s="253">
        <f>ROUND(D20+E20+J20+K20+M20+G20*Forutsetninger!$B$5+N20,0)</f>
        <v>1016143</v>
      </c>
      <c r="R20" s="53">
        <f>IFERROR((VLOOKUP(A20,'DEAnorm D-nett'!$A$4:$H$134,8,FALSE)+O20),0)</f>
        <v>774698.59926637216</v>
      </c>
      <c r="S20" s="26">
        <f>IFERROR((VLOOKUP(A20,'DEAnorm R-nett'!$A$4:$H$86,8,FALSE)+N20+K20),N20+K20)</f>
        <v>246111.75142346317</v>
      </c>
      <c r="T20" s="151">
        <f>IFERROR(VLOOKUP(A20,IRData!$A$3:$AN$146,40,FALSE),0)</f>
        <v>1560.8325184916466</v>
      </c>
      <c r="U20" s="54">
        <f>(1-Forutsetninger!$B$3)*Q20+(R20+S20+T20)*Forutsetninger!$B$3</f>
        <v>1019879.9099249963</v>
      </c>
      <c r="V20" s="47">
        <f t="shared" si="1"/>
        <v>199362.48252465017</v>
      </c>
      <c r="W20" s="208">
        <f t="shared" si="2"/>
        <v>6.4407172306010979E-2</v>
      </c>
      <c r="X20" s="47">
        <f>(R20+S20+T20)-G20*($K$159+$K$153)/Forutsetninger!$B$3</f>
        <v>1169079.1680980148</v>
      </c>
      <c r="Y20" s="278">
        <f>ROUND((1-Forutsetninger!$B$3)*Q20+Forutsetninger!$B$3*X20,0)</f>
        <v>1107905</v>
      </c>
      <c r="Z20" s="47">
        <v>1104042</v>
      </c>
      <c r="AA20" s="73">
        <f t="shared" si="5"/>
        <v>3863</v>
      </c>
      <c r="AB20" s="269">
        <f t="shared" si="6"/>
        <v>3.4989610902483783E-3</v>
      </c>
      <c r="AC20" s="66">
        <f t="shared" si="7"/>
        <v>3863</v>
      </c>
      <c r="AD20" s="256">
        <f>VLOOKUP(A20,IR2016prnettnivå!$B$2:$K$133,8,FALSE)</f>
        <v>0.74005562465362285</v>
      </c>
      <c r="AE20" s="256">
        <f>VLOOKUP(A20,IR2016prnettnivå!$B$2:$K$133,9,FALSE)</f>
        <v>0.25809192284739657</v>
      </c>
      <c r="AF20" s="256">
        <f>VLOOKUP(A20,IR2016prnettnivå!$B$2:$K$133,10,FALSE)</f>
        <v>1.8524524989805551E-3</v>
      </c>
      <c r="AG20" s="277">
        <f t="shared" si="8"/>
        <v>2858.8348780369452</v>
      </c>
      <c r="AH20" s="277">
        <f t="shared" si="9"/>
        <v>997.00909795949292</v>
      </c>
      <c r="AI20" s="277">
        <f t="shared" si="10"/>
        <v>7.1560240035618845</v>
      </c>
      <c r="AJ20" s="277">
        <f t="shared" si="11"/>
        <v>36.593086438872902</v>
      </c>
      <c r="AK20" s="277">
        <f t="shared" si="12"/>
        <v>12.761716453881512</v>
      </c>
      <c r="AL20" s="277">
        <f t="shared" si="13"/>
        <v>9.1597107245592141E-2</v>
      </c>
    </row>
    <row r="21" spans="1:38" x14ac:dyDescent="0.2">
      <c r="A21">
        <v>4952014</v>
      </c>
      <c r="B21" s="1" t="s">
        <v>91</v>
      </c>
      <c r="C21" s="99">
        <f>VLOOKUP(A21,IRData!$A$3:$F$146,6,FALSE)</f>
        <v>31606.4111328125</v>
      </c>
      <c r="D21" s="52">
        <f>C21*Forutsetninger!$C$23</f>
        <v>33250.849707264322</v>
      </c>
      <c r="E21" s="50">
        <f>VLOOKUP($A21,IRData!$A$2:$N$146,7,FALSE)</f>
        <v>14172</v>
      </c>
      <c r="F21" s="50">
        <f>VLOOKUP($A21,IRData!$A$2:$N$146,8,FALSE)</f>
        <v>246666</v>
      </c>
      <c r="G21" s="50">
        <f>VLOOKUP($A21,IRData!$A$2:$N$146,9,FALSE)</f>
        <v>249132.66</v>
      </c>
      <c r="H21" s="50">
        <f>VLOOKUP($A21,IRData!$A$2:$N$146,10,FALSE)</f>
        <v>17401</v>
      </c>
      <c r="I21" s="50">
        <f>VLOOKUP($A21,IRData!$A$2:$N$146,11,FALSE)</f>
        <v>0</v>
      </c>
      <c r="J21" s="52">
        <f>VLOOKUP(A21,IRData!$A$3:$AF$146,32,FALSE)</f>
        <v>4519.039704978466</v>
      </c>
      <c r="K21" s="52">
        <f>VLOOKUP(A21,IRData!$A$3:$AM$146,37,FALSE)</f>
        <v>0</v>
      </c>
      <c r="L21" s="145">
        <f>VLOOKUP($A21,IRData!$A$2:$N$146,13,FALSE)</f>
        <v>1531</v>
      </c>
      <c r="M21" s="51">
        <f>L21*Forutsetninger!$C$17</f>
        <v>1619.3484295105916</v>
      </c>
      <c r="N21" s="145">
        <f>VLOOKUP(A21,IRData!$A$3:$E$146,5,FALSE)*Forutsetninger!$C$23</f>
        <v>0</v>
      </c>
      <c r="O21" s="145">
        <f>VLOOKUP(A21,IRData!$A$3:$AG$146,19,FALSE)*Forutsetninger!$C$17</f>
        <v>0</v>
      </c>
      <c r="P21" s="52">
        <f t="shared" si="0"/>
        <v>53561.237841753376</v>
      </c>
      <c r="Q21" s="253">
        <f>ROUND(D21+E21+J21+K21+M21+G21*Forutsetninger!$B$5+N21,0)</f>
        <v>69306</v>
      </c>
      <c r="R21" s="53">
        <f>IFERROR((VLOOKUP(A21,'DEAnorm D-nett'!$A$4:$H$134,8,FALSE)+O21),0)</f>
        <v>59740.85367983827</v>
      </c>
      <c r="S21" s="26">
        <f>IFERROR((VLOOKUP(A21,'DEAnorm R-nett'!$A$4:$H$86,8,FALSE)+N21+K21),N21+K21)</f>
        <v>0</v>
      </c>
      <c r="T21" s="151">
        <f>IFERROR(VLOOKUP(A21,IRData!$A$3:$AN$146,40,FALSE),0)</f>
        <v>0</v>
      </c>
      <c r="U21" s="54">
        <f>(1-Forutsetninger!$B$3)*Q21+(R21+S21+T21)*Forutsetninger!$B$3</f>
        <v>63566.912207902962</v>
      </c>
      <c r="V21" s="47">
        <f t="shared" si="1"/>
        <v>10005.674366149586</v>
      </c>
      <c r="W21" s="208">
        <f t="shared" si="2"/>
        <v>4.0162034018942298E-2</v>
      </c>
      <c r="X21" s="47">
        <f>(R21+S21+T21)-G21*($K$159+$K$153)/Forutsetninger!$B$3</f>
        <v>71548.823010855689</v>
      </c>
      <c r="Y21" s="278">
        <f>ROUND((1-Forutsetninger!$B$3)*Q21+Forutsetninger!$B$3*X21,0)</f>
        <v>70652</v>
      </c>
      <c r="Z21" s="47">
        <v>70617</v>
      </c>
      <c r="AA21" s="73">
        <f t="shared" si="5"/>
        <v>35</v>
      </c>
      <c r="AB21" s="269">
        <f t="shared" si="6"/>
        <v>4.9563136355268564E-4</v>
      </c>
      <c r="AC21" s="66">
        <f t="shared" si="7"/>
        <v>35</v>
      </c>
      <c r="AD21" s="268">
        <f>AD20</f>
        <v>0.74005562465362285</v>
      </c>
      <c r="AE21" s="268">
        <f t="shared" ref="AE21:AF21" si="15">AE20</f>
        <v>0.25809192284739657</v>
      </c>
      <c r="AF21" s="268">
        <f t="shared" si="15"/>
        <v>1.8524524989805551E-3</v>
      </c>
      <c r="AG21" s="277">
        <f t="shared" si="8"/>
        <v>25.901946862876798</v>
      </c>
      <c r="AH21" s="277">
        <f t="shared" si="9"/>
        <v>9.0332172996588795</v>
      </c>
      <c r="AI21" s="277">
        <f t="shared" si="10"/>
        <v>6.4835837464319424E-2</v>
      </c>
      <c r="AJ21" s="277">
        <f t="shared" si="11"/>
        <v>0.33154491984482309</v>
      </c>
      <c r="AK21" s="277">
        <f t="shared" si="12"/>
        <v>0.11562518143563368</v>
      </c>
      <c r="AL21" s="277">
        <f t="shared" si="13"/>
        <v>8.298987195432888E-4</v>
      </c>
    </row>
    <row r="22" spans="1:38" x14ac:dyDescent="0.2">
      <c r="A22">
        <v>6142014</v>
      </c>
      <c r="B22" s="1" t="s">
        <v>95</v>
      </c>
      <c r="C22" s="99">
        <f>VLOOKUP(A22,IRData!$A$3:$F$146,6,FALSE)</f>
        <v>49736.331420898438</v>
      </c>
      <c r="D22" s="52">
        <f>C22*Forutsetninger!$C$23</f>
        <v>52324.045084324658</v>
      </c>
      <c r="E22" s="50">
        <f>VLOOKUP($A22,IRData!$A$2:$N$146,7,FALSE)</f>
        <v>22870</v>
      </c>
      <c r="F22" s="50">
        <f>VLOOKUP($A22,IRData!$A$2:$N$146,8,FALSE)</f>
        <v>340213</v>
      </c>
      <c r="G22" s="50">
        <f>VLOOKUP($A22,IRData!$A$2:$N$146,9,FALSE)</f>
        <v>343615.13</v>
      </c>
      <c r="H22" s="50">
        <f>VLOOKUP($A22,IRData!$A$2:$N$146,10,FALSE)</f>
        <v>48934</v>
      </c>
      <c r="I22" s="50">
        <f>VLOOKUP($A22,IRData!$A$2:$N$146,11,FALSE)</f>
        <v>0</v>
      </c>
      <c r="J22" s="52">
        <f>VLOOKUP(A22,IRData!$A$3:$AF$146,32,FALSE)</f>
        <v>12708.15981400013</v>
      </c>
      <c r="K22" s="52">
        <f>VLOOKUP(A22,IRData!$A$3:$AM$146,37,FALSE)</f>
        <v>0</v>
      </c>
      <c r="L22" s="145">
        <f>VLOOKUP($A22,IRData!$A$2:$N$146,13,FALSE)</f>
        <v>4736</v>
      </c>
      <c r="M22" s="51">
        <f>L22*Forutsetninger!$C$17</f>
        <v>5009.2972972972975</v>
      </c>
      <c r="N22" s="145">
        <f>VLOOKUP(A22,IRData!$A$3:$E$146,5,FALSE)*Forutsetninger!$C$23</f>
        <v>0</v>
      </c>
      <c r="O22" s="145">
        <f>VLOOKUP(A22,IRData!$A$3:$AG$146,19,FALSE)*Forutsetninger!$C$17</f>
        <v>1453.0135177935538</v>
      </c>
      <c r="P22" s="52">
        <f t="shared" si="0"/>
        <v>92911.502195622088</v>
      </c>
      <c r="Q22" s="253">
        <f>ROUND(D22+E22+J22+K22+M22+G22*Forutsetninger!$B$5+N22,0)</f>
        <v>114628</v>
      </c>
      <c r="R22" s="53">
        <f>IFERROR((VLOOKUP(A22,'DEAnorm D-nett'!$A$4:$H$134,8,FALSE)+O22),0)</f>
        <v>126963.10902671667</v>
      </c>
      <c r="S22" s="26">
        <f>IFERROR((VLOOKUP(A22,'DEAnorm R-nett'!$A$4:$H$86,8,FALSE)+N22+K22),N22+K22)</f>
        <v>0</v>
      </c>
      <c r="T22" s="151">
        <f>IFERROR(VLOOKUP(A22,IRData!$A$3:$AN$146,40,FALSE),0)</f>
        <v>0</v>
      </c>
      <c r="U22" s="54">
        <f>(1-Forutsetninger!$B$3)*Q22+(R22+S22+T22)*Forutsetninger!$B$3</f>
        <v>122029.06541603</v>
      </c>
      <c r="V22" s="47">
        <f t="shared" si="1"/>
        <v>29117.563220407916</v>
      </c>
      <c r="W22" s="208">
        <f t="shared" si="2"/>
        <v>8.4738885684131293E-2</v>
      </c>
      <c r="X22" s="47">
        <f>(R22+S22+T22)-G22*($K$159+$K$153)/Forutsetninger!$B$3</f>
        <v>143249.19900268997</v>
      </c>
      <c r="Y22" s="278">
        <f>ROUND((1-Forutsetninger!$B$3)*Q22+Forutsetninger!$B$3*X22,0)</f>
        <v>131801</v>
      </c>
      <c r="Z22" s="47">
        <v>131809</v>
      </c>
      <c r="AA22" s="73">
        <f t="shared" si="5"/>
        <v>-8</v>
      </c>
      <c r="AB22" s="269">
        <f t="shared" si="6"/>
        <v>-6.0693882815285755E-5</v>
      </c>
      <c r="AC22" s="66">
        <f t="shared" si="7"/>
        <v>0</v>
      </c>
      <c r="AD22" s="268">
        <f>AD32</f>
        <v>0.99913935585699609</v>
      </c>
      <c r="AE22" s="268">
        <f t="shared" ref="AE22:AF22" si="16">AE32</f>
        <v>8.6064414300391604E-4</v>
      </c>
      <c r="AF22" s="268">
        <f t="shared" si="16"/>
        <v>0</v>
      </c>
      <c r="AG22" s="277">
        <f t="shared" si="8"/>
        <v>0</v>
      </c>
      <c r="AH22" s="277">
        <f t="shared" si="9"/>
        <v>0</v>
      </c>
      <c r="AI22" s="277">
        <f t="shared" si="10"/>
        <v>0</v>
      </c>
      <c r="AJ22" s="277">
        <f t="shared" si="11"/>
        <v>0</v>
      </c>
      <c r="AK22" s="277">
        <f t="shared" si="12"/>
        <v>0</v>
      </c>
      <c r="AL22" s="277">
        <f t="shared" si="13"/>
        <v>0</v>
      </c>
    </row>
    <row r="23" spans="1:38" x14ac:dyDescent="0.2">
      <c r="A23">
        <v>412014</v>
      </c>
      <c r="B23" s="1" t="s">
        <v>370</v>
      </c>
      <c r="C23" s="99">
        <f>VLOOKUP(A23,IRData!$A$3:$F$146,6,FALSE)</f>
        <v>9013.6285238265991</v>
      </c>
      <c r="D23" s="52">
        <f>C23*Forutsetninger!$C$23</f>
        <v>9482.5953539445454</v>
      </c>
      <c r="E23" s="50">
        <f>VLOOKUP($A23,IRData!$A$2:$N$146,7,FALSE)</f>
        <v>2516</v>
      </c>
      <c r="F23" s="50">
        <f>VLOOKUP($A23,IRData!$A$2:$N$146,8,FALSE)</f>
        <v>31157</v>
      </c>
      <c r="G23" s="50">
        <f>VLOOKUP($A23,IRData!$A$2:$N$146,9,FALSE)</f>
        <v>31468.57</v>
      </c>
      <c r="H23" s="50">
        <f>VLOOKUP($A23,IRData!$A$2:$N$146,10,FALSE)</f>
        <v>2373</v>
      </c>
      <c r="I23" s="50">
        <f>VLOOKUP($A23,IRData!$A$2:$N$146,11,FALSE)</f>
        <v>128</v>
      </c>
      <c r="J23" s="52">
        <f>VLOOKUP(A23,IRData!$A$3:$AF$146,32,FALSE)</f>
        <v>588.14805203676224</v>
      </c>
      <c r="K23" s="52">
        <f>VLOOKUP(A23,IRData!$A$3:$AM$146,37,FALSE)</f>
        <v>31.724800109863281</v>
      </c>
      <c r="L23" s="145">
        <f>VLOOKUP($A23,IRData!$A$2:$N$146,13,FALSE)</f>
        <v>540</v>
      </c>
      <c r="M23" s="51">
        <f>L23*Forutsetninger!$C$17</f>
        <v>571.16143170197222</v>
      </c>
      <c r="N23" s="145">
        <f>VLOOKUP(A23,IRData!$A$3:$E$146,5,FALSE)*Forutsetninger!$C$23</f>
        <v>0</v>
      </c>
      <c r="O23" s="145">
        <f>VLOOKUP(A23,IRData!$A$3:$AG$146,19,FALSE)*Forutsetninger!$C$17</f>
        <v>522.04154599331173</v>
      </c>
      <c r="P23" s="52">
        <f t="shared" si="0"/>
        <v>13189.629637793143</v>
      </c>
      <c r="Q23" s="253">
        <f>ROUND(D23+E23+J23+K23+M23+G23*Forutsetninger!$B$5+N23,0)</f>
        <v>15178</v>
      </c>
      <c r="R23" s="53">
        <f>IFERROR((VLOOKUP(A23,'DEAnorm D-nett'!$A$4:$H$134,8,FALSE)+O23),0)</f>
        <v>13014.741876088297</v>
      </c>
      <c r="S23" s="26">
        <f>IFERROR((VLOOKUP(A23,'DEAnorm R-nett'!$A$4:$H$86,8,FALSE)+N23+K23),N23+K23)</f>
        <v>191.34176329355108</v>
      </c>
      <c r="T23" s="151">
        <f>IFERROR(VLOOKUP(A23,IRData!$A$3:$AN$146,40,FALSE),0)</f>
        <v>0</v>
      </c>
      <c r="U23" s="54">
        <f>(1-Forutsetninger!$B$3)*Q23+(R23+S23+T23)*Forutsetninger!$B$3</f>
        <v>13994.850183629109</v>
      </c>
      <c r="V23" s="47">
        <f t="shared" si="1"/>
        <v>805.22054583596582</v>
      </c>
      <c r="W23" s="208">
        <f t="shared" si="2"/>
        <v>2.5588088236483762E-2</v>
      </c>
      <c r="X23" s="47">
        <f>(R23+S23+T23)-G23*($K$159+$K$153)/Forutsetninger!$B$3</f>
        <v>14697.577807392476</v>
      </c>
      <c r="Y23" s="278">
        <f>ROUND((1-Forutsetninger!$B$3)*Q23+Forutsetninger!$B$3*X23,0)</f>
        <v>14890</v>
      </c>
      <c r="Z23" s="47">
        <v>14918</v>
      </c>
      <c r="AA23" s="73">
        <f t="shared" si="5"/>
        <v>-28</v>
      </c>
      <c r="AB23" s="269">
        <f t="shared" si="6"/>
        <v>-1.8769272020378066E-3</v>
      </c>
      <c r="AC23" s="66">
        <f t="shared" si="7"/>
        <v>0</v>
      </c>
      <c r="AD23" s="256">
        <f>VLOOKUP(A23,IR2016prnettnivå!$B$2:$K$133,8,FALSE)</f>
        <v>1</v>
      </c>
      <c r="AE23" s="256">
        <f>VLOOKUP(A23,IR2016prnettnivå!$B$2:$K$133,9,FALSE)</f>
        <v>0</v>
      </c>
      <c r="AF23" s="256">
        <f>VLOOKUP(A23,IR2016prnettnivå!$B$2:$K$133,10,FALSE)</f>
        <v>0</v>
      </c>
      <c r="AG23" s="277">
        <f t="shared" si="8"/>
        <v>0</v>
      </c>
      <c r="AH23" s="277">
        <f t="shared" si="9"/>
        <v>0</v>
      </c>
      <c r="AI23" s="277">
        <f t="shared" si="10"/>
        <v>0</v>
      </c>
      <c r="AJ23" s="277">
        <f t="shared" si="11"/>
        <v>0</v>
      </c>
      <c r="AK23" s="277">
        <f t="shared" si="12"/>
        <v>0</v>
      </c>
      <c r="AL23" s="277">
        <f t="shared" si="13"/>
        <v>0</v>
      </c>
    </row>
    <row r="24" spans="1:38" x14ac:dyDescent="0.2">
      <c r="A24">
        <v>1472014</v>
      </c>
      <c r="B24" s="1" t="s">
        <v>175</v>
      </c>
      <c r="C24" s="99">
        <f>VLOOKUP(A24,IRData!$A$3:$F$146,6,FALSE)</f>
        <v>8209.0091171264648</v>
      </c>
      <c r="D24" s="52">
        <f>C24*Forutsetninger!$C$23</f>
        <v>8636.1126941034508</v>
      </c>
      <c r="E24" s="50">
        <f>VLOOKUP($A24,IRData!$A$2:$N$146,7,FALSE)</f>
        <v>1808</v>
      </c>
      <c r="F24" s="50">
        <f>VLOOKUP($A24,IRData!$A$2:$N$146,8,FALSE)</f>
        <v>18918</v>
      </c>
      <c r="G24" s="50">
        <f>VLOOKUP($A24,IRData!$A$2:$N$146,9,FALSE)</f>
        <v>19107.18</v>
      </c>
      <c r="H24" s="50">
        <f>VLOOKUP($A24,IRData!$A$2:$N$146,10,FALSE)</f>
        <v>1471</v>
      </c>
      <c r="I24" s="50">
        <f>VLOOKUP($A24,IRData!$A$2:$N$146,11,FALSE)</f>
        <v>280</v>
      </c>
      <c r="J24" s="52">
        <f>VLOOKUP(A24,IRData!$A$3:$AF$146,32,FALSE)</f>
        <v>359.5859542787075</v>
      </c>
      <c r="K24" s="52">
        <f>VLOOKUP(A24,IRData!$A$3:$AM$146,37,FALSE)</f>
        <v>68.446000814437866</v>
      </c>
      <c r="L24" s="145">
        <f>VLOOKUP($A24,IRData!$A$2:$N$146,13,FALSE)</f>
        <v>282</v>
      </c>
      <c r="M24" s="51">
        <f>L24*Forutsetninger!$C$17</f>
        <v>298.27319211102997</v>
      </c>
      <c r="N24" s="145">
        <f>VLOOKUP(A24,IRData!$A$3:$E$146,5,FALSE)*Forutsetninger!$C$23</f>
        <v>0</v>
      </c>
      <c r="O24" s="145">
        <f>VLOOKUP(A24,IRData!$A$3:$AG$146,19,FALSE)*Forutsetninger!$C$17</f>
        <v>0</v>
      </c>
      <c r="P24" s="52">
        <f t="shared" si="0"/>
        <v>11170.417841307626</v>
      </c>
      <c r="Q24" s="253">
        <f>ROUND(D24+E24+J24+K24+M24+G24*Forutsetninger!$B$5+N24,0)</f>
        <v>12378</v>
      </c>
      <c r="R24" s="53">
        <f>IFERROR((VLOOKUP(A24,'DEAnorm D-nett'!$A$4:$H$134,8,FALSE)+O24),0)</f>
        <v>9326.9674348854878</v>
      </c>
      <c r="S24" s="26">
        <f>IFERROR((VLOOKUP(A24,'DEAnorm R-nett'!$A$4:$H$86,8,FALSE)+N24+K24),N24+K24)</f>
        <v>909.80164380740098</v>
      </c>
      <c r="T24" s="151">
        <f>IFERROR(VLOOKUP(A24,IRData!$A$3:$AN$146,40,FALSE),0)</f>
        <v>0</v>
      </c>
      <c r="U24" s="54">
        <f>(1-Forutsetninger!$B$3)*Q24+(R24+S24+T24)*Forutsetninger!$B$3</f>
        <v>11093.261447215733</v>
      </c>
      <c r="V24" s="47">
        <f t="shared" si="1"/>
        <v>-77.156394091893162</v>
      </c>
      <c r="W24" s="208">
        <f t="shared" si="2"/>
        <v>-4.0380838036744911E-3</v>
      </c>
      <c r="X24" s="47">
        <f>(R24+S24+T24)-G24*($K$159+$K$153)/Forutsetninger!$B$3</f>
        <v>11142.378947114914</v>
      </c>
      <c r="Y24" s="278">
        <f>ROUND((1-Forutsetninger!$B$3)*Q24+Forutsetninger!$B$3*X24,0)</f>
        <v>11637</v>
      </c>
      <c r="Z24" s="47">
        <v>11640</v>
      </c>
      <c r="AA24" s="73">
        <f t="shared" si="5"/>
        <v>-3</v>
      </c>
      <c r="AB24" s="269">
        <f t="shared" si="6"/>
        <v>-2.577319587628866E-4</v>
      </c>
      <c r="AC24" s="66">
        <f t="shared" si="7"/>
        <v>0</v>
      </c>
      <c r="AD24" s="256">
        <f>VLOOKUP(A24,IR2016prnettnivå!$B$2:$K$133,8,FALSE)</f>
        <v>0.92225085910652926</v>
      </c>
      <c r="AE24" s="256">
        <f>VLOOKUP(A24,IR2016prnettnivå!$B$2:$K$133,9,FALSE)</f>
        <v>7.7749140893470792E-2</v>
      </c>
      <c r="AF24" s="256">
        <f>VLOOKUP(A24,IR2016prnettnivå!$B$2:$K$133,10,FALSE)</f>
        <v>0</v>
      </c>
      <c r="AG24" s="277">
        <f t="shared" si="8"/>
        <v>0</v>
      </c>
      <c r="AH24" s="277">
        <f t="shared" si="9"/>
        <v>0</v>
      </c>
      <c r="AI24" s="277">
        <f t="shared" si="10"/>
        <v>0</v>
      </c>
      <c r="AJ24" s="277">
        <f t="shared" si="11"/>
        <v>0</v>
      </c>
      <c r="AK24" s="277">
        <f t="shared" si="12"/>
        <v>0</v>
      </c>
      <c r="AL24" s="277">
        <f t="shared" si="13"/>
        <v>0</v>
      </c>
    </row>
    <row r="25" spans="1:38" x14ac:dyDescent="0.2">
      <c r="A25">
        <v>422014</v>
      </c>
      <c r="B25" s="1" t="s">
        <v>205</v>
      </c>
      <c r="C25" s="99">
        <f>VLOOKUP(A25,IRData!$A$3:$F$146,6,FALSE)</f>
        <v>20055.676780700684</v>
      </c>
      <c r="D25" s="52">
        <f>C25*Forutsetninger!$C$23</f>
        <v>21099.146360221624</v>
      </c>
      <c r="E25" s="50">
        <f>VLOOKUP($A25,IRData!$A$2:$N$146,7,FALSE)</f>
        <v>6655</v>
      </c>
      <c r="F25" s="50">
        <f>VLOOKUP($A25,IRData!$A$2:$N$146,8,FALSE)</f>
        <v>108605</v>
      </c>
      <c r="G25" s="50">
        <f>VLOOKUP($A25,IRData!$A$2:$N$146,9,FALSE)</f>
        <v>109691.05</v>
      </c>
      <c r="H25" s="50">
        <f>VLOOKUP($A25,IRData!$A$2:$N$146,10,FALSE)</f>
        <v>7761</v>
      </c>
      <c r="I25" s="50">
        <f>VLOOKUP($A25,IRData!$A$2:$N$146,11,FALSE)</f>
        <v>0</v>
      </c>
      <c r="J25" s="52">
        <f>VLOOKUP(A25,IRData!$A$3:$AF$146,32,FALSE)</f>
        <v>1897.1764725744724</v>
      </c>
      <c r="K25" s="52">
        <f>VLOOKUP(A25,IRData!$A$3:$AM$146,37,FALSE)</f>
        <v>0</v>
      </c>
      <c r="L25" s="145">
        <f>VLOOKUP($A25,IRData!$A$2:$N$146,13,FALSE)</f>
        <v>512</v>
      </c>
      <c r="M25" s="51">
        <f>L25*Forutsetninger!$C$17</f>
        <v>541.54565376186997</v>
      </c>
      <c r="N25" s="145">
        <f>VLOOKUP(A25,IRData!$A$3:$E$146,5,FALSE)*Forutsetninger!$C$23</f>
        <v>0</v>
      </c>
      <c r="O25" s="145">
        <f>VLOOKUP(A25,IRData!$A$3:$AG$146,19,FALSE)*Forutsetninger!$C$17</f>
        <v>0</v>
      </c>
      <c r="P25" s="52">
        <f t="shared" si="0"/>
        <v>30192.868486557967</v>
      </c>
      <c r="Q25" s="253">
        <f>ROUND(D25+E25+J25+K25+M25+G25*Forutsetninger!$B$5+N25,0)</f>
        <v>37125</v>
      </c>
      <c r="R25" s="53">
        <f>IFERROR((VLOOKUP(A25,'DEAnorm D-nett'!$A$4:$H$134,8,FALSE)+O25),0)</f>
        <v>33208.401734321495</v>
      </c>
      <c r="S25" s="26">
        <f>IFERROR((VLOOKUP(A25,'DEAnorm R-nett'!$A$4:$H$86,8,FALSE)+N25+K25),N25+K25)</f>
        <v>0</v>
      </c>
      <c r="T25" s="151">
        <f>IFERROR(VLOOKUP(A25,IRData!$A$3:$AN$146,40,FALSE),0)</f>
        <v>0</v>
      </c>
      <c r="U25" s="54">
        <f>(1-Forutsetninger!$B$3)*Q25+(R25+S25+T25)*Forutsetninger!$B$3</f>
        <v>34775.0410405929</v>
      </c>
      <c r="V25" s="47">
        <f t="shared" si="1"/>
        <v>4582.1725540349325</v>
      </c>
      <c r="W25" s="208">
        <f t="shared" si="2"/>
        <v>4.177344053170183E-2</v>
      </c>
      <c r="X25" s="47">
        <f>(R25+S25+T25)-G25*($K$159+$K$153)/Forutsetninger!$B$3</f>
        <v>38407.352984980869</v>
      </c>
      <c r="Y25" s="278">
        <f>ROUND((1-Forutsetninger!$B$3)*Q25+Forutsetninger!$B$3*X25,0)</f>
        <v>37894</v>
      </c>
      <c r="Z25" s="47">
        <v>37872</v>
      </c>
      <c r="AA25" s="73">
        <f t="shared" si="5"/>
        <v>22</v>
      </c>
      <c r="AB25" s="269">
        <f t="shared" si="6"/>
        <v>5.8090409801436413E-4</v>
      </c>
      <c r="AC25" s="66">
        <f t="shared" si="7"/>
        <v>22</v>
      </c>
      <c r="AD25" s="256">
        <f>VLOOKUP(A25,IR2016prnettnivå!$B$2:$K$133,8,FALSE)</f>
        <v>1</v>
      </c>
      <c r="AE25" s="256">
        <f>VLOOKUP(A25,IR2016prnettnivå!$B$2:$K$133,9,FALSE)</f>
        <v>0</v>
      </c>
      <c r="AF25" s="256">
        <f>VLOOKUP(A25,IR2016prnettnivå!$B$2:$K$133,10,FALSE)</f>
        <v>0</v>
      </c>
      <c r="AG25" s="277">
        <f t="shared" si="8"/>
        <v>22</v>
      </c>
      <c r="AH25" s="277">
        <f t="shared" si="9"/>
        <v>0</v>
      </c>
      <c r="AI25" s="277">
        <f t="shared" si="10"/>
        <v>0</v>
      </c>
      <c r="AJ25" s="277">
        <f t="shared" si="11"/>
        <v>0.28160000000000007</v>
      </c>
      <c r="AK25" s="277">
        <f t="shared" si="12"/>
        <v>0</v>
      </c>
      <c r="AL25" s="277">
        <f t="shared" si="13"/>
        <v>0</v>
      </c>
    </row>
    <row r="26" spans="1:38" x14ac:dyDescent="0.2">
      <c r="A26">
        <v>432014</v>
      </c>
      <c r="B26" s="1" t="s">
        <v>371</v>
      </c>
      <c r="C26" s="99">
        <f>VLOOKUP(A26,IRData!$A$3:$F$146,6,FALSE)</f>
        <v>20879.670166015625</v>
      </c>
      <c r="D26" s="52">
        <f>C26*Forutsetninger!$C$23</f>
        <v>21966.011000428847</v>
      </c>
      <c r="E26" s="50">
        <f>VLOOKUP($A26,IRData!$A$2:$N$146,7,FALSE)</f>
        <v>9391</v>
      </c>
      <c r="F26" s="50">
        <f>VLOOKUP($A26,IRData!$A$2:$N$146,8,FALSE)</f>
        <v>172465</v>
      </c>
      <c r="G26" s="50">
        <f>VLOOKUP($A26,IRData!$A$2:$N$146,9,FALSE)</f>
        <v>174189.65</v>
      </c>
      <c r="H26" s="50">
        <f>VLOOKUP($A26,IRData!$A$2:$N$146,10,FALSE)</f>
        <v>8030</v>
      </c>
      <c r="I26" s="50">
        <f>VLOOKUP($A26,IRData!$A$2:$N$146,11,FALSE)</f>
        <v>0</v>
      </c>
      <c r="J26" s="52">
        <f>VLOOKUP(A26,IRData!$A$3:$AF$146,32,FALSE)</f>
        <v>1980.9207406640053</v>
      </c>
      <c r="K26" s="52">
        <f>VLOOKUP(A26,IRData!$A$3:$AM$146,37,FALSE)</f>
        <v>0</v>
      </c>
      <c r="L26" s="145">
        <f>VLOOKUP($A26,IRData!$A$2:$N$146,13,FALSE)</f>
        <v>1718</v>
      </c>
      <c r="M26" s="51">
        <f>L26*Forutsetninger!$C$17</f>
        <v>1817.1395178962746</v>
      </c>
      <c r="N26" s="145">
        <f>VLOOKUP(A26,IRData!$A$3:$E$146,5,FALSE)*Forutsetninger!$C$23</f>
        <v>0</v>
      </c>
      <c r="O26" s="145">
        <f>VLOOKUP(A26,IRData!$A$3:$AG$146,19,FALSE)*Forutsetninger!$C$17</f>
        <v>278.42005544792045</v>
      </c>
      <c r="P26" s="52">
        <f t="shared" si="0"/>
        <v>35155.071258989126</v>
      </c>
      <c r="Q26" s="253">
        <f>ROUND(D26+E26+J26+K26+M26+G26*Forutsetninger!$B$5+N26,0)</f>
        <v>46164</v>
      </c>
      <c r="R26" s="53">
        <f>IFERROR((VLOOKUP(A26,'DEAnorm D-nett'!$A$4:$H$134,8,FALSE)+O26),0)</f>
        <v>42156.580964896595</v>
      </c>
      <c r="S26" s="26">
        <f>IFERROR((VLOOKUP(A26,'DEAnorm R-nett'!$A$4:$H$86,8,FALSE)+N26+K26),N26+K26)</f>
        <v>0</v>
      </c>
      <c r="T26" s="151">
        <f>IFERROR(VLOOKUP(A26,IRData!$A$3:$AN$146,40,FALSE),0)</f>
        <v>0</v>
      </c>
      <c r="U26" s="54">
        <f>(1-Forutsetninger!$B$3)*Q26+(R26+S26+T26)*Forutsetninger!$B$3</f>
        <v>43759.54857893796</v>
      </c>
      <c r="V26" s="47">
        <f t="shared" si="1"/>
        <v>8604.4773199488336</v>
      </c>
      <c r="W26" s="208">
        <f t="shared" si="2"/>
        <v>4.9397178993980606E-2</v>
      </c>
      <c r="X26" s="47">
        <f>(R26+S26+T26)-G26*($K$159+$K$153)/Forutsetninger!$B$3</f>
        <v>50412.527997215271</v>
      </c>
      <c r="Y26" s="278">
        <f>ROUND((1-Forutsetninger!$B$3)*Q26+Forutsetninger!$B$3*X26,0)</f>
        <v>48713</v>
      </c>
      <c r="Z26" s="47">
        <v>48846</v>
      </c>
      <c r="AA26" s="73">
        <f t="shared" si="5"/>
        <v>-133</v>
      </c>
      <c r="AB26" s="269">
        <f t="shared" si="6"/>
        <v>-2.7228432215534535E-3</v>
      </c>
      <c r="AC26" s="66">
        <f t="shared" si="7"/>
        <v>0</v>
      </c>
      <c r="AD26" s="256">
        <f>VLOOKUP(A26,IR2016prnettnivå!$B$2:$K$133,8,FALSE)</f>
        <v>1</v>
      </c>
      <c r="AE26" s="256">
        <f>VLOOKUP(A26,IR2016prnettnivå!$B$2:$K$133,9,FALSE)</f>
        <v>0</v>
      </c>
      <c r="AF26" s="256">
        <f>VLOOKUP(A26,IR2016prnettnivå!$B$2:$K$133,10,FALSE)</f>
        <v>0</v>
      </c>
      <c r="AG26" s="277">
        <f t="shared" si="8"/>
        <v>0</v>
      </c>
      <c r="AH26" s="277">
        <f t="shared" si="9"/>
        <v>0</v>
      </c>
      <c r="AI26" s="277">
        <f t="shared" si="10"/>
        <v>0</v>
      </c>
      <c r="AJ26" s="277">
        <f t="shared" si="11"/>
        <v>0</v>
      </c>
      <c r="AK26" s="277">
        <f t="shared" si="12"/>
        <v>0</v>
      </c>
      <c r="AL26" s="277">
        <f t="shared" si="13"/>
        <v>0</v>
      </c>
    </row>
    <row r="27" spans="1:38" x14ac:dyDescent="0.2">
      <c r="A27">
        <v>452014</v>
      </c>
      <c r="B27" s="1" t="s">
        <v>80</v>
      </c>
      <c r="C27" s="99">
        <f>VLOOKUP(A27,IRData!$A$3:$F$146,6,FALSE)</f>
        <v>15681.753601074219</v>
      </c>
      <c r="D27" s="52">
        <f>C27*Forutsetninger!$C$23</f>
        <v>16497.653907764954</v>
      </c>
      <c r="E27" s="50">
        <f>VLOOKUP($A27,IRData!$A$2:$N$146,7,FALSE)</f>
        <v>2782</v>
      </c>
      <c r="F27" s="50">
        <f>VLOOKUP($A27,IRData!$A$2:$N$146,8,FALSE)</f>
        <v>40987</v>
      </c>
      <c r="G27" s="50">
        <f>VLOOKUP($A27,IRData!$A$2:$N$146,9,FALSE)</f>
        <v>41396.870000000003</v>
      </c>
      <c r="H27" s="50">
        <f>VLOOKUP($A27,IRData!$A$2:$N$146,10,FALSE)</f>
        <v>3498</v>
      </c>
      <c r="I27" s="50">
        <f>VLOOKUP($A27,IRData!$A$2:$N$146,11,FALSE)</f>
        <v>0</v>
      </c>
      <c r="J27" s="52">
        <f>VLOOKUP(A27,IRData!$A$3:$AF$146,32,FALSE)</f>
        <v>862.92163771390915</v>
      </c>
      <c r="K27" s="52">
        <f>VLOOKUP(A27,IRData!$A$3:$AM$146,37,FALSE)</f>
        <v>0</v>
      </c>
      <c r="L27" s="145">
        <f>VLOOKUP($A27,IRData!$A$2:$N$146,13,FALSE)</f>
        <v>1303</v>
      </c>
      <c r="M27" s="51">
        <f>L27*Forutsetninger!$C$17</f>
        <v>1378.1913805697588</v>
      </c>
      <c r="N27" s="145">
        <f>VLOOKUP(A27,IRData!$A$3:$E$146,5,FALSE)*Forutsetninger!$C$23</f>
        <v>0</v>
      </c>
      <c r="O27" s="145">
        <f>VLOOKUP(A27,IRData!$A$3:$AG$146,19,FALSE)*Forutsetninger!$C$17</f>
        <v>417.63536072891935</v>
      </c>
      <c r="P27" s="52">
        <f t="shared" si="0"/>
        <v>21520.766926048622</v>
      </c>
      <c r="Q27" s="253">
        <f>ROUND(D27+E27+J27+K27+M27+G27*Forutsetninger!$B$5+N27,0)</f>
        <v>24137</v>
      </c>
      <c r="R27" s="53">
        <f>IFERROR((VLOOKUP(A27,'DEAnorm D-nett'!$A$4:$H$134,8,FALSE)+O27),0)</f>
        <v>21936.495077151587</v>
      </c>
      <c r="S27" s="26">
        <f>IFERROR((VLOOKUP(A27,'DEAnorm R-nett'!$A$4:$H$86,8,FALSE)+N27+K27),N27+K27)</f>
        <v>0</v>
      </c>
      <c r="T27" s="151">
        <f>IFERROR(VLOOKUP(A27,IRData!$A$3:$AN$146,40,FALSE),0)</f>
        <v>0</v>
      </c>
      <c r="U27" s="54">
        <f>(1-Forutsetninger!$B$3)*Q27+(R27+S27+T27)*Forutsetninger!$B$3</f>
        <v>22816.697046290952</v>
      </c>
      <c r="V27" s="47">
        <f t="shared" si="1"/>
        <v>1295.9301202423303</v>
      </c>
      <c r="W27" s="208">
        <f t="shared" si="2"/>
        <v>3.1305026690238422E-2</v>
      </c>
      <c r="X27" s="47">
        <f>(R27+S27+T27)-G27*($K$159+$K$153)/Forutsetninger!$B$3</f>
        <v>23898.554051515344</v>
      </c>
      <c r="Y27" s="278">
        <f>ROUND((1-Forutsetninger!$B$3)*Q27+Forutsetninger!$B$3*X27,0)</f>
        <v>23994</v>
      </c>
      <c r="Z27" s="47">
        <v>23897</v>
      </c>
      <c r="AA27" s="73">
        <f t="shared" si="5"/>
        <v>97</v>
      </c>
      <c r="AB27" s="269">
        <f t="shared" si="6"/>
        <v>4.059086914675482E-3</v>
      </c>
      <c r="AC27" s="66">
        <f t="shared" si="7"/>
        <v>97</v>
      </c>
      <c r="AD27" s="256">
        <f>VLOOKUP(A27,IR2016prnettnivå!$B$2:$K$133,8,FALSE)</f>
        <v>1</v>
      </c>
      <c r="AE27" s="256">
        <f>VLOOKUP(A27,IR2016prnettnivå!$B$2:$K$133,9,FALSE)</f>
        <v>0</v>
      </c>
      <c r="AF27" s="256">
        <f>VLOOKUP(A27,IR2016prnettnivå!$B$2:$K$133,10,FALSE)</f>
        <v>0</v>
      </c>
      <c r="AG27" s="277">
        <f t="shared" si="8"/>
        <v>97</v>
      </c>
      <c r="AH27" s="277">
        <f t="shared" si="9"/>
        <v>0</v>
      </c>
      <c r="AI27" s="277">
        <f t="shared" si="10"/>
        <v>0</v>
      </c>
      <c r="AJ27" s="277">
        <f t="shared" si="11"/>
        <v>1.2416000000000003</v>
      </c>
      <c r="AK27" s="277">
        <f t="shared" si="12"/>
        <v>0</v>
      </c>
      <c r="AL27" s="277">
        <f t="shared" si="13"/>
        <v>0</v>
      </c>
    </row>
    <row r="28" spans="1:38" x14ac:dyDescent="0.2">
      <c r="A28">
        <v>462014</v>
      </c>
      <c r="B28" s="1" t="s">
        <v>107</v>
      </c>
      <c r="C28" s="99">
        <f>VLOOKUP(A28,IRData!$A$3:$F$146,6,FALSE)</f>
        <v>10064.420974731445</v>
      </c>
      <c r="D28" s="52">
        <f>C28*Forutsetninger!$C$23</f>
        <v>10588.059106590981</v>
      </c>
      <c r="E28" s="50">
        <f>VLOOKUP($A28,IRData!$A$2:$N$146,7,FALSE)</f>
        <v>1940</v>
      </c>
      <c r="F28" s="50">
        <f>VLOOKUP($A28,IRData!$A$2:$N$146,8,FALSE)</f>
        <v>28327</v>
      </c>
      <c r="G28" s="50">
        <f>VLOOKUP($A28,IRData!$A$2:$N$146,9,FALSE)</f>
        <v>28610.27</v>
      </c>
      <c r="H28" s="50">
        <f>VLOOKUP($A28,IRData!$A$2:$N$146,10,FALSE)</f>
        <v>2237</v>
      </c>
      <c r="I28" s="50">
        <f>VLOOKUP($A28,IRData!$A$2:$N$146,11,FALSE)</f>
        <v>0</v>
      </c>
      <c r="J28" s="52">
        <f>VLOOKUP(A28,IRData!$A$3:$AF$146,32,FALSE)</f>
        <v>551.84554132819176</v>
      </c>
      <c r="K28" s="52">
        <f>VLOOKUP(A28,IRData!$A$3:$AM$146,37,FALSE)</f>
        <v>0</v>
      </c>
      <c r="L28" s="145">
        <f>VLOOKUP($A28,IRData!$A$2:$N$146,13,FALSE)</f>
        <v>801</v>
      </c>
      <c r="M28" s="51">
        <f>L28*Forutsetninger!$C$17</f>
        <v>847.22279035792553</v>
      </c>
      <c r="N28" s="145">
        <f>VLOOKUP(A28,IRData!$A$3:$E$146,5,FALSE)*Forutsetninger!$C$23</f>
        <v>0</v>
      </c>
      <c r="O28" s="145">
        <f>VLOOKUP(A28,IRData!$A$3:$AG$146,19,FALSE)*Forutsetninger!$C$17</f>
        <v>0</v>
      </c>
      <c r="P28" s="52">
        <f t="shared" si="0"/>
        <v>13927.127438277099</v>
      </c>
      <c r="Q28" s="253">
        <f>ROUND(D28+E28+J28+K28+M28+G28*Forutsetninger!$B$5+N28,0)</f>
        <v>15735</v>
      </c>
      <c r="R28" s="53">
        <f>IFERROR((VLOOKUP(A28,'DEAnorm D-nett'!$A$4:$H$134,8,FALSE)+O28),0)</f>
        <v>12493.603300696775</v>
      </c>
      <c r="S28" s="26">
        <f>IFERROR((VLOOKUP(A28,'DEAnorm R-nett'!$A$4:$H$86,8,FALSE)+N28+K28),N28+K28)</f>
        <v>0</v>
      </c>
      <c r="T28" s="151">
        <f>IFERROR(VLOOKUP(A28,IRData!$A$3:$AN$146,40,FALSE),0)</f>
        <v>0</v>
      </c>
      <c r="U28" s="54">
        <f>(1-Forutsetninger!$B$3)*Q28+(R28+S28+T28)*Forutsetninger!$B$3</f>
        <v>13790.161980418065</v>
      </c>
      <c r="V28" s="47">
        <f t="shared" si="1"/>
        <v>-136.96545785903436</v>
      </c>
      <c r="W28" s="208">
        <f t="shared" si="2"/>
        <v>-4.7872829532553994E-3</v>
      </c>
      <c r="X28" s="47">
        <f>(R28+S28+T28)-G28*($K$159+$K$153)/Forutsetninger!$B$3</f>
        <v>13849.624589564031</v>
      </c>
      <c r="Y28" s="278">
        <f>ROUND((1-Forutsetninger!$B$3)*Q28+Forutsetninger!$B$3*X28,0)</f>
        <v>14604</v>
      </c>
      <c r="Z28" s="47">
        <v>14582</v>
      </c>
      <c r="AA28" s="73">
        <f t="shared" si="5"/>
        <v>22</v>
      </c>
      <c r="AB28" s="269">
        <f t="shared" si="6"/>
        <v>1.5087093677136195E-3</v>
      </c>
      <c r="AC28" s="66">
        <f t="shared" si="7"/>
        <v>22</v>
      </c>
      <c r="AD28" s="256">
        <f>VLOOKUP(A28,IR2016prnettnivå!$B$2:$K$133,8,FALSE)</f>
        <v>1</v>
      </c>
      <c r="AE28" s="256">
        <f>VLOOKUP(A28,IR2016prnettnivå!$B$2:$K$133,9,FALSE)</f>
        <v>0</v>
      </c>
      <c r="AF28" s="256">
        <f>VLOOKUP(A28,IR2016prnettnivå!$B$2:$K$133,10,FALSE)</f>
        <v>0</v>
      </c>
      <c r="AG28" s="277">
        <f t="shared" si="8"/>
        <v>22</v>
      </c>
      <c r="AH28" s="277">
        <f t="shared" si="9"/>
        <v>0</v>
      </c>
      <c r="AI28" s="277">
        <f t="shared" si="10"/>
        <v>0</v>
      </c>
      <c r="AJ28" s="277">
        <f t="shared" si="11"/>
        <v>0.28160000000000007</v>
      </c>
      <c r="AK28" s="277">
        <f t="shared" si="12"/>
        <v>0</v>
      </c>
      <c r="AL28" s="277">
        <f t="shared" si="13"/>
        <v>0</v>
      </c>
    </row>
    <row r="29" spans="1:38" x14ac:dyDescent="0.2">
      <c r="A29">
        <v>5782014</v>
      </c>
      <c r="B29" s="1" t="s">
        <v>123</v>
      </c>
      <c r="C29" s="99">
        <f>VLOOKUP(A29,IRData!$A$3:$F$146,6,FALSE)</f>
        <v>12440.209106445313</v>
      </c>
      <c r="D29" s="52">
        <f>C29*Forutsetninger!$C$23</f>
        <v>13087.45626281884</v>
      </c>
      <c r="E29" s="50">
        <f>VLOOKUP($A29,IRData!$A$2:$N$146,7,FALSE)</f>
        <v>4217</v>
      </c>
      <c r="F29" s="50">
        <f>VLOOKUP($A29,IRData!$A$2:$N$146,8,FALSE)</f>
        <v>71884</v>
      </c>
      <c r="G29" s="50">
        <f>VLOOKUP($A29,IRData!$A$2:$N$146,9,FALSE)</f>
        <v>72602.84</v>
      </c>
      <c r="H29" s="50">
        <f>VLOOKUP($A29,IRData!$A$2:$N$146,10,FALSE)</f>
        <v>3325</v>
      </c>
      <c r="I29" s="50">
        <f>VLOOKUP($A29,IRData!$A$2:$N$146,11,FALSE)</f>
        <v>0</v>
      </c>
      <c r="J29" s="52">
        <f>VLOOKUP(A29,IRData!$A$3:$AF$146,32,FALSE)</f>
        <v>863.50250095129013</v>
      </c>
      <c r="K29" s="52">
        <f>VLOOKUP(A29,IRData!$A$3:$AM$146,37,FALSE)</f>
        <v>0</v>
      </c>
      <c r="L29" s="145">
        <f>VLOOKUP($A29,IRData!$A$2:$N$146,13,FALSE)</f>
        <v>588</v>
      </c>
      <c r="M29" s="51">
        <f>L29*Forutsetninger!$C$17</f>
        <v>621.93133674214755</v>
      </c>
      <c r="N29" s="145">
        <f>VLOOKUP(A29,IRData!$A$3:$E$146,5,FALSE)*Forutsetninger!$C$23</f>
        <v>0</v>
      </c>
      <c r="O29" s="145">
        <f>VLOOKUP(A29,IRData!$A$3:$AG$146,19,FALSE)*Forutsetninger!$C$17</f>
        <v>34.798540693551978</v>
      </c>
      <c r="P29" s="52">
        <f t="shared" si="0"/>
        <v>18789.890100512279</v>
      </c>
      <c r="Q29" s="253">
        <f>ROUND(D29+E29+J29+K29+M29+G29*Forutsetninger!$B$5+N29,0)</f>
        <v>23378</v>
      </c>
      <c r="R29" s="53">
        <f>IFERROR((VLOOKUP(A29,'DEAnorm D-nett'!$A$4:$H$134,8,FALSE)+O29),0)</f>
        <v>21806.542261823772</v>
      </c>
      <c r="S29" s="26">
        <f>IFERROR((VLOOKUP(A29,'DEAnorm R-nett'!$A$4:$H$86,8,FALSE)+N29+K29),N29+K29)</f>
        <v>0</v>
      </c>
      <c r="T29" s="151">
        <f>IFERROR(VLOOKUP(A29,IRData!$A$3:$AN$146,40,FALSE),0)</f>
        <v>0</v>
      </c>
      <c r="U29" s="54">
        <f>(1-Forutsetninger!$B$3)*Q29+(R29+S29+T29)*Forutsetninger!$B$3</f>
        <v>22435.125357094264</v>
      </c>
      <c r="V29" s="47">
        <f t="shared" si="1"/>
        <v>3645.2352565819856</v>
      </c>
      <c r="W29" s="208">
        <f t="shared" si="2"/>
        <v>5.0207887963914163E-2</v>
      </c>
      <c r="X29" s="47">
        <f>(R29+S29+T29)-G29*($K$159+$K$153)/Forutsetninger!$B$3</f>
        <v>25247.649132616083</v>
      </c>
      <c r="Y29" s="278">
        <f>ROUND((1-Forutsetninger!$B$3)*Q29+Forutsetninger!$B$3*X29,0)</f>
        <v>24500</v>
      </c>
      <c r="Z29" s="47">
        <v>24488</v>
      </c>
      <c r="AA29" s="73">
        <f t="shared" si="5"/>
        <v>12</v>
      </c>
      <c r="AB29" s="269">
        <f t="shared" si="6"/>
        <v>4.9003593596863766E-4</v>
      </c>
      <c r="AC29" s="66">
        <f t="shared" si="7"/>
        <v>12</v>
      </c>
      <c r="AD29" s="256">
        <f>VLOOKUP(A29,IR2016prnettnivå!$B$2:$K$133,8,FALSE)</f>
        <v>1</v>
      </c>
      <c r="AE29" s="256">
        <f>VLOOKUP(A29,IR2016prnettnivå!$B$2:$K$133,9,FALSE)</f>
        <v>0</v>
      </c>
      <c r="AF29" s="256">
        <f>VLOOKUP(A29,IR2016prnettnivå!$B$2:$K$133,10,FALSE)</f>
        <v>0</v>
      </c>
      <c r="AG29" s="277">
        <f t="shared" si="8"/>
        <v>12</v>
      </c>
      <c r="AH29" s="277">
        <f t="shared" si="9"/>
        <v>0</v>
      </c>
      <c r="AI29" s="277">
        <f t="shared" si="10"/>
        <v>0</v>
      </c>
      <c r="AJ29" s="277">
        <f t="shared" si="11"/>
        <v>0.15360000000000001</v>
      </c>
      <c r="AK29" s="277">
        <f t="shared" si="12"/>
        <v>0</v>
      </c>
      <c r="AL29" s="277">
        <f t="shared" si="13"/>
        <v>0</v>
      </c>
    </row>
    <row r="30" spans="1:38" x14ac:dyDescent="0.2">
      <c r="A30">
        <v>522014</v>
      </c>
      <c r="B30" s="1" t="s">
        <v>267</v>
      </c>
      <c r="C30" s="99">
        <f>VLOOKUP(A30,IRData!$A$3:$F$146,6,FALSE)</f>
        <v>6543.7965698242187</v>
      </c>
      <c r="D30" s="52">
        <f>C30*Forutsetninger!$C$23</f>
        <v>6884.2614032900137</v>
      </c>
      <c r="E30" s="50">
        <f>VLOOKUP($A30,IRData!$A$2:$N$146,7,FALSE)</f>
        <v>2043</v>
      </c>
      <c r="F30" s="50">
        <f>VLOOKUP($A30,IRData!$A$2:$N$146,8,FALSE)</f>
        <v>32552</v>
      </c>
      <c r="G30" s="50">
        <f>VLOOKUP($A30,IRData!$A$2:$N$146,9,FALSE)</f>
        <v>32877.519999999997</v>
      </c>
      <c r="H30" s="50">
        <f>VLOOKUP($A30,IRData!$A$2:$N$146,10,FALSE)</f>
        <v>1312</v>
      </c>
      <c r="I30" s="50">
        <f>VLOOKUP($A30,IRData!$A$2:$N$146,11,FALSE)</f>
        <v>0</v>
      </c>
      <c r="J30" s="52">
        <f>VLOOKUP(A30,IRData!$A$3:$AF$146,32,FALSE)</f>
        <v>325.17920112609863</v>
      </c>
      <c r="K30" s="52">
        <f>VLOOKUP(A30,IRData!$A$3:$AM$146,37,FALSE)</f>
        <v>0</v>
      </c>
      <c r="L30" s="145">
        <f>VLOOKUP($A30,IRData!$A$2:$N$146,13,FALSE)</f>
        <v>610</v>
      </c>
      <c r="M30" s="51">
        <f>L30*Forutsetninger!$C$17</f>
        <v>645.2008765522279</v>
      </c>
      <c r="N30" s="145">
        <f>VLOOKUP(A30,IRData!$A$3:$E$146,5,FALSE)*Forutsetninger!$C$23</f>
        <v>0</v>
      </c>
      <c r="O30" s="145">
        <f>VLOOKUP(A30,IRData!$A$3:$AG$146,19,FALSE)*Forutsetninger!$C$17</f>
        <v>489.86613675013695</v>
      </c>
      <c r="P30" s="52">
        <f t="shared" si="0"/>
        <v>9897.6414809683392</v>
      </c>
      <c r="Q30" s="253">
        <f>ROUND(D30+E30+J30+K30+M30+G30*Forutsetninger!$B$5+N30,0)</f>
        <v>11976</v>
      </c>
      <c r="R30" s="53">
        <f>IFERROR((VLOOKUP(A30,'DEAnorm D-nett'!$A$4:$H$134,8,FALSE)+O30),0)</f>
        <v>10642.595900964103</v>
      </c>
      <c r="S30" s="26">
        <f>IFERROR((VLOOKUP(A30,'DEAnorm R-nett'!$A$4:$H$86,8,FALSE)+N30+K30),N30+K30)</f>
        <v>0</v>
      </c>
      <c r="T30" s="151">
        <f>IFERROR(VLOOKUP(A30,IRData!$A$3:$AN$146,40,FALSE),0)</f>
        <v>0</v>
      </c>
      <c r="U30" s="54">
        <f>(1-Forutsetninger!$B$3)*Q30+(R30+S30+T30)*Forutsetninger!$B$3</f>
        <v>11175.957540578462</v>
      </c>
      <c r="V30" s="47">
        <f t="shared" si="1"/>
        <v>1278.3160596101225</v>
      </c>
      <c r="W30" s="208">
        <f t="shared" si="2"/>
        <v>3.8881158299352341E-2</v>
      </c>
      <c r="X30" s="47">
        <f>(R30+S30+T30)-G30*($K$159+$K$153)/Forutsetninger!$B$3</f>
        <v>12200.869103040104</v>
      </c>
      <c r="Y30" s="278">
        <f>ROUND((1-Forutsetninger!$B$3)*Q30+Forutsetninger!$B$3*X30,0)</f>
        <v>12111</v>
      </c>
      <c r="Z30" s="47">
        <v>12672</v>
      </c>
      <c r="AA30" s="73">
        <f t="shared" si="5"/>
        <v>-561</v>
      </c>
      <c r="AB30" s="269">
        <f t="shared" si="6"/>
        <v>-4.4270833333333336E-2</v>
      </c>
      <c r="AC30" s="66">
        <f t="shared" si="7"/>
        <v>0</v>
      </c>
      <c r="AD30" s="256">
        <f>VLOOKUP(A30,IR2016prnettnivå!$B$2:$K$133,8,FALSE)</f>
        <v>1</v>
      </c>
      <c r="AE30" s="256">
        <f>VLOOKUP(A30,IR2016prnettnivå!$B$2:$K$133,9,FALSE)</f>
        <v>0</v>
      </c>
      <c r="AF30" s="256">
        <f>VLOOKUP(A30,IR2016prnettnivå!$B$2:$K$133,10,FALSE)</f>
        <v>0</v>
      </c>
      <c r="AG30" s="277">
        <f t="shared" si="8"/>
        <v>0</v>
      </c>
      <c r="AH30" s="277">
        <f t="shared" si="9"/>
        <v>0</v>
      </c>
      <c r="AI30" s="277">
        <f t="shared" si="10"/>
        <v>0</v>
      </c>
      <c r="AJ30" s="277">
        <f t="shared" si="11"/>
        <v>0</v>
      </c>
      <c r="AK30" s="277">
        <f t="shared" si="12"/>
        <v>0</v>
      </c>
      <c r="AL30" s="277">
        <f t="shared" si="13"/>
        <v>0</v>
      </c>
    </row>
    <row r="31" spans="1:38" x14ac:dyDescent="0.2">
      <c r="A31">
        <v>532014</v>
      </c>
      <c r="B31" s="1" t="s">
        <v>372</v>
      </c>
      <c r="C31" s="99">
        <f>VLOOKUP(A31,IRData!$A$3:$F$146,6,FALSE)</f>
        <v>19826.626220703125</v>
      </c>
      <c r="D31" s="52">
        <f>C31*Forutsetninger!$C$23</f>
        <v>20858.178611183623</v>
      </c>
      <c r="E31" s="50">
        <f>VLOOKUP($A31,IRData!$A$2:$N$146,7,FALSE)</f>
        <v>9945</v>
      </c>
      <c r="F31" s="50">
        <f>VLOOKUP($A31,IRData!$A$2:$N$146,8,FALSE)</f>
        <v>148753</v>
      </c>
      <c r="G31" s="50">
        <f>VLOOKUP($A31,IRData!$A$2:$N$146,9,FALSE)</f>
        <v>150240.53</v>
      </c>
      <c r="H31" s="50">
        <f>VLOOKUP($A31,IRData!$A$2:$N$146,10,FALSE)</f>
        <v>1657</v>
      </c>
      <c r="I31" s="50">
        <f>VLOOKUP($A31,IRData!$A$2:$N$146,11,FALSE)</f>
        <v>0</v>
      </c>
      <c r="J31" s="52">
        <f>VLOOKUP(A31,IRData!$A$3:$AF$146,32,FALSE)</f>
        <v>458.32620537281036</v>
      </c>
      <c r="K31" s="52">
        <f>VLOOKUP(A31,IRData!$A$3:$AM$146,37,FALSE)</f>
        <v>0</v>
      </c>
      <c r="L31" s="145">
        <f>VLOOKUP($A31,IRData!$A$2:$N$146,13,FALSE)</f>
        <v>893</v>
      </c>
      <c r="M31" s="51">
        <f>L31*Forutsetninger!$C$17</f>
        <v>944.53177501826144</v>
      </c>
      <c r="N31" s="145">
        <f>VLOOKUP(A31,IRData!$A$3:$E$146,5,FALSE)*Forutsetninger!$C$23</f>
        <v>0</v>
      </c>
      <c r="O31" s="145">
        <f>VLOOKUP(A31,IRData!$A$3:$AG$146,19,FALSE)*Forutsetninger!$C$17</f>
        <v>0</v>
      </c>
      <c r="P31" s="52">
        <f t="shared" si="0"/>
        <v>32206.036591574695</v>
      </c>
      <c r="Q31" s="253">
        <f>ROUND(D31+E31+J31+K31+M31+G31*Forutsetninger!$B$5+N31,0)</f>
        <v>41701</v>
      </c>
      <c r="R31" s="53">
        <f>IFERROR((VLOOKUP(A31,'DEAnorm D-nett'!$A$4:$H$134,8,FALSE)+O31),0)</f>
        <v>44529.189376237788</v>
      </c>
      <c r="S31" s="26">
        <f>IFERROR((VLOOKUP(A31,'DEAnorm R-nett'!$A$4:$H$86,8,FALSE)+N31+K31),N31+K31)</f>
        <v>0</v>
      </c>
      <c r="T31" s="151">
        <f>IFERROR(VLOOKUP(A31,IRData!$A$3:$AN$146,40,FALSE),0)</f>
        <v>0</v>
      </c>
      <c r="U31" s="54">
        <f>(1-Forutsetninger!$B$3)*Q31+(R31+S31+T31)*Forutsetninger!$B$3</f>
        <v>43397.913625742673</v>
      </c>
      <c r="V31" s="47">
        <f t="shared" si="1"/>
        <v>11191.877034167977</v>
      </c>
      <c r="W31" s="208">
        <f t="shared" si="2"/>
        <v>7.4493061453976356E-2</v>
      </c>
      <c r="X31" s="47">
        <f>(R31+S31+T31)-G31*($K$159+$K$153)/Forutsetninger!$B$3</f>
        <v>51650.036440271069</v>
      </c>
      <c r="Y31" s="278">
        <f>ROUND((1-Forutsetninger!$B$3)*Q31+Forutsetninger!$B$3*X31,0)</f>
        <v>47670</v>
      </c>
      <c r="Z31" s="47">
        <v>47631</v>
      </c>
      <c r="AA31" s="73">
        <f t="shared" si="5"/>
        <v>39</v>
      </c>
      <c r="AB31" s="269">
        <f t="shared" si="6"/>
        <v>8.1879448258487123E-4</v>
      </c>
      <c r="AC31" s="66">
        <f t="shared" si="7"/>
        <v>39</v>
      </c>
      <c r="AD31" s="256">
        <f>VLOOKUP(A31,IR2016prnettnivå!$B$2:$K$133,8,FALSE)</f>
        <v>1</v>
      </c>
      <c r="AE31" s="256">
        <f>VLOOKUP(A31,IR2016prnettnivå!$B$2:$K$133,9,FALSE)</f>
        <v>0</v>
      </c>
      <c r="AF31" s="256">
        <f>VLOOKUP(A31,IR2016prnettnivå!$B$2:$K$133,10,FALSE)</f>
        <v>0</v>
      </c>
      <c r="AG31" s="277">
        <f t="shared" si="8"/>
        <v>39</v>
      </c>
      <c r="AH31" s="277">
        <f t="shared" si="9"/>
        <v>0</v>
      </c>
      <c r="AI31" s="277">
        <f t="shared" si="10"/>
        <v>0</v>
      </c>
      <c r="AJ31" s="277">
        <f t="shared" si="11"/>
        <v>0.49920000000000009</v>
      </c>
      <c r="AK31" s="277">
        <f t="shared" si="12"/>
        <v>0</v>
      </c>
      <c r="AL31" s="277">
        <f t="shared" si="13"/>
        <v>0</v>
      </c>
    </row>
    <row r="32" spans="1:38" x14ac:dyDescent="0.2">
      <c r="A32">
        <v>322014</v>
      </c>
      <c r="B32" s="1" t="s">
        <v>266</v>
      </c>
      <c r="C32" s="99">
        <f>VLOOKUP(A32,IRData!$A$3:$F$146,6,FALSE)</f>
        <v>53614.158752441406</v>
      </c>
      <c r="D32" s="52">
        <f>C32*Forutsetninger!$C$23</f>
        <v>56403.630496601843</v>
      </c>
      <c r="E32" s="50">
        <f>VLOOKUP($A32,IRData!$A$2:$N$146,7,FALSE)</f>
        <v>36015</v>
      </c>
      <c r="F32" s="50">
        <f>VLOOKUP($A32,IRData!$A$2:$N$146,8,FALSE)</f>
        <v>452533</v>
      </c>
      <c r="G32" s="50">
        <f>VLOOKUP($A32,IRData!$A$2:$N$146,9,FALSE)</f>
        <v>457058.33</v>
      </c>
      <c r="H32" s="50">
        <f>VLOOKUP($A32,IRData!$A$2:$N$146,10,FALSE)</f>
        <v>52600</v>
      </c>
      <c r="I32" s="50">
        <f>VLOOKUP($A32,IRData!$A$2:$N$146,11,FALSE)</f>
        <v>0</v>
      </c>
      <c r="J32" s="52">
        <f>VLOOKUP(A32,IRData!$A$3:$AF$146,32,FALSE)</f>
        <v>13660.220015048981</v>
      </c>
      <c r="K32" s="52">
        <f>VLOOKUP(A32,IRData!$A$3:$AM$146,37,FALSE)</f>
        <v>0</v>
      </c>
      <c r="L32" s="145">
        <f>VLOOKUP($A32,IRData!$A$2:$N$146,13,FALSE)</f>
        <v>2406</v>
      </c>
      <c r="M32" s="51">
        <f>L32*Forutsetninger!$C$17</f>
        <v>2544.8414901387873</v>
      </c>
      <c r="N32" s="145">
        <f>VLOOKUP(A32,IRData!$A$3:$E$146,5,FALSE)*Forutsetninger!$C$23</f>
        <v>0</v>
      </c>
      <c r="O32" s="145">
        <f>VLOOKUP(A32,IRData!$A$3:$AG$146,19,FALSE)*Forutsetninger!$C$17</f>
        <v>8874.7481795562453</v>
      </c>
      <c r="P32" s="52">
        <f t="shared" si="0"/>
        <v>108623.6920017896</v>
      </c>
      <c r="Q32" s="253">
        <f>ROUND(D32+E32+J32+K32+M32+G32*Forutsetninger!$B$5+N32,0)</f>
        <v>137510</v>
      </c>
      <c r="R32" s="53">
        <f>IFERROR((VLOOKUP(A32,'DEAnorm D-nett'!$A$4:$H$134,8,FALSE)+O32),0)</f>
        <v>136904.51769411031</v>
      </c>
      <c r="S32" s="26">
        <f>IFERROR((VLOOKUP(A32,'DEAnorm R-nett'!$A$4:$H$86,8,FALSE)+N32+K32),N32+K32)</f>
        <v>0</v>
      </c>
      <c r="T32" s="151">
        <f>IFERROR(VLOOKUP(A32,IRData!$A$3:$AN$146,40,FALSE),0)</f>
        <v>0</v>
      </c>
      <c r="U32" s="54">
        <f>(1-Forutsetninger!$B$3)*Q32+(R32+S32+T32)*Forutsetninger!$B$3</f>
        <v>137146.71061646618</v>
      </c>
      <c r="V32" s="47">
        <f t="shared" si="1"/>
        <v>28523.018614676577</v>
      </c>
      <c r="W32" s="208">
        <f t="shared" si="2"/>
        <v>6.2405642217868727E-2</v>
      </c>
      <c r="X32" s="47">
        <f>(R32+S32+T32)-G32*($K$159+$K$153)/Forutsetninger!$B$3</f>
        <v>158567.39699354072</v>
      </c>
      <c r="Y32" s="278">
        <f>ROUND((1-Forutsetninger!$B$3)*Q32+Forutsetninger!$B$3*X32,0)</f>
        <v>150144</v>
      </c>
      <c r="Z32" s="47">
        <v>150045</v>
      </c>
      <c r="AA32" s="73">
        <f t="shared" si="5"/>
        <v>99</v>
      </c>
      <c r="AB32" s="269">
        <f t="shared" si="6"/>
        <v>6.5980205938218539E-4</v>
      </c>
      <c r="AC32" s="66">
        <f t="shared" si="7"/>
        <v>99</v>
      </c>
      <c r="AD32" s="256">
        <f>VLOOKUP(A32,IR2016prnettnivå!$B$2:$K$133,8,FALSE)</f>
        <v>0.99913935585699609</v>
      </c>
      <c r="AE32" s="256">
        <f>VLOOKUP(A32,IR2016prnettnivå!$B$2:$K$133,9,FALSE)</f>
        <v>8.6064414300391604E-4</v>
      </c>
      <c r="AF32" s="256">
        <f>VLOOKUP(A32,IR2016prnettnivå!$B$2:$K$133,10,FALSE)</f>
        <v>0</v>
      </c>
      <c r="AG32" s="277">
        <f t="shared" si="8"/>
        <v>98.914796229842608</v>
      </c>
      <c r="AH32" s="277">
        <f t="shared" si="9"/>
        <v>8.5203770157387684E-2</v>
      </c>
      <c r="AI32" s="277">
        <f t="shared" si="10"/>
        <v>0</v>
      </c>
      <c r="AJ32" s="277">
        <f t="shared" si="11"/>
        <v>1.2661093917419857</v>
      </c>
      <c r="AK32" s="277">
        <f t="shared" si="12"/>
        <v>1.0906082580145625E-3</v>
      </c>
      <c r="AL32" s="277">
        <f t="shared" si="13"/>
        <v>0</v>
      </c>
    </row>
    <row r="33" spans="1:38" x14ac:dyDescent="0.2">
      <c r="A33">
        <v>552014</v>
      </c>
      <c r="B33" s="1" t="s">
        <v>36</v>
      </c>
      <c r="C33" s="99">
        <f>VLOOKUP(A33,IRData!$A$3:$F$146,6,FALSE)</f>
        <v>16170.472961425781</v>
      </c>
      <c r="D33" s="52">
        <f>C33*Forutsetninger!$C$23</f>
        <v>17011.800671590656</v>
      </c>
      <c r="E33" s="50">
        <f>VLOOKUP($A33,IRData!$A$2:$N$146,7,FALSE)</f>
        <v>4570</v>
      </c>
      <c r="F33" s="50">
        <f>VLOOKUP($A33,IRData!$A$2:$N$146,8,FALSE)</f>
        <v>77738</v>
      </c>
      <c r="G33" s="50">
        <f>VLOOKUP($A33,IRData!$A$2:$N$146,9,FALSE)</f>
        <v>78515.38</v>
      </c>
      <c r="H33" s="50">
        <f>VLOOKUP($A33,IRData!$A$2:$N$146,10,FALSE)</f>
        <v>5519</v>
      </c>
      <c r="I33" s="50">
        <f>VLOOKUP($A33,IRData!$A$2:$N$146,11,FALSE)</f>
        <v>0</v>
      </c>
      <c r="J33" s="52">
        <f>VLOOKUP(A33,IRData!$A$3:$AF$146,32,FALSE)</f>
        <v>1361.4821379482746</v>
      </c>
      <c r="K33" s="52">
        <f>VLOOKUP(A33,IRData!$A$3:$AM$146,37,FALSE)</f>
        <v>0</v>
      </c>
      <c r="L33" s="145">
        <f>VLOOKUP($A33,IRData!$A$2:$N$146,13,FALSE)</f>
        <v>299</v>
      </c>
      <c r="M33" s="51">
        <f>L33*Forutsetninger!$C$17</f>
        <v>316.25420014609205</v>
      </c>
      <c r="N33" s="145">
        <f>VLOOKUP(A33,IRData!$A$3:$E$146,5,FALSE)*Forutsetninger!$C$23</f>
        <v>0</v>
      </c>
      <c r="O33" s="145">
        <f>VLOOKUP(A33,IRData!$A$3:$AG$146,19,FALSE)*Forutsetninger!$C$17</f>
        <v>382.82624071231282</v>
      </c>
      <c r="P33" s="52">
        <f t="shared" si="0"/>
        <v>23259.537009685024</v>
      </c>
      <c r="Q33" s="253">
        <f>ROUND(D33+E33+J33+K33+M33+G33*Forutsetninger!$B$5+N33,0)</f>
        <v>28222</v>
      </c>
      <c r="R33" s="53">
        <f>IFERROR((VLOOKUP(A33,'DEAnorm D-nett'!$A$4:$H$134,8,FALSE)+O33),0)</f>
        <v>24092.767067541117</v>
      </c>
      <c r="S33" s="26">
        <f>IFERROR((VLOOKUP(A33,'DEAnorm R-nett'!$A$4:$H$86,8,FALSE)+N33+K33),N33+K33)</f>
        <v>0</v>
      </c>
      <c r="T33" s="151">
        <f>IFERROR(VLOOKUP(A33,IRData!$A$3:$AN$146,40,FALSE),0)</f>
        <v>0</v>
      </c>
      <c r="U33" s="54">
        <f>(1-Forutsetninger!$B$3)*Q33+(R33+S33+T33)*Forutsetninger!$B$3</f>
        <v>25744.46024052467</v>
      </c>
      <c r="V33" s="47">
        <f t="shared" si="1"/>
        <v>2484.9232308396458</v>
      </c>
      <c r="W33" s="208">
        <f t="shared" si="2"/>
        <v>3.1648872244388879E-2</v>
      </c>
      <c r="X33" s="47">
        <f>(R33+S33+T33)-G33*($K$159+$K$153)/Forutsetninger!$B$3</f>
        <v>27814.106530031415</v>
      </c>
      <c r="Y33" s="278">
        <f>ROUND((1-Forutsetninger!$B$3)*Q33+Forutsetninger!$B$3*X33,0)</f>
        <v>27977</v>
      </c>
      <c r="Z33" s="47">
        <v>27990</v>
      </c>
      <c r="AA33" s="73">
        <f t="shared" si="5"/>
        <v>-13</v>
      </c>
      <c r="AB33" s="269">
        <f t="shared" si="6"/>
        <v>-4.6445158985351911E-4</v>
      </c>
      <c r="AC33" s="66">
        <f t="shared" si="7"/>
        <v>0</v>
      </c>
      <c r="AD33" s="256">
        <f>VLOOKUP(A33,IR2016prnettnivå!$B$2:$K$133,8,FALSE)</f>
        <v>1</v>
      </c>
      <c r="AE33" s="256">
        <f>VLOOKUP(A33,IR2016prnettnivå!$B$2:$K$133,9,FALSE)</f>
        <v>0</v>
      </c>
      <c r="AF33" s="256">
        <f>VLOOKUP(A33,IR2016prnettnivå!$B$2:$K$133,10,FALSE)</f>
        <v>0</v>
      </c>
      <c r="AG33" s="277">
        <f t="shared" si="8"/>
        <v>0</v>
      </c>
      <c r="AH33" s="277">
        <f t="shared" si="9"/>
        <v>0</v>
      </c>
      <c r="AI33" s="277">
        <f t="shared" si="10"/>
        <v>0</v>
      </c>
      <c r="AJ33" s="277">
        <f t="shared" si="11"/>
        <v>0</v>
      </c>
      <c r="AK33" s="277">
        <f t="shared" si="12"/>
        <v>0</v>
      </c>
      <c r="AL33" s="277">
        <f t="shared" si="13"/>
        <v>0</v>
      </c>
    </row>
    <row r="34" spans="1:38" x14ac:dyDescent="0.2">
      <c r="A34">
        <v>9002014</v>
      </c>
      <c r="B34" s="1" t="s">
        <v>279</v>
      </c>
      <c r="C34" s="99">
        <f>VLOOKUP(A34,IRData!$A$3:$F$146,6,FALSE)</f>
        <v>916</v>
      </c>
      <c r="D34" s="52">
        <f>C34*Forutsetninger!$C$23</f>
        <v>963.65823389021477</v>
      </c>
      <c r="E34" s="50">
        <f>VLOOKUP($A34,IRData!$A$2:$N$146,7,FALSE)</f>
        <v>667</v>
      </c>
      <c r="F34" s="50">
        <f>VLOOKUP($A34,IRData!$A$2:$N$146,8,FALSE)</f>
        <v>9342</v>
      </c>
      <c r="G34" s="50">
        <f>VLOOKUP($A34,IRData!$A$2:$N$146,9,FALSE)</f>
        <v>9435.42</v>
      </c>
      <c r="H34" s="50">
        <f>VLOOKUP($A34,IRData!$A$2:$N$146,10,FALSE)</f>
        <v>0</v>
      </c>
      <c r="I34" s="50">
        <f>VLOOKUP($A34,IRData!$A$2:$N$146,11,FALSE)</f>
        <v>0</v>
      </c>
      <c r="J34" s="52">
        <f>VLOOKUP(A34,IRData!$A$3:$AF$146,32,FALSE)</f>
        <v>0</v>
      </c>
      <c r="K34" s="52">
        <f>VLOOKUP(A34,IRData!$A$3:$AM$146,37,FALSE)</f>
        <v>0</v>
      </c>
      <c r="L34" s="145">
        <f>VLOOKUP($A34,IRData!$A$2:$N$146,13,FALSE)</f>
        <v>0</v>
      </c>
      <c r="M34" s="51">
        <f>L34*Forutsetninger!$C$17</f>
        <v>0</v>
      </c>
      <c r="N34" s="145">
        <f>VLOOKUP(A34,IRData!$A$3:$E$146,5,FALSE)*Forutsetninger!$C$23</f>
        <v>0</v>
      </c>
      <c r="O34" s="145">
        <f>VLOOKUP(A34,IRData!$A$3:$AG$146,19,FALSE)*Forutsetninger!$C$17</f>
        <v>0</v>
      </c>
      <c r="P34" s="52">
        <f t="shared" si="0"/>
        <v>1630.6582338902149</v>
      </c>
      <c r="Q34" s="253">
        <f>ROUND(D34+E34+J34+K34+M34+G34*Forutsetninger!$B$5+N34,0)</f>
        <v>2227</v>
      </c>
      <c r="R34" s="53">
        <f>IFERROR((VLOOKUP(A34,'DEAnorm D-nett'!$A$4:$H$134,8,FALSE)+O34),0)</f>
        <v>0</v>
      </c>
      <c r="S34" s="26">
        <f>IFERROR((VLOOKUP(A34,'DEAnorm R-nett'!$A$4:$H$86,8,FALSE)+N34+K34),N34+K34)</f>
        <v>0</v>
      </c>
      <c r="T34" s="151">
        <f>IFERROR(VLOOKUP(A34,IRData!$A$3:$AN$146,40,FALSE),0)</f>
        <v>2226.9767778902151</v>
      </c>
      <c r="U34" s="54">
        <f>(1-Forutsetninger!$B$3)*Q34+(R34+S34+T34)*Forutsetninger!$B$3</f>
        <v>2226.9860667341291</v>
      </c>
      <c r="V34" s="47">
        <f t="shared" si="1"/>
        <v>596.32783284391417</v>
      </c>
      <c r="W34" s="208">
        <f t="shared" si="2"/>
        <v>6.3200984465335314E-2</v>
      </c>
      <c r="X34" s="47">
        <f>(R34+S34+T34)-G34*($K$159+$K$153)/Forutsetninger!$B$3</f>
        <v>2674.1808898892937</v>
      </c>
      <c r="Y34" s="278">
        <f>ROUND((1-Forutsetninger!$B$3)*Q34+Forutsetninger!$B$3*X34,0)</f>
        <v>2495</v>
      </c>
      <c r="Z34" s="47">
        <v>2496</v>
      </c>
      <c r="AA34" s="73">
        <f t="shared" si="5"/>
        <v>-1</v>
      </c>
      <c r="AB34" s="269">
        <f t="shared" si="6"/>
        <v>-4.0064102564102563E-4</v>
      </c>
      <c r="AC34" s="66">
        <f t="shared" si="7"/>
        <v>0</v>
      </c>
      <c r="AD34" s="256">
        <f>VLOOKUP(A34,IR2016prnettnivå!$B$2:$K$133,8,FALSE)</f>
        <v>0</v>
      </c>
      <c r="AE34" s="256">
        <f>VLOOKUP(A34,IR2016prnettnivå!$B$2:$K$133,9,FALSE)</f>
        <v>0</v>
      </c>
      <c r="AF34" s="256">
        <f>VLOOKUP(A34,IR2016prnettnivå!$B$2:$K$133,10,FALSE)</f>
        <v>1</v>
      </c>
      <c r="AG34" s="277">
        <f t="shared" si="8"/>
        <v>0</v>
      </c>
      <c r="AH34" s="277">
        <f t="shared" si="9"/>
        <v>0</v>
      </c>
      <c r="AI34" s="277">
        <f t="shared" si="10"/>
        <v>0</v>
      </c>
      <c r="AJ34" s="277">
        <f t="shared" si="11"/>
        <v>0</v>
      </c>
      <c r="AK34" s="277">
        <f t="shared" si="12"/>
        <v>0</v>
      </c>
      <c r="AL34" s="277">
        <f t="shared" si="13"/>
        <v>0</v>
      </c>
    </row>
    <row r="35" spans="1:38" x14ac:dyDescent="0.2">
      <c r="A35">
        <v>1192014</v>
      </c>
      <c r="B35" s="1" t="s">
        <v>82</v>
      </c>
      <c r="C35" s="99">
        <f>VLOOKUP(A35,IRData!$A$3:$F$146,6,FALSE)</f>
        <v>18533.131958007813</v>
      </c>
      <c r="D35" s="52">
        <f>C35*Forutsetninger!$C$23</f>
        <v>19497.385601646405</v>
      </c>
      <c r="E35" s="50">
        <f>VLOOKUP($A35,IRData!$A$2:$N$146,7,FALSE)</f>
        <v>5091</v>
      </c>
      <c r="F35" s="50">
        <f>VLOOKUP($A35,IRData!$A$2:$N$146,8,FALSE)</f>
        <v>75453</v>
      </c>
      <c r="G35" s="50">
        <f>VLOOKUP($A35,IRData!$A$2:$N$146,9,FALSE)</f>
        <v>76207.53</v>
      </c>
      <c r="H35" s="50">
        <f>VLOOKUP($A35,IRData!$A$2:$N$146,10,FALSE)</f>
        <v>7073</v>
      </c>
      <c r="I35" s="50">
        <f>VLOOKUP($A35,IRData!$A$2:$N$146,11,FALSE)</f>
        <v>0</v>
      </c>
      <c r="J35" s="52">
        <f>VLOOKUP(A35,IRData!$A$3:$AF$146,32,FALSE)</f>
        <v>1956.3918229341507</v>
      </c>
      <c r="K35" s="52">
        <f>VLOOKUP(A35,IRData!$A$3:$AM$146,37,FALSE)</f>
        <v>0</v>
      </c>
      <c r="L35" s="145">
        <f>VLOOKUP($A35,IRData!$A$2:$N$146,13,FALSE)</f>
        <v>1013</v>
      </c>
      <c r="M35" s="51">
        <f>L35*Forutsetninger!$C$17</f>
        <v>1071.4565376186997</v>
      </c>
      <c r="N35" s="145">
        <f>VLOOKUP(A35,IRData!$A$3:$E$146,5,FALSE)*Forutsetninger!$C$23</f>
        <v>0</v>
      </c>
      <c r="O35" s="145">
        <f>VLOOKUP(A35,IRData!$A$3:$AG$146,19,FALSE)*Forutsetninger!$C$17</f>
        <v>0</v>
      </c>
      <c r="P35" s="52">
        <f t="shared" ref="P35:P66" si="17">D35+E35+K35+J35+M35+N35</f>
        <v>27616.233962199254</v>
      </c>
      <c r="Q35" s="253">
        <f>ROUND(D35+E35+J35+K35+M35+G35*Forutsetninger!$B$5+N35,0)</f>
        <v>32433</v>
      </c>
      <c r="R35" s="53">
        <f>IFERROR((VLOOKUP(A35,'DEAnorm D-nett'!$A$4:$H$134,8,FALSE)+O35),0)</f>
        <v>33284.179931838138</v>
      </c>
      <c r="S35" s="26">
        <f>IFERROR((VLOOKUP(A35,'DEAnorm R-nett'!$A$4:$H$86,8,FALSE)+N35+K35),N35+K35)</f>
        <v>0</v>
      </c>
      <c r="T35" s="151">
        <f>IFERROR(VLOOKUP(A35,IRData!$A$3:$AN$146,40,FALSE),0)</f>
        <v>0</v>
      </c>
      <c r="U35" s="54">
        <f>(1-Forutsetninger!$B$3)*Q35+(R35+S35+T35)*Forutsetninger!$B$3</f>
        <v>32943.707959102881</v>
      </c>
      <c r="V35" s="47">
        <f t="shared" ref="V35:V66" si="18">U35-P35</f>
        <v>5327.4739969036273</v>
      </c>
      <c r="W35" s="208">
        <f t="shared" ref="W35:W66" si="19">IF(G35=0,0,V35/G35)</f>
        <v>6.9907448737724837E-2</v>
      </c>
      <c r="X35" s="47">
        <f>(R35+S35+T35)-G35*($K$159+$K$153)/Forutsetninger!$B$3</f>
        <v>36896.135815232105</v>
      </c>
      <c r="Y35" s="278">
        <f>ROUND((1-Forutsetninger!$B$3)*Q35+Forutsetninger!$B$3*X35,0)</f>
        <v>35111</v>
      </c>
      <c r="Z35" s="47">
        <v>35101</v>
      </c>
      <c r="AA35" s="73">
        <f t="shared" si="5"/>
        <v>10</v>
      </c>
      <c r="AB35" s="269">
        <f t="shared" si="6"/>
        <v>2.8489216831429303E-4</v>
      </c>
      <c r="AC35" s="66">
        <f t="shared" si="7"/>
        <v>10</v>
      </c>
      <c r="AD35" s="256">
        <f>VLOOKUP(A35,IR2016prnettnivå!$B$2:$K$133,8,FALSE)</f>
        <v>1</v>
      </c>
      <c r="AE35" s="256">
        <f>VLOOKUP(A35,IR2016prnettnivå!$B$2:$K$133,9,FALSE)</f>
        <v>0</v>
      </c>
      <c r="AF35" s="256">
        <f>VLOOKUP(A35,IR2016prnettnivå!$B$2:$K$133,10,FALSE)</f>
        <v>0</v>
      </c>
      <c r="AG35" s="277">
        <f t="shared" si="8"/>
        <v>10</v>
      </c>
      <c r="AH35" s="277">
        <f t="shared" si="9"/>
        <v>0</v>
      </c>
      <c r="AI35" s="277">
        <f t="shared" si="10"/>
        <v>0</v>
      </c>
      <c r="AJ35" s="277">
        <f t="shared" si="11"/>
        <v>0.12800000000000003</v>
      </c>
      <c r="AK35" s="277">
        <f t="shared" si="12"/>
        <v>0</v>
      </c>
      <c r="AL35" s="277">
        <f t="shared" si="13"/>
        <v>0</v>
      </c>
    </row>
    <row r="36" spans="1:38" x14ac:dyDescent="0.2">
      <c r="A36">
        <v>2952014</v>
      </c>
      <c r="B36" s="1" t="s">
        <v>242</v>
      </c>
      <c r="C36" s="99">
        <f>VLOOKUP(A36,IRData!$A$3:$F$146,6,FALSE)</f>
        <v>51043.810081481934</v>
      </c>
      <c r="D36" s="52">
        <f>C36*Forutsetninger!$C$23</f>
        <v>53699.550080948058</v>
      </c>
      <c r="E36" s="50">
        <f>VLOOKUP($A36,IRData!$A$2:$N$146,7,FALSE)</f>
        <v>12321</v>
      </c>
      <c r="F36" s="50">
        <f>VLOOKUP($A36,IRData!$A$2:$N$146,8,FALSE)</f>
        <v>230929</v>
      </c>
      <c r="G36" s="50">
        <f>VLOOKUP($A36,IRData!$A$2:$N$146,9,FALSE)</f>
        <v>233238.29</v>
      </c>
      <c r="H36" s="50">
        <f>VLOOKUP($A36,IRData!$A$2:$N$146,10,FALSE)</f>
        <v>19011</v>
      </c>
      <c r="I36" s="50">
        <f>VLOOKUP($A36,IRData!$A$2:$N$146,11,FALSE)</f>
        <v>7623</v>
      </c>
      <c r="J36" s="52">
        <f>VLOOKUP(A36,IRData!$A$3:$AF$146,32,FALSE)</f>
        <v>4937.1567054390907</v>
      </c>
      <c r="K36" s="52">
        <f>VLOOKUP(A36,IRData!$A$3:$AM$146,37,FALSE)</f>
        <v>1979.6931021809578</v>
      </c>
      <c r="L36" s="145">
        <f>VLOOKUP($A36,IRData!$A$2:$N$146,13,FALSE)</f>
        <v>4235</v>
      </c>
      <c r="M36" s="51">
        <f>L36*Forutsetninger!$C$17</f>
        <v>4479.3864134404675</v>
      </c>
      <c r="N36" s="145">
        <f>VLOOKUP(A36,IRData!$A$3:$E$146,5,FALSE)*Forutsetninger!$C$23</f>
        <v>0</v>
      </c>
      <c r="O36" s="145">
        <f>VLOOKUP(A36,IRData!$A$3:$AG$146,19,FALSE)*Forutsetninger!$C$17</f>
        <v>0</v>
      </c>
      <c r="P36" s="52">
        <f t="shared" si="17"/>
        <v>77416.786302008579</v>
      </c>
      <c r="Q36" s="253">
        <f>ROUND(D36+E36+J36+K36+M36+G36*Forutsetninger!$B$5+N36,0)</f>
        <v>92157</v>
      </c>
      <c r="R36" s="53">
        <f>IFERROR((VLOOKUP(A36,'DEAnorm D-nett'!$A$4:$H$134,8,FALSE)+O36),0)</f>
        <v>82826.093270151061</v>
      </c>
      <c r="S36" s="26">
        <f>IFERROR((VLOOKUP(A36,'DEAnorm R-nett'!$A$4:$H$86,8,FALSE)+N36+K36),N36+K36)</f>
        <v>12477.049040159343</v>
      </c>
      <c r="T36" s="151">
        <f>IFERROR(VLOOKUP(A36,IRData!$A$3:$AN$146,40,FALSE),0)</f>
        <v>0</v>
      </c>
      <c r="U36" s="54">
        <f>(1-Forutsetninger!$B$3)*Q36+(R36+S36+T36)*Forutsetninger!$B$3</f>
        <v>94044.685386186233</v>
      </c>
      <c r="V36" s="47">
        <f t="shared" si="18"/>
        <v>16627.899084177654</v>
      </c>
      <c r="W36" s="208">
        <f t="shared" si="19"/>
        <v>7.1291463696538215E-2</v>
      </c>
      <c r="X36" s="47">
        <f>(R36+S36+T36)-G36*($K$159+$K$153)/Forutsetninger!$B$3</f>
        <v>106357.77711868497</v>
      </c>
      <c r="Y36" s="278">
        <f>ROUND((1-Forutsetninger!$B$3)*Q36+Forutsetninger!$B$3*X36,0)</f>
        <v>100677</v>
      </c>
      <c r="Z36" s="47">
        <v>100881</v>
      </c>
      <c r="AA36" s="73">
        <f t="shared" si="5"/>
        <v>-204</v>
      </c>
      <c r="AB36" s="269">
        <f t="shared" si="6"/>
        <v>-2.022184554078568E-3</v>
      </c>
      <c r="AC36" s="66">
        <f t="shared" si="7"/>
        <v>0</v>
      </c>
      <c r="AD36" s="256">
        <f>VLOOKUP(A36,IR2016prnettnivå!$B$2:$K$133,8,FALSE)</f>
        <v>0.86529673575797228</v>
      </c>
      <c r="AE36" s="256">
        <f>VLOOKUP(A36,IR2016prnettnivå!$B$2:$K$133,9,FALSE)</f>
        <v>0.13470326424202775</v>
      </c>
      <c r="AF36" s="256">
        <f>VLOOKUP(A36,IR2016prnettnivå!$B$2:$K$133,10,FALSE)</f>
        <v>0</v>
      </c>
      <c r="AG36" s="277">
        <f t="shared" si="8"/>
        <v>0</v>
      </c>
      <c r="AH36" s="277">
        <f t="shared" si="9"/>
        <v>0</v>
      </c>
      <c r="AI36" s="277">
        <f t="shared" si="10"/>
        <v>0</v>
      </c>
      <c r="AJ36" s="277">
        <f t="shared" si="11"/>
        <v>0</v>
      </c>
      <c r="AK36" s="277">
        <f t="shared" si="12"/>
        <v>0</v>
      </c>
      <c r="AL36" s="277">
        <f t="shared" si="13"/>
        <v>0</v>
      </c>
    </row>
    <row r="37" spans="1:38" x14ac:dyDescent="0.2">
      <c r="A37">
        <v>622014</v>
      </c>
      <c r="B37" s="1" t="s">
        <v>207</v>
      </c>
      <c r="C37" s="99">
        <f>VLOOKUP(A37,IRData!$A$3:$F$146,6,FALSE)</f>
        <v>41523.8642578125</v>
      </c>
      <c r="D37" s="52">
        <f>C37*Forutsetninger!$C$23</f>
        <v>43684.294426834727</v>
      </c>
      <c r="E37" s="50">
        <f>VLOOKUP($A37,IRData!$A$2:$N$146,7,FALSE)</f>
        <v>15493</v>
      </c>
      <c r="F37" s="50">
        <f>VLOOKUP($A37,IRData!$A$2:$N$146,8,FALSE)</f>
        <v>259887</v>
      </c>
      <c r="G37" s="50">
        <f>VLOOKUP($A37,IRData!$A$2:$N$146,9,FALSE)</f>
        <v>262485.87</v>
      </c>
      <c r="H37" s="50">
        <f>VLOOKUP($A37,IRData!$A$2:$N$146,10,FALSE)</f>
        <v>16568</v>
      </c>
      <c r="I37" s="50">
        <f>VLOOKUP($A37,IRData!$A$2:$N$146,11,FALSE)</f>
        <v>3039</v>
      </c>
      <c r="J37" s="52">
        <f>VLOOKUP(A37,IRData!$A$3:$AF$146,32,FALSE)</f>
        <v>4302.7096047401428</v>
      </c>
      <c r="K37" s="52">
        <f>VLOOKUP(A37,IRData!$A$3:$AM$146,37,FALSE)</f>
        <v>789.22830086946487</v>
      </c>
      <c r="L37" s="145">
        <f>VLOOKUP($A37,IRData!$A$2:$N$146,13,FALSE)</f>
        <v>2779</v>
      </c>
      <c r="M37" s="51">
        <f>L37*Forutsetninger!$C$17</f>
        <v>2939.3659605551497</v>
      </c>
      <c r="N37" s="145">
        <f>VLOOKUP(A37,IRData!$A$3:$E$146,5,FALSE)*Forutsetninger!$C$23</f>
        <v>0</v>
      </c>
      <c r="O37" s="145">
        <f>VLOOKUP(A37,IRData!$A$3:$AG$146,19,FALSE)*Forutsetninger!$C$17</f>
        <v>0</v>
      </c>
      <c r="P37" s="52">
        <f t="shared" si="17"/>
        <v>67208.598292999479</v>
      </c>
      <c r="Q37" s="253">
        <f>ROUND(D37+E37+J37+K37+M37+G37*Forutsetninger!$B$5+N37,0)</f>
        <v>83798</v>
      </c>
      <c r="R37" s="53">
        <f>IFERROR((VLOOKUP(A37,'DEAnorm D-nett'!$A$4:$H$134,8,FALSE)+O37),0)</f>
        <v>88445.376423234935</v>
      </c>
      <c r="S37" s="26">
        <f>IFERROR((VLOOKUP(A37,'DEAnorm R-nett'!$A$4:$H$86,8,FALSE)+N37+K37),N37+K37)</f>
        <v>10014.672395548379</v>
      </c>
      <c r="T37" s="151">
        <f>IFERROR(VLOOKUP(A37,IRData!$A$3:$AN$146,40,FALSE),0)</f>
        <v>0</v>
      </c>
      <c r="U37" s="54">
        <f>(1-Forutsetninger!$B$3)*Q37+(R37+S37+T37)*Forutsetninger!$B$3</f>
        <v>92595.229291269992</v>
      </c>
      <c r="V37" s="47">
        <f t="shared" si="18"/>
        <v>25386.630998270513</v>
      </c>
      <c r="W37" s="208">
        <f t="shared" si="19"/>
        <v>9.6716181325381498E-2</v>
      </c>
      <c r="X37" s="47">
        <f>(R37+S37+T37)-G37*($K$159+$K$153)/Forutsetninger!$B$3</f>
        <v>110900.91105974933</v>
      </c>
      <c r="Y37" s="278">
        <f>ROUND((1-Forutsetninger!$B$3)*Q37+Forutsetninger!$B$3*X37,0)</f>
        <v>100060</v>
      </c>
      <c r="Z37" s="47">
        <v>99288</v>
      </c>
      <c r="AA37" s="73">
        <f t="shared" si="5"/>
        <v>772</v>
      </c>
      <c r="AB37" s="269">
        <f t="shared" si="6"/>
        <v>7.7753605672387397E-3</v>
      </c>
      <c r="AC37" s="66">
        <f t="shared" si="7"/>
        <v>772</v>
      </c>
      <c r="AD37" s="268">
        <f>AD18</f>
        <v>0.63665658700087435</v>
      </c>
      <c r="AE37" s="268">
        <f t="shared" ref="AE37:AF37" si="20">AE18</f>
        <v>0.36334341299912559</v>
      </c>
      <c r="AF37" s="268">
        <f t="shared" si="20"/>
        <v>0</v>
      </c>
      <c r="AG37" s="277">
        <f t="shared" si="8"/>
        <v>491.49888516467502</v>
      </c>
      <c r="AH37" s="277">
        <f t="shared" si="9"/>
        <v>280.50111483532498</v>
      </c>
      <c r="AI37" s="277">
        <f t="shared" si="10"/>
        <v>0</v>
      </c>
      <c r="AJ37" s="277">
        <f t="shared" si="11"/>
        <v>6.2911857301078413</v>
      </c>
      <c r="AK37" s="277">
        <f t="shared" si="12"/>
        <v>3.5904142698921606</v>
      </c>
      <c r="AL37" s="277">
        <f t="shared" si="13"/>
        <v>0</v>
      </c>
    </row>
    <row r="38" spans="1:38" x14ac:dyDescent="0.2">
      <c r="A38">
        <v>6752014</v>
      </c>
      <c r="B38" s="1" t="s">
        <v>134</v>
      </c>
      <c r="C38" s="99">
        <f>VLOOKUP(A38,IRData!$A$3:$F$146,6,FALSE)</f>
        <v>1513214.6591796875</v>
      </c>
      <c r="D38" s="52">
        <f>C38*Forutsetninger!$C$23</f>
        <v>1591945.1593470315</v>
      </c>
      <c r="E38" s="50">
        <f>VLOOKUP($A38,IRData!$A$2:$N$146,7,FALSE)</f>
        <v>420018</v>
      </c>
      <c r="F38" s="50">
        <f>VLOOKUP($A38,IRData!$A$2:$N$146,8,FALSE)</f>
        <v>7488217</v>
      </c>
      <c r="G38" s="50">
        <f>VLOOKUP($A38,IRData!$A$2:$N$146,9,FALSE)</f>
        <v>7563099.1699999999</v>
      </c>
      <c r="H38" s="50">
        <f>VLOOKUP($A38,IRData!$A$2:$N$146,10,FALSE)</f>
        <v>744632</v>
      </c>
      <c r="I38" s="50">
        <f>VLOOKUP($A38,IRData!$A$2:$N$146,11,FALSE)</f>
        <v>348031</v>
      </c>
      <c r="J38" s="52">
        <f>VLOOKUP(A38,IRData!$A$3:$AF$146,32,FALSE)</f>
        <v>193380.93061304092</v>
      </c>
      <c r="K38" s="52">
        <f>VLOOKUP(A38,IRData!$A$3:$AM$146,37,FALSE)</f>
        <v>90383.650799572468</v>
      </c>
      <c r="L38" s="145">
        <f>VLOOKUP($A38,IRData!$A$2:$N$146,13,FALSE)</f>
        <v>92210</v>
      </c>
      <c r="M38" s="51">
        <f>L38*Forutsetninger!$C$17</f>
        <v>97531.10299488678</v>
      </c>
      <c r="N38" s="145">
        <f>VLOOKUP(A38,IRData!$A$3:$E$146,5,FALSE)*Forutsetninger!$C$23</f>
        <v>3764.1584725536991</v>
      </c>
      <c r="O38" s="145">
        <f>VLOOKUP(A38,IRData!$A$3:$AG$146,19,FALSE)*Forutsetninger!$C$17</f>
        <v>0</v>
      </c>
      <c r="P38" s="52">
        <f t="shared" si="17"/>
        <v>2397023.0022270852</v>
      </c>
      <c r="Q38" s="253">
        <f>ROUND(D38+E38+J38+K38+M38+G38*Forutsetninger!$B$5+N38,0)</f>
        <v>2875011</v>
      </c>
      <c r="R38" s="53">
        <f>IFERROR((VLOOKUP(A38,'DEAnorm D-nett'!$A$4:$H$134,8,FALSE)+O38),0)</f>
        <v>2148628.4810080403</v>
      </c>
      <c r="S38" s="26">
        <f>IFERROR((VLOOKUP(A38,'DEAnorm R-nett'!$A$4:$H$86,8,FALSE)+N38+K38),N38+K38)</f>
        <v>803429.79737807263</v>
      </c>
      <c r="T38" s="151">
        <f>IFERROR(VLOOKUP(A38,IRData!$A$3:$AN$146,40,FALSE),0)</f>
        <v>5168.6379796837709</v>
      </c>
      <c r="U38" s="54">
        <f>(1-Forutsetninger!$B$3)*Q38+(R38+S38+T38)*Forutsetninger!$B$3</f>
        <v>2924340.5498194778</v>
      </c>
      <c r="V38" s="47">
        <f t="shared" si="18"/>
        <v>527317.54759239266</v>
      </c>
      <c r="W38" s="208">
        <f t="shared" si="19"/>
        <v>6.9722416133860196E-2</v>
      </c>
      <c r="X38" s="47">
        <f>(R38+S38+T38)-G38*($K$159+$K$153)/Forutsetninger!$B$3</f>
        <v>3315689.9257793487</v>
      </c>
      <c r="Y38" s="278">
        <f>ROUND((1-Forutsetninger!$B$3)*Q38+Forutsetninger!$B$3*X38,0)</f>
        <v>3139418</v>
      </c>
      <c r="Z38" s="47">
        <v>3133270</v>
      </c>
      <c r="AA38" s="73">
        <f t="shared" si="5"/>
        <v>6148</v>
      </c>
      <c r="AB38" s="269">
        <f t="shared" si="6"/>
        <v>1.9621673204032845E-3</v>
      </c>
      <c r="AC38" s="66">
        <f t="shared" si="7"/>
        <v>6148</v>
      </c>
      <c r="AD38" s="256">
        <f>VLOOKUP(A38,IR2016prnettnivå!$B$2:$K$133,8,FALSE)</f>
        <v>0.71972179854331053</v>
      </c>
      <c r="AE38" s="256">
        <f>VLOOKUP(A38,IR2016prnettnivå!$B$2:$K$133,9,FALSE)</f>
        <v>0.27854422968471587</v>
      </c>
      <c r="AF38" s="256">
        <f>VLOOKUP(A38,IR2016prnettnivå!$B$2:$K$133,10,FALSE)</f>
        <v>1.7339717719736161E-3</v>
      </c>
      <c r="AG38" s="277">
        <f t="shared" si="8"/>
        <v>4424.8496174442735</v>
      </c>
      <c r="AH38" s="277">
        <f t="shared" si="9"/>
        <v>1712.4899241016333</v>
      </c>
      <c r="AI38" s="277">
        <f t="shared" si="10"/>
        <v>10.660458454093792</v>
      </c>
      <c r="AJ38" s="277">
        <f t="shared" si="11"/>
        <v>56.63807510328671</v>
      </c>
      <c r="AK38" s="277">
        <f t="shared" si="12"/>
        <v>21.919871028500911</v>
      </c>
      <c r="AL38" s="277">
        <f t="shared" si="13"/>
        <v>0.13645386821240058</v>
      </c>
    </row>
    <row r="39" spans="1:38" x14ac:dyDescent="0.2">
      <c r="A39">
        <v>2752014</v>
      </c>
      <c r="B39" s="1" t="s">
        <v>240</v>
      </c>
      <c r="C39" s="99">
        <f>VLOOKUP(A39,IRData!$A$3:$F$146,6,FALSE)</f>
        <v>73432.920852661133</v>
      </c>
      <c r="D39" s="52">
        <f>C39*Forutsetninger!$C$23</f>
        <v>77253.535827811516</v>
      </c>
      <c r="E39" s="50">
        <f>VLOOKUP($A39,IRData!$A$2:$N$146,7,FALSE)</f>
        <v>20456</v>
      </c>
      <c r="F39" s="50">
        <f>VLOOKUP($A39,IRData!$A$2:$N$146,8,FALSE)</f>
        <v>276940</v>
      </c>
      <c r="G39" s="50">
        <f>VLOOKUP($A39,IRData!$A$2:$N$146,9,FALSE)</f>
        <v>279709.40000000002</v>
      </c>
      <c r="H39" s="50">
        <f>VLOOKUP($A39,IRData!$A$2:$N$146,10,FALSE)</f>
        <v>32407</v>
      </c>
      <c r="I39" s="50">
        <f>VLOOKUP($A39,IRData!$A$2:$N$146,11,FALSE)</f>
        <v>4853</v>
      </c>
      <c r="J39" s="52">
        <f>VLOOKUP(A39,IRData!$A$3:$AF$146,32,FALSE)</f>
        <v>7994.4829941093922</v>
      </c>
      <c r="K39" s="52">
        <f>VLOOKUP(A39,IRData!$A$3:$AM$146,37,FALSE)</f>
        <v>1197.1865945756435</v>
      </c>
      <c r="L39" s="145">
        <f>VLOOKUP($A39,IRData!$A$2:$N$146,13,FALSE)</f>
        <v>2594</v>
      </c>
      <c r="M39" s="51">
        <f>L39*Forutsetninger!$C$17</f>
        <v>2743.6902848794739</v>
      </c>
      <c r="N39" s="145">
        <f>VLOOKUP(A39,IRData!$A$3:$E$146,5,FALSE)*Forutsetninger!$C$23</f>
        <v>0</v>
      </c>
      <c r="O39" s="145">
        <f>VLOOKUP(A39,IRData!$A$3:$AG$146,19,FALSE)*Forutsetninger!$C$17</f>
        <v>0</v>
      </c>
      <c r="P39" s="52">
        <f t="shared" si="17"/>
        <v>109644.89570137602</v>
      </c>
      <c r="Q39" s="253">
        <f>ROUND(D39+E39+J39+K39+M39+G39*Forutsetninger!$B$5+N39,0)</f>
        <v>127323</v>
      </c>
      <c r="R39" s="53">
        <f>IFERROR((VLOOKUP(A39,'DEAnorm D-nett'!$A$4:$H$134,8,FALSE)+O39),0)</f>
        <v>112207.32747982182</v>
      </c>
      <c r="S39" s="26">
        <f>IFERROR((VLOOKUP(A39,'DEAnorm R-nett'!$A$4:$H$86,8,FALSE)+N39+K39),N39+K39)</f>
        <v>15128.70737454042</v>
      </c>
      <c r="T39" s="151">
        <f>IFERROR(VLOOKUP(A39,IRData!$A$3:$AN$146,40,FALSE),0)</f>
        <v>0</v>
      </c>
      <c r="U39" s="54">
        <f>(1-Forutsetninger!$B$3)*Q39+(R39+S39+T39)*Forutsetninger!$B$3</f>
        <v>127330.82091261735</v>
      </c>
      <c r="V39" s="47">
        <f t="shared" si="18"/>
        <v>17685.925211241323</v>
      </c>
      <c r="W39" s="208">
        <f t="shared" si="19"/>
        <v>6.3229641947111254E-2</v>
      </c>
      <c r="X39" s="47">
        <f>(R39+S39+T39)-G39*($K$159+$K$153)/Forutsetninger!$B$3</f>
        <v>140593.22890028654</v>
      </c>
      <c r="Y39" s="278">
        <f>ROUND((1-Forutsetninger!$B$3)*Q39+Forutsetninger!$B$3*X39,0)</f>
        <v>135285</v>
      </c>
      <c r="Z39" s="47">
        <v>135308</v>
      </c>
      <c r="AA39" s="73">
        <f t="shared" si="5"/>
        <v>-23</v>
      </c>
      <c r="AB39" s="269">
        <f t="shared" si="6"/>
        <v>-1.6998255831140804E-4</v>
      </c>
      <c r="AC39" s="66">
        <f t="shared" si="7"/>
        <v>0</v>
      </c>
      <c r="AD39" s="256">
        <f>VLOOKUP(A39,IR2016prnettnivå!$B$2:$K$133,8,FALSE)</f>
        <v>0.89914121855322671</v>
      </c>
      <c r="AE39" s="256">
        <f>VLOOKUP(A39,IR2016prnettnivå!$B$2:$K$133,9,FALSE)</f>
        <v>8.8686552162473758E-2</v>
      </c>
      <c r="AF39" s="256">
        <f>VLOOKUP(A39,IR2016prnettnivå!$B$2:$K$133,10,FALSE)</f>
        <v>1.2172229284299525E-2</v>
      </c>
      <c r="AG39" s="277">
        <f t="shared" si="8"/>
        <v>0</v>
      </c>
      <c r="AH39" s="277">
        <f t="shared" si="9"/>
        <v>0</v>
      </c>
      <c r="AI39" s="277">
        <f t="shared" si="10"/>
        <v>0</v>
      </c>
      <c r="AJ39" s="277">
        <f t="shared" si="11"/>
        <v>0</v>
      </c>
      <c r="AK39" s="277">
        <f t="shared" si="12"/>
        <v>0</v>
      </c>
      <c r="AL39" s="277">
        <f t="shared" si="13"/>
        <v>0</v>
      </c>
    </row>
    <row r="40" spans="1:38" x14ac:dyDescent="0.2">
      <c r="A40">
        <v>652014</v>
      </c>
      <c r="B40" s="1" t="s">
        <v>209</v>
      </c>
      <c r="C40" s="99">
        <f>VLOOKUP(A40,IRData!$A$3:$F$146,6,FALSE)</f>
        <v>38158.321411132813</v>
      </c>
      <c r="D40" s="52">
        <f>C40*Forutsetninger!$C$23</f>
        <v>40143.646964265739</v>
      </c>
      <c r="E40" s="50">
        <f>VLOOKUP($A40,IRData!$A$2:$N$146,7,FALSE)</f>
        <v>11823</v>
      </c>
      <c r="F40" s="50">
        <f>VLOOKUP($A40,IRData!$A$2:$N$146,8,FALSE)</f>
        <v>193239</v>
      </c>
      <c r="G40" s="50">
        <f>VLOOKUP($A40,IRData!$A$2:$N$146,9,FALSE)</f>
        <v>195171.39</v>
      </c>
      <c r="H40" s="50">
        <f>VLOOKUP($A40,IRData!$A$2:$N$146,10,FALSE)</f>
        <v>16111</v>
      </c>
      <c r="I40" s="50">
        <f>VLOOKUP($A40,IRData!$A$2:$N$146,11,FALSE)</f>
        <v>3536</v>
      </c>
      <c r="J40" s="52">
        <f>VLOOKUP(A40,IRData!$A$3:$AF$146,32,FALSE)</f>
        <v>3938.3339968621731</v>
      </c>
      <c r="K40" s="52">
        <f>VLOOKUP(A40,IRData!$A$3:$AM$146,37,FALSE)</f>
        <v>864.37521028518677</v>
      </c>
      <c r="L40" s="145">
        <f>VLOOKUP($A40,IRData!$A$2:$N$146,13,FALSE)</f>
        <v>2923</v>
      </c>
      <c r="M40" s="51">
        <f>L40*Forutsetninger!$C$17</f>
        <v>3091.6756756756758</v>
      </c>
      <c r="N40" s="145">
        <f>VLOOKUP(A40,IRData!$A$3:$E$146,5,FALSE)*Forutsetninger!$C$23</f>
        <v>0</v>
      </c>
      <c r="O40" s="145">
        <f>VLOOKUP(A40,IRData!$A$3:$AG$146,19,FALSE)*Forutsetninger!$C$17</f>
        <v>0</v>
      </c>
      <c r="P40" s="52">
        <f t="shared" si="17"/>
        <v>59861.031847088772</v>
      </c>
      <c r="Q40" s="253">
        <f>ROUND(D40+E40+J40+K40+M40+G40*Forutsetninger!$B$5+N40,0)</f>
        <v>72196</v>
      </c>
      <c r="R40" s="53">
        <f>IFERROR((VLOOKUP(A40,'DEAnorm D-nett'!$A$4:$H$134,8,FALSE)+O40),0)</f>
        <v>48388.003777101301</v>
      </c>
      <c r="S40" s="26">
        <f>IFERROR((VLOOKUP(A40,'DEAnorm R-nett'!$A$4:$H$86,8,FALSE)+N40+K40),N40+K40)</f>
        <v>18750.443497478791</v>
      </c>
      <c r="T40" s="151">
        <f>IFERROR(VLOOKUP(A40,IRData!$A$3:$AN$146,40,FALSE),0)</f>
        <v>0</v>
      </c>
      <c r="U40" s="54">
        <f>(1-Forutsetninger!$B$3)*Q40+(R40+S40+T40)*Forutsetninger!$B$3</f>
        <v>69161.468364748056</v>
      </c>
      <c r="V40" s="47">
        <f t="shared" si="18"/>
        <v>9300.4365176592837</v>
      </c>
      <c r="W40" s="208">
        <f t="shared" si="19"/>
        <v>4.7652663219026531E-2</v>
      </c>
      <c r="X40" s="47">
        <f>(R40+S40+T40)-G40*($K$159+$K$153)/Forutsetninger!$B$3</f>
        <v>76388.851406306698</v>
      </c>
      <c r="Y40" s="278">
        <f>ROUND((1-Forutsetninger!$B$3)*Q40+Forutsetninger!$B$3*X40,0)</f>
        <v>74712</v>
      </c>
      <c r="Z40" s="47">
        <v>74338</v>
      </c>
      <c r="AA40" s="73">
        <f t="shared" si="5"/>
        <v>374</v>
      </c>
      <c r="AB40" s="269">
        <f t="shared" si="6"/>
        <v>5.0310742823320509E-3</v>
      </c>
      <c r="AC40" s="66">
        <f t="shared" si="7"/>
        <v>374</v>
      </c>
      <c r="AD40" s="256">
        <f>VLOOKUP(A40,IR2016prnettnivå!$B$2:$K$133,8,FALSE)</f>
        <v>0.72805294734859693</v>
      </c>
      <c r="AE40" s="256">
        <f>VLOOKUP(A40,IR2016prnettnivå!$B$2:$K$133,9,FALSE)</f>
        <v>0.27194705265140307</v>
      </c>
      <c r="AF40" s="256">
        <f>VLOOKUP(A40,IR2016prnettnivå!$B$2:$K$133,10,FALSE)</f>
        <v>0</v>
      </c>
      <c r="AG40" s="277">
        <f t="shared" si="8"/>
        <v>272.29180230837528</v>
      </c>
      <c r="AH40" s="277">
        <f t="shared" si="9"/>
        <v>101.70819769162475</v>
      </c>
      <c r="AI40" s="277">
        <f t="shared" si="10"/>
        <v>0</v>
      </c>
      <c r="AJ40" s="277">
        <f t="shared" si="11"/>
        <v>3.4853350695472041</v>
      </c>
      <c r="AK40" s="277">
        <f t="shared" si="12"/>
        <v>1.3018649304527969</v>
      </c>
      <c r="AL40" s="277">
        <f t="shared" si="13"/>
        <v>0</v>
      </c>
    </row>
    <row r="41" spans="1:38" x14ac:dyDescent="0.2">
      <c r="A41">
        <v>2382014</v>
      </c>
      <c r="B41" s="1" t="s">
        <v>112</v>
      </c>
      <c r="C41" s="99">
        <f>VLOOKUP(A41,IRData!$A$3:$F$146,6,FALSE)</f>
        <v>30852.891870498657</v>
      </c>
      <c r="D41" s="52">
        <f>C41*Forutsetninger!$C$23</f>
        <v>32458.125862806224</v>
      </c>
      <c r="E41" s="50">
        <f>VLOOKUP($A41,IRData!$A$2:$N$146,7,FALSE)</f>
        <v>8663</v>
      </c>
      <c r="F41" s="50">
        <f>VLOOKUP($A41,IRData!$A$2:$N$146,8,FALSE)</f>
        <v>111509</v>
      </c>
      <c r="G41" s="50">
        <f>VLOOKUP($A41,IRData!$A$2:$N$146,9,FALSE)</f>
        <v>112624.09</v>
      </c>
      <c r="H41" s="50">
        <f>VLOOKUP($A41,IRData!$A$2:$N$146,10,FALSE)</f>
        <v>10070</v>
      </c>
      <c r="I41" s="50">
        <f>VLOOKUP($A41,IRData!$A$2:$N$146,11,FALSE)</f>
        <v>1118</v>
      </c>
      <c r="J41" s="52">
        <f>VLOOKUP(A41,IRData!$A$3:$AF$146,32,FALSE)</f>
        <v>2484.1683509945869</v>
      </c>
      <c r="K41" s="52">
        <f>VLOOKUP(A41,IRData!$A$3:$AM$146,37,FALSE)</f>
        <v>275.79942566156387</v>
      </c>
      <c r="L41" s="145">
        <f>VLOOKUP($A41,IRData!$A$2:$N$146,13,FALSE)</f>
        <v>1323</v>
      </c>
      <c r="M41" s="51">
        <f>L41*Forutsetninger!$C$17</f>
        <v>1399.3455076698319</v>
      </c>
      <c r="N41" s="145">
        <f>VLOOKUP(A41,IRData!$A$3:$E$146,5,FALSE)*Forutsetninger!$C$23</f>
        <v>0</v>
      </c>
      <c r="O41" s="145">
        <f>VLOOKUP(A41,IRData!$A$3:$AG$146,19,FALSE)*Forutsetninger!$C$17</f>
        <v>348.0277080884199</v>
      </c>
      <c r="P41" s="52">
        <f t="shared" si="17"/>
        <v>45280.439147132201</v>
      </c>
      <c r="Q41" s="253">
        <f>ROUND(D41+E41+J41+K41+M41+G41*Forutsetninger!$B$5+N41,0)</f>
        <v>52398</v>
      </c>
      <c r="R41" s="53">
        <f>IFERROR((VLOOKUP(A41,'DEAnorm D-nett'!$A$4:$H$134,8,FALSE)+O41),0)</f>
        <v>49799.081162093469</v>
      </c>
      <c r="S41" s="26">
        <f>IFERROR((VLOOKUP(A41,'DEAnorm R-nett'!$A$4:$H$86,8,FALSE)+N41+K41),N41+K41)</f>
        <v>1473.5811095028521</v>
      </c>
      <c r="T41" s="151">
        <f>IFERROR(VLOOKUP(A41,IRData!$A$3:$AN$146,40,FALSE),0)</f>
        <v>0</v>
      </c>
      <c r="U41" s="54">
        <f>(1-Forutsetninger!$B$3)*Q41+(R41+S41+T41)*Forutsetninger!$B$3</f>
        <v>51722.79736295779</v>
      </c>
      <c r="V41" s="47">
        <f t="shared" si="18"/>
        <v>6442.3582158255886</v>
      </c>
      <c r="W41" s="208">
        <f t="shared" si="19"/>
        <v>5.7202310942761792E-2</v>
      </c>
      <c r="X41" s="47">
        <f>(R41+S41+T41)-G41*($K$159+$K$153)/Forutsetninger!$B$3</f>
        <v>56610.628801772436</v>
      </c>
      <c r="Y41" s="278">
        <f>ROUND((1-Forutsetninger!$B$3)*Q41+Forutsetninger!$B$3*X41,0)</f>
        <v>54926</v>
      </c>
      <c r="Z41" s="47">
        <v>54937</v>
      </c>
      <c r="AA41" s="73">
        <f t="shared" si="5"/>
        <v>-11</v>
      </c>
      <c r="AB41" s="269">
        <f t="shared" si="6"/>
        <v>-2.0022935362324116E-4</v>
      </c>
      <c r="AC41" s="66">
        <f t="shared" si="7"/>
        <v>0</v>
      </c>
      <c r="AD41" s="256">
        <f>VLOOKUP(A41,IR2016prnettnivå!$B$2:$K$133,8,FALSE)</f>
        <v>0.97420681871962433</v>
      </c>
      <c r="AE41" s="256">
        <f>VLOOKUP(A41,IR2016prnettnivå!$B$2:$K$133,9,FALSE)</f>
        <v>2.5793181280375704E-2</v>
      </c>
      <c r="AF41" s="256">
        <f>VLOOKUP(A41,IR2016prnettnivå!$B$2:$K$133,10,FALSE)</f>
        <v>0</v>
      </c>
      <c r="AG41" s="277">
        <f t="shared" si="8"/>
        <v>0</v>
      </c>
      <c r="AH41" s="277">
        <f t="shared" si="9"/>
        <v>0</v>
      </c>
      <c r="AI41" s="277">
        <f t="shared" si="10"/>
        <v>0</v>
      </c>
      <c r="AJ41" s="277">
        <f t="shared" si="11"/>
        <v>0</v>
      </c>
      <c r="AK41" s="277">
        <f t="shared" si="12"/>
        <v>0</v>
      </c>
      <c r="AL41" s="277">
        <f t="shared" si="13"/>
        <v>0</v>
      </c>
    </row>
    <row r="42" spans="1:38" x14ac:dyDescent="0.2">
      <c r="A42">
        <v>5032014</v>
      </c>
      <c r="B42" s="1" t="s">
        <v>121</v>
      </c>
      <c r="C42" s="99">
        <f>VLOOKUP(A42,IRData!$A$3:$F$146,6,FALSE)</f>
        <v>153125.19195365906</v>
      </c>
      <c r="D42" s="52">
        <f>C42*Forutsetninger!$C$23</f>
        <v>161092.08738227424</v>
      </c>
      <c r="E42" s="50">
        <f>VLOOKUP($A42,IRData!$A$2:$N$146,7,FALSE)</f>
        <v>63419</v>
      </c>
      <c r="F42" s="50">
        <f>VLOOKUP($A42,IRData!$A$2:$N$146,8,FALSE)</f>
        <v>946687</v>
      </c>
      <c r="G42" s="50">
        <f>VLOOKUP($A42,IRData!$A$2:$N$146,9,FALSE)</f>
        <v>956153.87</v>
      </c>
      <c r="H42" s="50">
        <f>VLOOKUP($A42,IRData!$A$2:$N$146,10,FALSE)</f>
        <v>54723</v>
      </c>
      <c r="I42" s="50">
        <f>VLOOKUP($A42,IRData!$A$2:$N$146,11,FALSE)</f>
        <v>16703</v>
      </c>
      <c r="J42" s="52">
        <f>VLOOKUP(A42,IRData!$A$3:$AF$146,32,FALSE)</f>
        <v>13563.095596969128</v>
      </c>
      <c r="K42" s="52">
        <f>VLOOKUP(A42,IRData!$A$3:$AM$146,37,FALSE)</f>
        <v>4139.8385643362999</v>
      </c>
      <c r="L42" s="145">
        <f>VLOOKUP($A42,IRData!$A$2:$N$146,13,FALSE)</f>
        <v>21131</v>
      </c>
      <c r="M42" s="51">
        <f>L42*Forutsetninger!$C$17</f>
        <v>22350.392987582178</v>
      </c>
      <c r="N42" s="145">
        <f>VLOOKUP(A42,IRData!$A$3:$E$146,5,FALSE)*Forutsetninger!$C$23</f>
        <v>0</v>
      </c>
      <c r="O42" s="145">
        <f>VLOOKUP(A42,IRData!$A$3:$AG$146,19,FALSE)*Forutsetninger!$C$17</f>
        <v>0</v>
      </c>
      <c r="P42" s="52">
        <f t="shared" si="17"/>
        <v>264564.41453116183</v>
      </c>
      <c r="Q42" s="253">
        <f>ROUND(D42+E42+J42+K42+M42+G42*Forutsetninger!$B$5+N42,0)</f>
        <v>324993</v>
      </c>
      <c r="R42" s="53">
        <f>IFERROR((VLOOKUP(A42,'DEAnorm D-nett'!$A$4:$H$134,8,FALSE)+O42),0)</f>
        <v>250139.88814858696</v>
      </c>
      <c r="S42" s="26">
        <f>IFERROR((VLOOKUP(A42,'DEAnorm R-nett'!$A$4:$H$86,8,FALSE)+N42+K42),N42+K42)</f>
        <v>56632.601580236354</v>
      </c>
      <c r="T42" s="151">
        <f>IFERROR(VLOOKUP(A42,IRData!$A$3:$AN$146,40,FALSE),0)</f>
        <v>5240.6901521821455</v>
      </c>
      <c r="U42" s="54">
        <f>(1-Forutsetninger!$B$3)*Q42+(R42+S42+T42)*Forutsetninger!$B$3</f>
        <v>317205.10792860331</v>
      </c>
      <c r="V42" s="47">
        <f t="shared" si="18"/>
        <v>52640.693397441471</v>
      </c>
      <c r="W42" s="208">
        <f t="shared" si="19"/>
        <v>5.5054625671746189E-2</v>
      </c>
      <c r="X42" s="47">
        <f>(R42+S42+T42)-G42*($K$159+$K$153)/Forutsetninger!$B$3</f>
        <v>357331.34720878018</v>
      </c>
      <c r="Y42" s="278">
        <f>ROUND((1-Forutsetninger!$B$3)*Q42+Forutsetninger!$B$3*X42,0)</f>
        <v>344396</v>
      </c>
      <c r="Z42" s="47">
        <v>343828</v>
      </c>
      <c r="AA42" s="73">
        <f t="shared" si="5"/>
        <v>568</v>
      </c>
      <c r="AB42" s="269">
        <f t="shared" si="6"/>
        <v>1.6519887850902195E-3</v>
      </c>
      <c r="AC42" s="66">
        <f t="shared" si="7"/>
        <v>568</v>
      </c>
      <c r="AD42" s="256">
        <f>VLOOKUP(A42,IR2016prnettnivå!$B$2:$K$133,8,FALSE)</f>
        <v>0.64851116673913978</v>
      </c>
      <c r="AE42" s="256">
        <f>VLOOKUP(A42,IR2016prnettnivå!$B$2:$K$133,9,FALSE)</f>
        <v>0.27085561392581103</v>
      </c>
      <c r="AF42" s="256">
        <f>VLOOKUP(A42,IR2016prnettnivå!$B$2:$K$133,10,FALSE)</f>
        <v>8.0633219335049189E-2</v>
      </c>
      <c r="AG42" s="277">
        <f t="shared" si="8"/>
        <v>368.35434270783139</v>
      </c>
      <c r="AH42" s="277">
        <f t="shared" si="9"/>
        <v>153.84598870986068</v>
      </c>
      <c r="AI42" s="277">
        <f t="shared" si="10"/>
        <v>45.799668582307937</v>
      </c>
      <c r="AJ42" s="277">
        <f t="shared" si="11"/>
        <v>4.7149355866602427</v>
      </c>
      <c r="AK42" s="277">
        <f t="shared" si="12"/>
        <v>1.9692286554862171</v>
      </c>
      <c r="AL42" s="277">
        <f t="shared" si="13"/>
        <v>0.58623575785354176</v>
      </c>
    </row>
    <row r="43" spans="1:38" x14ac:dyDescent="0.2">
      <c r="A43">
        <v>712014</v>
      </c>
      <c r="B43" s="1" t="s">
        <v>268</v>
      </c>
      <c r="C43" s="99">
        <f>VLOOKUP(A43,IRData!$A$3:$F$146,6,FALSE)</f>
        <v>227685.31494140625</v>
      </c>
      <c r="D43" s="52">
        <f>C43*Forutsetninger!$C$23</f>
        <v>239531.47213883503</v>
      </c>
      <c r="E43" s="50">
        <f>VLOOKUP($A43,IRData!$A$2:$N$146,7,FALSE)</f>
        <v>93444</v>
      </c>
      <c r="F43" s="50">
        <f>VLOOKUP($A43,IRData!$A$2:$N$146,8,FALSE)</f>
        <v>1259367</v>
      </c>
      <c r="G43" s="50">
        <f>VLOOKUP($A43,IRData!$A$2:$N$146,9,FALSE)</f>
        <v>1271960.67</v>
      </c>
      <c r="H43" s="50">
        <f>VLOOKUP($A43,IRData!$A$2:$N$146,10,FALSE)</f>
        <v>89416</v>
      </c>
      <c r="I43" s="50">
        <f>VLOOKUP($A43,IRData!$A$2:$N$146,11,FALSE)</f>
        <v>59777</v>
      </c>
      <c r="J43" s="52">
        <f>VLOOKUP(A43,IRData!$A$3:$AF$146,32,FALSE)</f>
        <v>21857.741460084915</v>
      </c>
      <c r="K43" s="52">
        <f>VLOOKUP(A43,IRData!$A$3:$AM$146,37,FALSE)</f>
        <v>14612.487823873758</v>
      </c>
      <c r="L43" s="145">
        <f>VLOOKUP($A43,IRData!$A$2:$N$146,13,FALSE)</f>
        <v>22682</v>
      </c>
      <c r="M43" s="51">
        <f>L43*Forutsetninger!$C$17</f>
        <v>23990.895544192841</v>
      </c>
      <c r="N43" s="145">
        <f>VLOOKUP(A43,IRData!$A$3:$E$146,5,FALSE)*Forutsetninger!$C$23</f>
        <v>460.78854415274463</v>
      </c>
      <c r="O43" s="145">
        <f>VLOOKUP(A43,IRData!$A$3:$AG$146,19,FALSE)*Forutsetninger!$C$17</f>
        <v>0</v>
      </c>
      <c r="P43" s="52">
        <f t="shared" si="17"/>
        <v>393897.38551113929</v>
      </c>
      <c r="Q43" s="253">
        <f>ROUND(D43+E43+J43+K43+M43+G43*Forutsetninger!$B$5+N43,0)</f>
        <v>474285</v>
      </c>
      <c r="R43" s="53">
        <f>IFERROR((VLOOKUP(A43,'DEAnorm D-nett'!$A$4:$H$134,8,FALSE)+O43),0)</f>
        <v>291463.62242214248</v>
      </c>
      <c r="S43" s="26">
        <f>IFERROR((VLOOKUP(A43,'DEAnorm R-nett'!$A$4:$H$86,8,FALSE)+N43+K43),N43+K43)</f>
        <v>100482.33837005412</v>
      </c>
      <c r="T43" s="151">
        <f>IFERROR(VLOOKUP(A43,IRData!$A$3:$AN$146,40,FALSE),0)</f>
        <v>0</v>
      </c>
      <c r="U43" s="54">
        <f>(1-Forutsetninger!$B$3)*Q43+(R43+S43+T43)*Forutsetninger!$B$3</f>
        <v>424881.57647531794</v>
      </c>
      <c r="V43" s="47">
        <f t="shared" si="18"/>
        <v>30984.190964178648</v>
      </c>
      <c r="W43" s="208">
        <f t="shared" si="19"/>
        <v>2.4359393882971751E-2</v>
      </c>
      <c r="X43" s="47">
        <f>(R43+S43+T43)-G43*($K$159+$K$153)/Forutsetninger!$B$3</f>
        <v>452232.20580567798</v>
      </c>
      <c r="Y43" s="278">
        <f>ROUND((1-Forutsetninger!$B$3)*Q43+Forutsetninger!$B$3*X43,0)</f>
        <v>461053</v>
      </c>
      <c r="Z43" s="47">
        <v>460267</v>
      </c>
      <c r="AA43" s="73">
        <f t="shared" si="5"/>
        <v>786</v>
      </c>
      <c r="AB43" s="269">
        <f t="shared" si="6"/>
        <v>1.7077044411178729E-3</v>
      </c>
      <c r="AC43" s="66">
        <f t="shared" si="7"/>
        <v>786</v>
      </c>
      <c r="AD43" s="256">
        <f>VLOOKUP(A43,IR2016prnettnivå!$B$2:$K$133,8,FALSE)</f>
        <v>0.71870240534298568</v>
      </c>
      <c r="AE43" s="256">
        <f>VLOOKUP(A43,IR2016prnettnivå!$B$2:$K$133,9,FALSE)</f>
        <v>0.28129759465701432</v>
      </c>
      <c r="AF43" s="256">
        <f>VLOOKUP(A43,IR2016prnettnivå!$B$2:$K$133,10,FALSE)</f>
        <v>0</v>
      </c>
      <c r="AG43" s="277">
        <f t="shared" si="8"/>
        <v>564.90009059958675</v>
      </c>
      <c r="AH43" s="277">
        <f t="shared" si="9"/>
        <v>221.09990940041325</v>
      </c>
      <c r="AI43" s="277">
        <f t="shared" si="10"/>
        <v>0</v>
      </c>
      <c r="AJ43" s="277">
        <f t="shared" si="11"/>
        <v>7.2307211596747116</v>
      </c>
      <c r="AK43" s="277">
        <f t="shared" si="12"/>
        <v>2.8300788403252901</v>
      </c>
      <c r="AL43" s="277">
        <f t="shared" si="13"/>
        <v>0</v>
      </c>
    </row>
    <row r="44" spans="1:38" x14ac:dyDescent="0.2">
      <c r="A44">
        <v>722014</v>
      </c>
      <c r="B44" s="1" t="s">
        <v>37</v>
      </c>
      <c r="C44" s="99">
        <f>VLOOKUP(A44,IRData!$A$3:$F$146,6,FALSE)</f>
        <v>19812.907470703125</v>
      </c>
      <c r="D44" s="52">
        <f>C44*Forutsetninger!$C$23</f>
        <v>20843.746093283858</v>
      </c>
      <c r="E44" s="50">
        <f>VLOOKUP($A44,IRData!$A$2:$N$146,7,FALSE)</f>
        <v>6051</v>
      </c>
      <c r="F44" s="50">
        <f>VLOOKUP($A44,IRData!$A$2:$N$146,8,FALSE)</f>
        <v>55559</v>
      </c>
      <c r="G44" s="50">
        <f>VLOOKUP($A44,IRData!$A$2:$N$146,9,FALSE)</f>
        <v>56114.590000000004</v>
      </c>
      <c r="H44" s="50">
        <f>VLOOKUP($A44,IRData!$A$2:$N$146,10,FALSE)</f>
        <v>3232</v>
      </c>
      <c r="I44" s="50">
        <f>VLOOKUP($A44,IRData!$A$2:$N$146,11,FALSE)</f>
        <v>0</v>
      </c>
      <c r="J44" s="52">
        <f>VLOOKUP(A44,IRData!$A$3:$AF$146,32,FALSE)</f>
        <v>893.97121047973633</v>
      </c>
      <c r="K44" s="52">
        <f>VLOOKUP(A44,IRData!$A$3:$AM$146,37,FALSE)</f>
        <v>0</v>
      </c>
      <c r="L44" s="145">
        <f>VLOOKUP($A44,IRData!$A$2:$N$146,13,FALSE)</f>
        <v>913</v>
      </c>
      <c r="M44" s="51">
        <f>L44*Forutsetninger!$C$17</f>
        <v>965.68590211833452</v>
      </c>
      <c r="N44" s="145">
        <f>VLOOKUP(A44,IRData!$A$3:$E$146,5,FALSE)*Forutsetninger!$C$23</f>
        <v>0</v>
      </c>
      <c r="O44" s="145">
        <f>VLOOKUP(A44,IRData!$A$3:$AG$146,19,FALSE)*Forutsetninger!$C$17</f>
        <v>0</v>
      </c>
      <c r="P44" s="52">
        <f t="shared" si="17"/>
        <v>28754.403205881928</v>
      </c>
      <c r="Q44" s="253">
        <f>ROUND(D44+E44+J44+K44+M44+G44*Forutsetninger!$B$5+N44,0)</f>
        <v>32301</v>
      </c>
      <c r="R44" s="53">
        <f>IFERROR((VLOOKUP(A44,'DEAnorm D-nett'!$A$4:$H$134,8,FALSE)+O44),0)</f>
        <v>27444.140888474834</v>
      </c>
      <c r="S44" s="26">
        <f>IFERROR((VLOOKUP(A44,'DEAnorm R-nett'!$A$4:$H$86,8,FALSE)+N44+K44),N44+K44)</f>
        <v>0</v>
      </c>
      <c r="T44" s="151">
        <f>IFERROR(VLOOKUP(A44,IRData!$A$3:$AN$146,40,FALSE),0)</f>
        <v>0</v>
      </c>
      <c r="U44" s="54">
        <f>(1-Forutsetninger!$B$3)*Q44+(R44+S44+T44)*Forutsetninger!$B$3</f>
        <v>29386.8845330849</v>
      </c>
      <c r="V44" s="47">
        <f t="shared" si="18"/>
        <v>632.48132720297144</v>
      </c>
      <c r="W44" s="208">
        <f t="shared" si="19"/>
        <v>1.1271245627972536E-2</v>
      </c>
      <c r="X44" s="47">
        <f>(R44+S44+T44)-G44*($K$159+$K$153)/Forutsetninger!$B$3</f>
        <v>30103.765514738676</v>
      </c>
      <c r="Y44" s="278">
        <f>ROUND((1-Forutsetninger!$B$3)*Q44+Forutsetninger!$B$3*X44,0)</f>
        <v>30983</v>
      </c>
      <c r="Z44" s="47">
        <v>30982</v>
      </c>
      <c r="AA44" s="73">
        <f t="shared" si="5"/>
        <v>1</v>
      </c>
      <c r="AB44" s="269">
        <f t="shared" si="6"/>
        <v>3.2276805887289397E-5</v>
      </c>
      <c r="AC44" s="66">
        <f t="shared" si="7"/>
        <v>1</v>
      </c>
      <c r="AD44" s="256">
        <f>VLOOKUP(A44,IR2016prnettnivå!$B$2:$K$133,8,FALSE)</f>
        <v>1</v>
      </c>
      <c r="AE44" s="256">
        <f>VLOOKUP(A44,IR2016prnettnivå!$B$2:$K$133,9,FALSE)</f>
        <v>0</v>
      </c>
      <c r="AF44" s="256">
        <f>VLOOKUP(A44,IR2016prnettnivå!$B$2:$K$133,10,FALSE)</f>
        <v>0</v>
      </c>
      <c r="AG44" s="277">
        <f t="shared" si="8"/>
        <v>1</v>
      </c>
      <c r="AH44" s="277">
        <f t="shared" si="9"/>
        <v>0</v>
      </c>
      <c r="AI44" s="277">
        <f t="shared" si="10"/>
        <v>0</v>
      </c>
      <c r="AJ44" s="277">
        <f t="shared" si="11"/>
        <v>1.2800000000000002E-2</v>
      </c>
      <c r="AK44" s="277">
        <f t="shared" si="12"/>
        <v>0</v>
      </c>
      <c r="AL44" s="277">
        <f t="shared" si="13"/>
        <v>0</v>
      </c>
    </row>
    <row r="45" spans="1:38" x14ac:dyDescent="0.2">
      <c r="A45">
        <v>3432014</v>
      </c>
      <c r="B45" s="1" t="s">
        <v>50</v>
      </c>
      <c r="C45" s="99">
        <f>VLOOKUP(A45,IRData!$A$3:$F$146,6,FALSE)</f>
        <v>12228.533874511719</v>
      </c>
      <c r="D45" s="52">
        <f>C45*Forutsetninger!$C$23</f>
        <v>12864.767856526887</v>
      </c>
      <c r="E45" s="50">
        <f>VLOOKUP($A45,IRData!$A$2:$N$146,7,FALSE)</f>
        <v>7524</v>
      </c>
      <c r="F45" s="50">
        <f>VLOOKUP($A45,IRData!$A$2:$N$146,8,FALSE)</f>
        <v>103853</v>
      </c>
      <c r="G45" s="50">
        <f>VLOOKUP($A45,IRData!$A$2:$N$146,9,FALSE)</f>
        <v>104891.53</v>
      </c>
      <c r="H45" s="50">
        <f>VLOOKUP($A45,IRData!$A$2:$N$146,10,FALSE)</f>
        <v>4231</v>
      </c>
      <c r="I45" s="50">
        <f>VLOOKUP($A45,IRData!$A$2:$N$146,11,FALSE)</f>
        <v>700</v>
      </c>
      <c r="J45" s="52">
        <f>VLOOKUP(A45,IRData!$A$3:$AF$146,32,FALSE)</f>
        <v>1098.7907012104988</v>
      </c>
      <c r="K45" s="52">
        <f>VLOOKUP(A45,IRData!$A$3:$AM$146,37,FALSE)</f>
        <v>181.79000020027161</v>
      </c>
      <c r="L45" s="145">
        <f>VLOOKUP($A45,IRData!$A$2:$N$146,13,FALSE)</f>
        <v>1122</v>
      </c>
      <c r="M45" s="51">
        <f>L45*Forutsetninger!$C$17</f>
        <v>1186.7465303140978</v>
      </c>
      <c r="N45" s="145">
        <f>VLOOKUP(A45,IRData!$A$3:$E$146,5,FALSE)*Forutsetninger!$C$23</f>
        <v>0</v>
      </c>
      <c r="O45" s="145">
        <f>VLOOKUP(A45,IRData!$A$3:$AG$146,19,FALSE)*Forutsetninger!$C$17</f>
        <v>0</v>
      </c>
      <c r="P45" s="52">
        <f t="shared" si="17"/>
        <v>22856.095088251754</v>
      </c>
      <c r="Q45" s="253">
        <f>ROUND(D45+E45+J45+K45+M45+G45*Forutsetninger!$B$5+N45,0)</f>
        <v>29485</v>
      </c>
      <c r="R45" s="53">
        <f>IFERROR((VLOOKUP(A45,'DEAnorm D-nett'!$A$4:$H$134,8,FALSE)+O45),0)</f>
        <v>24968.650871287551</v>
      </c>
      <c r="S45" s="26">
        <f>IFERROR((VLOOKUP(A45,'DEAnorm R-nett'!$A$4:$H$86,8,FALSE)+N45+K45),N45+K45)</f>
        <v>6448.3391335504293</v>
      </c>
      <c r="T45" s="151">
        <f>IFERROR(VLOOKUP(A45,IRData!$A$3:$AN$146,40,FALSE),0)</f>
        <v>0</v>
      </c>
      <c r="U45" s="54">
        <f>(1-Forutsetninger!$B$3)*Q45+(R45+S45+T45)*Forutsetninger!$B$3</f>
        <v>30644.194002902786</v>
      </c>
      <c r="V45" s="47">
        <f t="shared" si="18"/>
        <v>7788.0989146510328</v>
      </c>
      <c r="W45" s="208">
        <f t="shared" si="19"/>
        <v>7.4249073444262209E-2</v>
      </c>
      <c r="X45" s="47">
        <f>(R45+S45+T45)-G45*($K$159+$K$153)/Forutsetninger!$B$3</f>
        <v>36388.461707197246</v>
      </c>
      <c r="Y45" s="278">
        <f>ROUND((1-Forutsetninger!$B$3)*Q45+Forutsetninger!$B$3*X45,0)</f>
        <v>33627</v>
      </c>
      <c r="Z45" s="47">
        <v>33609</v>
      </c>
      <c r="AA45" s="73">
        <f t="shared" si="5"/>
        <v>18</v>
      </c>
      <c r="AB45" s="269">
        <f t="shared" si="6"/>
        <v>5.3557082924216731E-4</v>
      </c>
      <c r="AC45" s="66">
        <f t="shared" si="7"/>
        <v>18</v>
      </c>
      <c r="AD45" s="256">
        <f>VLOOKUP(A45,IR2016prnettnivå!$B$2:$K$133,8,FALSE)</f>
        <v>0.76000476062959321</v>
      </c>
      <c r="AE45" s="256">
        <f>VLOOKUP(A45,IR2016prnettnivå!$B$2:$K$133,9,FALSE)</f>
        <v>0.23999523937040673</v>
      </c>
      <c r="AF45" s="256">
        <f>VLOOKUP(A45,IR2016prnettnivå!$B$2:$K$133,10,FALSE)</f>
        <v>0</v>
      </c>
      <c r="AG45" s="277">
        <f t="shared" si="8"/>
        <v>13.680085691332678</v>
      </c>
      <c r="AH45" s="277">
        <f t="shared" si="9"/>
        <v>4.3199143086673208</v>
      </c>
      <c r="AI45" s="277">
        <f t="shared" si="10"/>
        <v>0</v>
      </c>
      <c r="AJ45" s="277">
        <f t="shared" si="11"/>
        <v>0.17510509684905831</v>
      </c>
      <c r="AK45" s="277">
        <f t="shared" si="12"/>
        <v>5.5294903150941717E-2</v>
      </c>
      <c r="AL45" s="277">
        <f t="shared" si="13"/>
        <v>0</v>
      </c>
    </row>
    <row r="46" spans="1:38" x14ac:dyDescent="0.2">
      <c r="A46">
        <v>8522014</v>
      </c>
      <c r="B46" s="1" t="s">
        <v>10</v>
      </c>
      <c r="C46" s="99">
        <f>VLOOKUP(A46,IRData!$A$3:$F$146,6,FALSE)</f>
        <v>43330.246643066406</v>
      </c>
      <c r="D46" s="52">
        <f>C46*Forutsetninger!$C$23</f>
        <v>45584.660430223557</v>
      </c>
      <c r="E46" s="50">
        <f>VLOOKUP($A46,IRData!$A$2:$N$146,7,FALSE)</f>
        <v>2354</v>
      </c>
      <c r="F46" s="50">
        <f>VLOOKUP($A46,IRData!$A$2:$N$146,8,FALSE)</f>
        <v>33154</v>
      </c>
      <c r="G46" s="50">
        <f>VLOOKUP($A46,IRData!$A$2:$N$146,9,FALSE)</f>
        <v>33485.54</v>
      </c>
      <c r="H46" s="50">
        <f>VLOOKUP($A46,IRData!$A$2:$N$146,10,FALSE)</f>
        <v>5126</v>
      </c>
      <c r="I46" s="50">
        <f>VLOOKUP($A46,IRData!$A$2:$N$146,11,FALSE)</f>
        <v>5127</v>
      </c>
      <c r="J46" s="52">
        <f>VLOOKUP(A46,IRData!$A$3:$AF$146,32,FALSE)</f>
        <v>1270.4791043996811</v>
      </c>
      <c r="K46" s="52">
        <f>VLOOKUP(A46,IRData!$A$3:$AM$146,37,FALSE)</f>
        <v>1270.7269544005394</v>
      </c>
      <c r="L46" s="145">
        <f>VLOOKUP($A46,IRData!$A$2:$N$146,13,FALSE)</f>
        <v>682</v>
      </c>
      <c r="M46" s="51">
        <f>L46*Forutsetninger!$C$17</f>
        <v>721.35573411249084</v>
      </c>
      <c r="N46" s="145">
        <f>VLOOKUP(A46,IRData!$A$3:$E$146,5,FALSE)*Forutsetninger!$C$23</f>
        <v>0</v>
      </c>
      <c r="O46" s="145">
        <f>VLOOKUP(A46,IRData!$A$3:$AG$146,19,FALSE)*Forutsetninger!$C$17</f>
        <v>0</v>
      </c>
      <c r="P46" s="52">
        <f t="shared" si="17"/>
        <v>51201.222223136268</v>
      </c>
      <c r="Q46" s="253">
        <f>ROUND(D46+E46+J46+K46+M46+G46*Forutsetninger!$B$5+N46,0)</f>
        <v>53318</v>
      </c>
      <c r="R46" s="53">
        <f>IFERROR((VLOOKUP(A46,'DEAnorm D-nett'!$A$4:$H$134,8,FALSE)+O46),0)</f>
        <v>37122.618259138668</v>
      </c>
      <c r="S46" s="26">
        <f>IFERROR((VLOOKUP(A46,'DEAnorm R-nett'!$A$4:$H$86,8,FALSE)+N46+K46),N46+K46)</f>
        <v>16194.890091997608</v>
      </c>
      <c r="T46" s="151">
        <f>IFERROR(VLOOKUP(A46,IRData!$A$3:$AN$146,40,FALSE),0)</f>
        <v>0</v>
      </c>
      <c r="U46" s="54">
        <f>(1-Forutsetninger!$B$3)*Q46+(R46+S46+T46)*Forutsetninger!$B$3</f>
        <v>53317.705010681762</v>
      </c>
      <c r="V46" s="47">
        <f t="shared" si="18"/>
        <v>2116.4827875454939</v>
      </c>
      <c r="W46" s="208">
        <f t="shared" si="19"/>
        <v>6.320587296921279E-2</v>
      </c>
      <c r="X46" s="47">
        <f>(R46+S46+T46)-G46*($K$159+$K$153)/Forutsetninger!$B$3</f>
        <v>54904.599458952318</v>
      </c>
      <c r="Y46" s="278">
        <f>ROUND((1-Forutsetninger!$B$3)*Q46+Forutsetninger!$B$3*X46,0)</f>
        <v>54270</v>
      </c>
      <c r="Z46" s="49">
        <v>54273</v>
      </c>
      <c r="AA46" s="73">
        <f t="shared" si="5"/>
        <v>-3</v>
      </c>
      <c r="AB46" s="269">
        <f t="shared" si="6"/>
        <v>-5.5276104140180201E-5</v>
      </c>
      <c r="AC46" s="66">
        <f t="shared" si="7"/>
        <v>0</v>
      </c>
      <c r="AD46" s="256">
        <f>VLOOKUP(A46,IR2016prnettnivå!$B$2:$K$133,8,FALSE)</f>
        <v>0.67870183343691737</v>
      </c>
      <c r="AE46" s="256">
        <f>VLOOKUP(A46,IR2016prnettnivå!$B$2:$K$133,9,FALSE)</f>
        <v>0.32129816656308269</v>
      </c>
      <c r="AF46" s="256">
        <f>VLOOKUP(A46,IR2016prnettnivå!$B$2:$K$133,10,FALSE)</f>
        <v>0</v>
      </c>
      <c r="AG46" s="277">
        <f t="shared" si="8"/>
        <v>0</v>
      </c>
      <c r="AH46" s="277">
        <f t="shared" si="9"/>
        <v>0</v>
      </c>
      <c r="AI46" s="277">
        <f t="shared" si="10"/>
        <v>0</v>
      </c>
      <c r="AJ46" s="277">
        <f t="shared" si="11"/>
        <v>0</v>
      </c>
      <c r="AK46" s="277">
        <f t="shared" si="12"/>
        <v>0</v>
      </c>
      <c r="AL46" s="277">
        <f t="shared" si="13"/>
        <v>0</v>
      </c>
    </row>
    <row r="47" spans="1:38" x14ac:dyDescent="0.2">
      <c r="A47">
        <v>1832014</v>
      </c>
      <c r="B47" s="1" t="s">
        <v>49</v>
      </c>
      <c r="C47" s="99">
        <f>VLOOKUP(A47,IRData!$A$3:$F$146,6,FALSE)</f>
        <v>8683.21044921875</v>
      </c>
      <c r="D47" s="52">
        <f>C47*Forutsetninger!$C$23</f>
        <v>9134.9860764096065</v>
      </c>
      <c r="E47" s="50">
        <f>VLOOKUP($A47,IRData!$A$2:$N$146,7,FALSE)</f>
        <v>2432</v>
      </c>
      <c r="F47" s="50">
        <f>VLOOKUP($A47,IRData!$A$2:$N$146,8,FALSE)</f>
        <v>40093</v>
      </c>
      <c r="G47" s="50">
        <f>VLOOKUP($A47,IRData!$A$2:$N$146,9,FALSE)</f>
        <v>40493.93</v>
      </c>
      <c r="H47" s="50">
        <f>VLOOKUP($A47,IRData!$A$2:$N$146,10,FALSE)</f>
        <v>1676</v>
      </c>
      <c r="I47" s="50">
        <f>VLOOKUP($A47,IRData!$A$2:$N$146,11,FALSE)</f>
        <v>0</v>
      </c>
      <c r="J47" s="52">
        <f>VLOOKUP(A47,IRData!$A$3:$AF$146,32,FALSE)</f>
        <v>415.39660143852234</v>
      </c>
      <c r="K47" s="52">
        <f>VLOOKUP(A47,IRData!$A$3:$AM$146,37,FALSE)</f>
        <v>0</v>
      </c>
      <c r="L47" s="145">
        <f>VLOOKUP($A47,IRData!$A$2:$N$146,13,FALSE)</f>
        <v>601</v>
      </c>
      <c r="M47" s="51">
        <f>L47*Forutsetninger!$C$17</f>
        <v>635.68151935719504</v>
      </c>
      <c r="N47" s="145">
        <f>VLOOKUP(A47,IRData!$A$3:$E$146,5,FALSE)*Forutsetninger!$C$23</f>
        <v>0</v>
      </c>
      <c r="O47" s="145">
        <f>VLOOKUP(A47,IRData!$A$3:$AG$146,19,FALSE)*Forutsetninger!$C$17</f>
        <v>0</v>
      </c>
      <c r="P47" s="52">
        <f t="shared" si="17"/>
        <v>12618.064197205324</v>
      </c>
      <c r="Q47" s="253">
        <f>ROUND(D47+E47+J47+K47+M47+G47*Forutsetninger!$B$5+N47,0)</f>
        <v>15177</v>
      </c>
      <c r="R47" s="53">
        <f>IFERROR((VLOOKUP(A47,'DEAnorm D-nett'!$A$4:$H$134,8,FALSE)+O47),0)</f>
        <v>14295.877983435692</v>
      </c>
      <c r="S47" s="26">
        <f>IFERROR((VLOOKUP(A47,'DEAnorm R-nett'!$A$4:$H$86,8,FALSE)+N47+K47),N47+K47)</f>
        <v>0</v>
      </c>
      <c r="T47" s="151">
        <f>IFERROR(VLOOKUP(A47,IRData!$A$3:$AN$146,40,FALSE),0)</f>
        <v>0</v>
      </c>
      <c r="U47" s="54">
        <f>(1-Forutsetninger!$B$3)*Q47+(R47+S47+T47)*Forutsetninger!$B$3</f>
        <v>14648.326790061416</v>
      </c>
      <c r="V47" s="47">
        <f t="shared" si="18"/>
        <v>2030.2625928560919</v>
      </c>
      <c r="W47" s="208">
        <f t="shared" si="19"/>
        <v>5.0137454992787607E-2</v>
      </c>
      <c r="X47" s="47">
        <f>(R47+S47+T47)-G47*($K$159+$K$153)/Forutsetninger!$B$3</f>
        <v>16215.140931667233</v>
      </c>
      <c r="Y47" s="278">
        <f>ROUND((1-Forutsetninger!$B$3)*Q47+Forutsetninger!$B$3*X47,0)</f>
        <v>15800</v>
      </c>
      <c r="Z47" s="47">
        <v>15791</v>
      </c>
      <c r="AA47" s="73">
        <f t="shared" si="5"/>
        <v>9</v>
      </c>
      <c r="AB47" s="269">
        <f t="shared" si="6"/>
        <v>5.6994490532581851E-4</v>
      </c>
      <c r="AC47" s="66">
        <f t="shared" si="7"/>
        <v>9</v>
      </c>
      <c r="AD47" s="256">
        <f>VLOOKUP(A47,IR2016prnettnivå!$B$2:$K$133,8,FALSE)</f>
        <v>1</v>
      </c>
      <c r="AE47" s="256">
        <f>VLOOKUP(A47,IR2016prnettnivå!$B$2:$K$133,9,FALSE)</f>
        <v>0</v>
      </c>
      <c r="AF47" s="256">
        <f>VLOOKUP(A47,IR2016prnettnivå!$B$2:$K$133,10,FALSE)</f>
        <v>0</v>
      </c>
      <c r="AG47" s="277">
        <f t="shared" si="8"/>
        <v>9</v>
      </c>
      <c r="AH47" s="277">
        <f t="shared" si="9"/>
        <v>0</v>
      </c>
      <c r="AI47" s="277">
        <f t="shared" si="10"/>
        <v>0</v>
      </c>
      <c r="AJ47" s="277">
        <f t="shared" si="11"/>
        <v>0.11520000000000002</v>
      </c>
      <c r="AK47" s="277">
        <f t="shared" si="12"/>
        <v>0</v>
      </c>
      <c r="AL47" s="277">
        <f t="shared" si="13"/>
        <v>0</v>
      </c>
    </row>
    <row r="48" spans="1:38" x14ac:dyDescent="0.2">
      <c r="A48">
        <v>822014</v>
      </c>
      <c r="B48" s="1" t="s">
        <v>210</v>
      </c>
      <c r="C48" s="99">
        <f>VLOOKUP(A48,IRData!$A$3:$F$146,6,FALSE)</f>
        <v>14345.293746948242</v>
      </c>
      <c r="D48" s="52">
        <f>C48*Forutsetninger!$C$23</f>
        <v>15091.659865524547</v>
      </c>
      <c r="E48" s="50">
        <f>VLOOKUP($A48,IRData!$A$2:$N$146,7,FALSE)</f>
        <v>6586</v>
      </c>
      <c r="F48" s="50">
        <f>VLOOKUP($A48,IRData!$A$2:$N$146,8,FALSE)</f>
        <v>93766</v>
      </c>
      <c r="G48" s="50">
        <f>VLOOKUP($A48,IRData!$A$2:$N$146,9,FALSE)</f>
        <v>94703.66</v>
      </c>
      <c r="H48" s="50">
        <f>VLOOKUP($A48,IRData!$A$2:$N$146,10,FALSE)</f>
        <v>11039</v>
      </c>
      <c r="I48" s="50">
        <f>VLOOKUP($A48,IRData!$A$2:$N$146,11,FALSE)</f>
        <v>0</v>
      </c>
      <c r="J48" s="52">
        <f>VLOOKUP(A48,IRData!$A$3:$AF$146,32,FALSE)</f>
        <v>2866.8283031582832</v>
      </c>
      <c r="K48" s="52">
        <f>VLOOKUP(A48,IRData!$A$3:$AM$146,37,FALSE)</f>
        <v>0</v>
      </c>
      <c r="L48" s="145">
        <f>VLOOKUP($A48,IRData!$A$2:$N$146,13,FALSE)</f>
        <v>1104</v>
      </c>
      <c r="M48" s="51">
        <f>L48*Forutsetninger!$C$17</f>
        <v>1167.707815924032</v>
      </c>
      <c r="N48" s="145">
        <f>VLOOKUP(A48,IRData!$A$3:$E$146,5,FALSE)*Forutsetninger!$C$23</f>
        <v>0</v>
      </c>
      <c r="O48" s="145">
        <f>VLOOKUP(A48,IRData!$A$3:$AG$146,19,FALSE)*Forutsetninger!$C$17</f>
        <v>0</v>
      </c>
      <c r="P48" s="52">
        <f t="shared" si="17"/>
        <v>25712.195984606864</v>
      </c>
      <c r="Q48" s="253">
        <f>ROUND(D48+E48+J48+K48+M48+G48*Forutsetninger!$B$5+N48,0)</f>
        <v>31697</v>
      </c>
      <c r="R48" s="53">
        <f>IFERROR((VLOOKUP(A48,'DEAnorm D-nett'!$A$4:$H$134,8,FALSE)+O48),0)</f>
        <v>30442.501518089997</v>
      </c>
      <c r="S48" s="26">
        <f>IFERROR((VLOOKUP(A48,'DEAnorm R-nett'!$A$4:$H$86,8,FALSE)+N48+K48),N48+K48)</f>
        <v>0</v>
      </c>
      <c r="T48" s="151">
        <f>IFERROR(VLOOKUP(A48,IRData!$A$3:$AN$146,40,FALSE),0)</f>
        <v>0</v>
      </c>
      <c r="U48" s="54">
        <f>(1-Forutsetninger!$B$3)*Q48+(R48+S48+T48)*Forutsetninger!$B$3</f>
        <v>30944.300910853999</v>
      </c>
      <c r="V48" s="47">
        <f t="shared" si="18"/>
        <v>5232.1049262471352</v>
      </c>
      <c r="W48" s="208">
        <f t="shared" si="19"/>
        <v>5.5247124833899083E-2</v>
      </c>
      <c r="X48" s="47">
        <f>(R48+S48+T48)-G48*($K$159+$K$153)/Forutsetninger!$B$3</f>
        <v>34931.105753340009</v>
      </c>
      <c r="Y48" s="278">
        <f>ROUND((1-Forutsetninger!$B$3)*Q48+Forutsetninger!$B$3*X48,0)</f>
        <v>33637</v>
      </c>
      <c r="Z48" s="47">
        <v>33635</v>
      </c>
      <c r="AA48" s="73">
        <f t="shared" si="5"/>
        <v>2</v>
      </c>
      <c r="AB48" s="269">
        <f t="shared" si="6"/>
        <v>5.9461870075813886E-5</v>
      </c>
      <c r="AC48" s="66">
        <f t="shared" si="7"/>
        <v>2</v>
      </c>
      <c r="AD48" s="256">
        <f>VLOOKUP(A48,IR2016prnettnivå!$B$2:$K$133,8,FALSE)</f>
        <v>1</v>
      </c>
      <c r="AE48" s="256">
        <f>VLOOKUP(A48,IR2016prnettnivå!$B$2:$K$133,9,FALSE)</f>
        <v>0</v>
      </c>
      <c r="AF48" s="256">
        <f>VLOOKUP(A48,IR2016prnettnivå!$B$2:$K$133,10,FALSE)</f>
        <v>0</v>
      </c>
      <c r="AG48" s="277">
        <f t="shared" si="8"/>
        <v>2</v>
      </c>
      <c r="AH48" s="277">
        <f t="shared" si="9"/>
        <v>0</v>
      </c>
      <c r="AI48" s="277">
        <f t="shared" si="10"/>
        <v>0</v>
      </c>
      <c r="AJ48" s="277">
        <f t="shared" si="11"/>
        <v>2.5600000000000005E-2</v>
      </c>
      <c r="AK48" s="277">
        <f t="shared" si="12"/>
        <v>0</v>
      </c>
      <c r="AL48" s="277">
        <f t="shared" si="13"/>
        <v>0</v>
      </c>
    </row>
    <row r="49" spans="1:38" x14ac:dyDescent="0.2">
      <c r="A49">
        <v>2942014</v>
      </c>
      <c r="B49" s="1" t="s">
        <v>89</v>
      </c>
      <c r="C49" s="99">
        <f>VLOOKUP(A49,IRData!$A$3:$F$146,6,FALSE)</f>
        <v>3105</v>
      </c>
      <c r="D49" s="52">
        <f>C49*Forutsetninger!$C$23</f>
        <v>3266.5489260143199</v>
      </c>
      <c r="E49" s="50">
        <f>VLOOKUP($A49,IRData!$A$2:$N$146,7,FALSE)</f>
        <v>8808</v>
      </c>
      <c r="F49" s="50">
        <f>VLOOKUP($A49,IRData!$A$2:$N$146,8,FALSE)</f>
        <v>110073</v>
      </c>
      <c r="G49" s="50">
        <f>VLOOKUP($A49,IRData!$A$2:$N$146,9,FALSE)</f>
        <v>111173.73</v>
      </c>
      <c r="H49" s="50">
        <f>VLOOKUP($A49,IRData!$A$2:$N$146,10,FALSE)</f>
        <v>4877</v>
      </c>
      <c r="I49" s="50">
        <f>VLOOKUP($A49,IRData!$A$2:$N$146,11,FALSE)</f>
        <v>0</v>
      </c>
      <c r="J49" s="52">
        <f>VLOOKUP(A49,IRData!$A$3:$AF$146,32,FALSE)</f>
        <v>1291.8837197422981</v>
      </c>
      <c r="K49" s="52">
        <f>VLOOKUP(A49,IRData!$A$3:$AM$146,37,FALSE)</f>
        <v>0</v>
      </c>
      <c r="L49" s="145">
        <f>VLOOKUP($A49,IRData!$A$2:$N$146,13,FALSE)</f>
        <v>858</v>
      </c>
      <c r="M49" s="51">
        <f>L49*Forutsetninger!$C$17</f>
        <v>907.51205259313372</v>
      </c>
      <c r="N49" s="145">
        <f>VLOOKUP(A49,IRData!$A$3:$E$146,5,FALSE)*Forutsetninger!$C$23</f>
        <v>0</v>
      </c>
      <c r="O49" s="145">
        <f>VLOOKUP(A49,IRData!$A$3:$AG$146,19,FALSE)*Forutsetninger!$C$17</f>
        <v>0</v>
      </c>
      <c r="P49" s="52">
        <f t="shared" si="17"/>
        <v>14273.944698349753</v>
      </c>
      <c r="Q49" s="253">
        <f>ROUND(D49+E49+J49+K49+M49+G49*Forutsetninger!$B$5+N49,0)</f>
        <v>21300</v>
      </c>
      <c r="R49" s="53">
        <f>IFERROR((VLOOKUP(A49,'DEAnorm D-nett'!$A$4:$H$134,8,FALSE)+O49),0)</f>
        <v>21300.124434349753</v>
      </c>
      <c r="S49" s="26">
        <f>IFERROR((VLOOKUP(A49,'DEAnorm R-nett'!$A$4:$H$86,8,FALSE)+N49+K49),N49+K49)</f>
        <v>0</v>
      </c>
      <c r="T49" s="151">
        <f>IFERROR(VLOOKUP(A49,IRData!$A$3:$AN$146,40,FALSE),0)</f>
        <v>0</v>
      </c>
      <c r="U49" s="54">
        <f>(1-Forutsetninger!$B$3)*Q49+(R49+S49+T49)*Forutsetninger!$B$3</f>
        <v>21300.074660609851</v>
      </c>
      <c r="V49" s="47">
        <f t="shared" si="18"/>
        <v>7026.1299622600982</v>
      </c>
      <c r="W49" s="208">
        <f t="shared" si="19"/>
        <v>6.3199552288657562E-2</v>
      </c>
      <c r="X49" s="47">
        <f>(R49+S49+T49)-G49*($K$159+$K$153)/Forutsetninger!$B$3</f>
        <v>26569.349249172548</v>
      </c>
      <c r="Y49" s="278">
        <f>ROUND((1-Forutsetninger!$B$3)*Q49+Forutsetninger!$B$3*X49,0)</f>
        <v>24462</v>
      </c>
      <c r="Z49" s="47">
        <v>24469</v>
      </c>
      <c r="AA49" s="73">
        <f t="shared" si="5"/>
        <v>-7</v>
      </c>
      <c r="AB49" s="269">
        <f t="shared" si="6"/>
        <v>-2.8607625975724383E-4</v>
      </c>
      <c r="AC49" s="66">
        <f t="shared" si="7"/>
        <v>0</v>
      </c>
      <c r="AD49" s="256">
        <f>VLOOKUP(A49,IR2016prnettnivå!$B$2:$K$133,8,FALSE)</f>
        <v>1</v>
      </c>
      <c r="AE49" s="256">
        <f>VLOOKUP(A49,IR2016prnettnivå!$B$2:$K$133,9,FALSE)</f>
        <v>0</v>
      </c>
      <c r="AF49" s="256">
        <f>VLOOKUP(A49,IR2016prnettnivå!$B$2:$K$133,10,FALSE)</f>
        <v>0</v>
      </c>
      <c r="AG49" s="277">
        <f t="shared" si="8"/>
        <v>0</v>
      </c>
      <c r="AH49" s="277">
        <f t="shared" si="9"/>
        <v>0</v>
      </c>
      <c r="AI49" s="277">
        <f t="shared" si="10"/>
        <v>0</v>
      </c>
      <c r="AJ49" s="277">
        <f t="shared" si="11"/>
        <v>0</v>
      </c>
      <c r="AK49" s="277">
        <f t="shared" si="12"/>
        <v>0</v>
      </c>
      <c r="AL49" s="277">
        <f t="shared" si="13"/>
        <v>0</v>
      </c>
    </row>
    <row r="50" spans="1:38" x14ac:dyDescent="0.2">
      <c r="A50">
        <v>842014</v>
      </c>
      <c r="B50" s="1" t="s">
        <v>374</v>
      </c>
      <c r="C50" s="99">
        <f>VLOOKUP(A50,IRData!$A$3:$F$146,6,FALSE)</f>
        <v>16024.928649902344</v>
      </c>
      <c r="D50" s="52">
        <f>C50*Forutsetninger!$C$23</f>
        <v>16858.683887534495</v>
      </c>
      <c r="E50" s="50">
        <f>VLOOKUP($A50,IRData!$A$2:$N$146,7,FALSE)</f>
        <v>5310</v>
      </c>
      <c r="F50" s="50">
        <f>VLOOKUP($A50,IRData!$A$2:$N$146,8,FALSE)</f>
        <v>79434</v>
      </c>
      <c r="G50" s="50">
        <f>VLOOKUP($A50,IRData!$A$2:$N$146,9,FALSE)</f>
        <v>80228.34</v>
      </c>
      <c r="H50" s="50">
        <f>VLOOKUP($A50,IRData!$A$2:$N$146,10,FALSE)</f>
        <v>11078</v>
      </c>
      <c r="I50" s="50">
        <f>VLOOKUP($A50,IRData!$A$2:$N$146,11,FALSE)</f>
        <v>0</v>
      </c>
      <c r="J50" s="52">
        <f>VLOOKUP(A50,IRData!$A$3:$AF$146,32,FALSE)</f>
        <v>2876.9566031694412</v>
      </c>
      <c r="K50" s="52">
        <f>VLOOKUP(A50,IRData!$A$3:$AM$146,37,FALSE)</f>
        <v>0</v>
      </c>
      <c r="L50" s="145">
        <f>VLOOKUP($A50,IRData!$A$2:$N$146,13,FALSE)</f>
        <v>582</v>
      </c>
      <c r="M50" s="51">
        <f>L50*Forutsetninger!$C$17</f>
        <v>615.58509861212565</v>
      </c>
      <c r="N50" s="145">
        <f>VLOOKUP(A50,IRData!$A$3:$E$146,5,FALSE)*Forutsetninger!$C$23</f>
        <v>0</v>
      </c>
      <c r="O50" s="145">
        <f>VLOOKUP(A50,IRData!$A$3:$AG$146,19,FALSE)*Forutsetninger!$C$17</f>
        <v>0</v>
      </c>
      <c r="P50" s="52">
        <f t="shared" si="17"/>
        <v>25661.225589316062</v>
      </c>
      <c r="Q50" s="253">
        <f>ROUND(D50+E50+J50+K50+M50+G50*Forutsetninger!$B$5+N50,0)</f>
        <v>30732</v>
      </c>
      <c r="R50" s="53">
        <f>IFERROR((VLOOKUP(A50,'DEAnorm D-nett'!$A$4:$H$134,8,FALSE)+O50),0)</f>
        <v>26865.163217458437</v>
      </c>
      <c r="S50" s="26">
        <f>IFERROR((VLOOKUP(A50,'DEAnorm R-nett'!$A$4:$H$86,8,FALSE)+N50+K50),N50+K50)</f>
        <v>0</v>
      </c>
      <c r="T50" s="151">
        <f>IFERROR(VLOOKUP(A50,IRData!$A$3:$AN$146,40,FALSE),0)</f>
        <v>0</v>
      </c>
      <c r="U50" s="54">
        <f>(1-Forutsetninger!$B$3)*Q50+(R50+S50+T50)*Forutsetninger!$B$3</f>
        <v>28411.897930475061</v>
      </c>
      <c r="V50" s="47">
        <f t="shared" si="18"/>
        <v>2750.6723411589992</v>
      </c>
      <c r="W50" s="208">
        <f t="shared" si="19"/>
        <v>3.42855447483894E-2</v>
      </c>
      <c r="X50" s="47">
        <f>(R50+S50+T50)-G50*($K$159+$K$153)/Forutsetninger!$B$3</f>
        <v>30667.690666884126</v>
      </c>
      <c r="Y50" s="278">
        <f>ROUND((1-Forutsetninger!$B$3)*Q50+Forutsetninger!$B$3*X50,0)</f>
        <v>30693</v>
      </c>
      <c r="Z50" s="47">
        <v>30706</v>
      </c>
      <c r="AA50" s="73">
        <f t="shared" si="5"/>
        <v>-13</v>
      </c>
      <c r="AB50" s="269">
        <f t="shared" si="6"/>
        <v>-4.2337002540220151E-4</v>
      </c>
      <c r="AC50" s="66">
        <f t="shared" si="7"/>
        <v>0</v>
      </c>
      <c r="AD50" s="256">
        <f>VLOOKUP(A50,IR2016prnettnivå!$B$2:$K$133,8,FALSE)</f>
        <v>1</v>
      </c>
      <c r="AE50" s="256">
        <f>VLOOKUP(A50,IR2016prnettnivå!$B$2:$K$133,9,FALSE)</f>
        <v>0</v>
      </c>
      <c r="AF50" s="256">
        <f>VLOOKUP(A50,IR2016prnettnivå!$B$2:$K$133,10,FALSE)</f>
        <v>0</v>
      </c>
      <c r="AG50" s="277">
        <f t="shared" si="8"/>
        <v>0</v>
      </c>
      <c r="AH50" s="277">
        <f t="shared" si="9"/>
        <v>0</v>
      </c>
      <c r="AI50" s="277">
        <f t="shared" si="10"/>
        <v>0</v>
      </c>
      <c r="AJ50" s="277">
        <f t="shared" si="11"/>
        <v>0</v>
      </c>
      <c r="AK50" s="277">
        <f t="shared" si="12"/>
        <v>0</v>
      </c>
      <c r="AL50" s="277">
        <f t="shared" si="13"/>
        <v>0</v>
      </c>
    </row>
    <row r="51" spans="1:38" x14ac:dyDescent="0.2">
      <c r="A51">
        <v>4332014</v>
      </c>
      <c r="B51" s="1" t="s">
        <v>119</v>
      </c>
      <c r="C51" s="99">
        <f>VLOOKUP(A51,IRData!$A$3:$F$146,6,FALSE)</f>
        <v>70001.476112365723</v>
      </c>
      <c r="D51" s="52">
        <f>C51*Forutsetninger!$C$23</f>
        <v>73643.557685753723</v>
      </c>
      <c r="E51" s="50">
        <f>VLOOKUP($A51,IRData!$A$2:$N$146,7,FALSE)</f>
        <v>30377</v>
      </c>
      <c r="F51" s="50">
        <f>VLOOKUP($A51,IRData!$A$2:$N$146,8,FALSE)</f>
        <v>387427</v>
      </c>
      <c r="G51" s="50">
        <f>VLOOKUP($A51,IRData!$A$2:$N$146,9,FALSE)</f>
        <v>391301.26999999996</v>
      </c>
      <c r="H51" s="50">
        <f>VLOOKUP($A51,IRData!$A$2:$N$146,10,FALSE)</f>
        <v>28475</v>
      </c>
      <c r="I51" s="50">
        <f>VLOOKUP($A51,IRData!$A$2:$N$146,11,FALSE)</f>
        <v>8505</v>
      </c>
      <c r="J51" s="52">
        <f>VLOOKUP(A51,IRData!$A$3:$AF$146,32,FALSE)</f>
        <v>6960.7138328254223</v>
      </c>
      <c r="K51" s="52">
        <f>VLOOKUP(A51,IRData!$A$3:$AM$146,37,FALSE)</f>
        <v>2079.0472747385502</v>
      </c>
      <c r="L51" s="145">
        <f>VLOOKUP($A51,IRData!$A$2:$N$146,13,FALSE)</f>
        <v>4233</v>
      </c>
      <c r="M51" s="51">
        <f>L51*Forutsetninger!$C$17</f>
        <v>4477.2710007304604</v>
      </c>
      <c r="N51" s="145">
        <f>VLOOKUP(A51,IRData!$A$3:$E$146,5,FALSE)*Forutsetninger!$C$23</f>
        <v>396.61479713603819</v>
      </c>
      <c r="O51" s="145">
        <f>VLOOKUP(A51,IRData!$A$3:$AG$146,19,FALSE)*Forutsetninger!$C$17</f>
        <v>0</v>
      </c>
      <c r="P51" s="52">
        <f t="shared" si="17"/>
        <v>117934.20459118419</v>
      </c>
      <c r="Q51" s="253">
        <f>ROUND(D51+E51+J51+K51+M51+G51*Forutsetninger!$B$5+N51,0)</f>
        <v>142664</v>
      </c>
      <c r="R51" s="53">
        <f>IFERROR((VLOOKUP(A51,'DEAnorm D-nett'!$A$4:$H$134,8,FALSE)+O51),0)</f>
        <v>120839.42050777972</v>
      </c>
      <c r="S51" s="26">
        <f>IFERROR((VLOOKUP(A51,'DEAnorm R-nett'!$A$4:$H$86,8,FALSE)+N51+K51),N51+K51)</f>
        <v>22820.688083944198</v>
      </c>
      <c r="T51" s="151">
        <f>IFERROR(VLOOKUP(A51,IRData!$A$3:$AN$146,40,FALSE),0)</f>
        <v>1087.0549519592362</v>
      </c>
      <c r="U51" s="54">
        <f>(1-Forutsetninger!$B$3)*Q51+(R51+S51+T51)*Forutsetninger!$B$3</f>
        <v>143913.89812620991</v>
      </c>
      <c r="V51" s="47">
        <f t="shared" si="18"/>
        <v>25979.693535025726</v>
      </c>
      <c r="W51" s="208">
        <f t="shared" si="19"/>
        <v>6.6393072363464936E-2</v>
      </c>
      <c r="X51" s="47">
        <f>(R51+S51+T51)-G51*($K$159+$K$153)/Forutsetninger!$B$3</f>
        <v>163293.40069841093</v>
      </c>
      <c r="Y51" s="278">
        <f>ROUND((1-Forutsetninger!$B$3)*Q51+Forutsetninger!$B$3*X51,0)</f>
        <v>155042</v>
      </c>
      <c r="Z51" s="47">
        <v>155205</v>
      </c>
      <c r="AA51" s="73">
        <f t="shared" si="5"/>
        <v>-163</v>
      </c>
      <c r="AB51" s="269">
        <f t="shared" si="6"/>
        <v>-1.050223897425985E-3</v>
      </c>
      <c r="AC51" s="66">
        <f t="shared" si="7"/>
        <v>0</v>
      </c>
      <c r="AD51" s="256">
        <f>VLOOKUP(A51,IR2016prnettnivå!$B$2:$K$133,8,FALSE)</f>
        <v>0.81736413131020269</v>
      </c>
      <c r="AE51" s="256">
        <f>VLOOKUP(A51,IR2016prnettnivå!$B$2:$K$133,9,FALSE)</f>
        <v>0.17941432299217164</v>
      </c>
      <c r="AF51" s="256">
        <f>VLOOKUP(A51,IR2016prnettnivå!$B$2:$K$133,10,FALSE)</f>
        <v>3.2215456976257208E-3</v>
      </c>
      <c r="AG51" s="277">
        <f t="shared" si="8"/>
        <v>0</v>
      </c>
      <c r="AH51" s="277">
        <f t="shared" si="9"/>
        <v>0</v>
      </c>
      <c r="AI51" s="277">
        <f t="shared" si="10"/>
        <v>0</v>
      </c>
      <c r="AJ51" s="277">
        <f t="shared" si="11"/>
        <v>0</v>
      </c>
      <c r="AK51" s="277">
        <f t="shared" si="12"/>
        <v>0</v>
      </c>
      <c r="AL51" s="277">
        <f t="shared" si="13"/>
        <v>0</v>
      </c>
    </row>
    <row r="52" spans="1:38" x14ac:dyDescent="0.2">
      <c r="A52">
        <v>862014</v>
      </c>
      <c r="B52" s="1" t="s">
        <v>211</v>
      </c>
      <c r="C52" s="99">
        <f>VLOOKUP(A52,IRData!$A$3:$F$146,6,FALSE)</f>
        <v>63403.501037597656</v>
      </c>
      <c r="D52" s="52">
        <f>C52*Forutsetninger!$C$23</f>
        <v>66702.298943611095</v>
      </c>
      <c r="E52" s="50">
        <f>VLOOKUP($A52,IRData!$A$2:$N$146,7,FALSE)</f>
        <v>30971</v>
      </c>
      <c r="F52" s="50">
        <f>VLOOKUP($A52,IRData!$A$2:$N$146,8,FALSE)</f>
        <v>493702</v>
      </c>
      <c r="G52" s="50">
        <f>VLOOKUP($A52,IRData!$A$2:$N$146,9,FALSE)</f>
        <v>498639.02</v>
      </c>
      <c r="H52" s="50">
        <f>VLOOKUP($A52,IRData!$A$2:$N$146,10,FALSE)</f>
        <v>29596</v>
      </c>
      <c r="I52" s="50">
        <f>VLOOKUP($A52,IRData!$A$2:$N$146,11,FALSE)</f>
        <v>9545</v>
      </c>
      <c r="J52" s="52">
        <f>VLOOKUP(A52,IRData!$A$3:$AF$146,32,FALSE)</f>
        <v>8186.2536959648132</v>
      </c>
      <c r="K52" s="52">
        <f>VLOOKUP(A52,IRData!$A$3:$AM$146,37,FALSE)</f>
        <v>2640.1470309495926</v>
      </c>
      <c r="L52" s="145">
        <f>VLOOKUP($A52,IRData!$A$2:$N$146,13,FALSE)</f>
        <v>4807</v>
      </c>
      <c r="M52" s="51">
        <f>L52*Forutsetninger!$C$17</f>
        <v>5084.3944485025568</v>
      </c>
      <c r="N52" s="145">
        <f>VLOOKUP(A52,IRData!$A$3:$E$146,5,FALSE)*Forutsetninger!$C$23</f>
        <v>512.33794749403341</v>
      </c>
      <c r="O52" s="145">
        <f>VLOOKUP(A52,IRData!$A$3:$AG$146,19,FALSE)*Forutsetninger!$C$17</f>
        <v>0</v>
      </c>
      <c r="P52" s="52">
        <f t="shared" si="17"/>
        <v>114096.43206652209</v>
      </c>
      <c r="Q52" s="253">
        <f>ROUND(D52+E52+J52+K52+M52+G52*Forutsetninger!$B$5+N52,0)</f>
        <v>145610</v>
      </c>
      <c r="R52" s="53">
        <f>IFERROR((VLOOKUP(A52,'DEAnorm D-nett'!$A$4:$H$134,8,FALSE)+O52),0)</f>
        <v>131996.83321476981</v>
      </c>
      <c r="S52" s="26">
        <f>IFERROR((VLOOKUP(A52,'DEAnorm R-nett'!$A$4:$H$86,8,FALSE)+N52+K52),N52+K52)</f>
        <v>24908.657800236946</v>
      </c>
      <c r="T52" s="151">
        <f>IFERROR(VLOOKUP(A52,IRData!$A$3:$AN$146,40,FALSE),0)</f>
        <v>0</v>
      </c>
      <c r="U52" s="54">
        <f>(1-Forutsetninger!$B$3)*Q52+(R52+S52+T52)*Forutsetninger!$B$3</f>
        <v>152387.29460900405</v>
      </c>
      <c r="V52" s="47">
        <f t="shared" si="18"/>
        <v>38290.862542481962</v>
      </c>
      <c r="W52" s="208">
        <f t="shared" si="19"/>
        <v>7.6790746425103196E-2</v>
      </c>
      <c r="X52" s="47">
        <f>(R52+S52+T52)-G52*($K$159+$K$153)/Forutsetninger!$B$3</f>
        <v>180539.14167890837</v>
      </c>
      <c r="Y52" s="278">
        <f>ROUND((1-Forutsetninger!$B$3)*Q52+Forutsetninger!$B$3*X52,0)</f>
        <v>166567</v>
      </c>
      <c r="Z52" s="47">
        <v>166473</v>
      </c>
      <c r="AA52" s="73">
        <f t="shared" si="5"/>
        <v>94</v>
      </c>
      <c r="AB52" s="269">
        <f t="shared" si="6"/>
        <v>5.6465613042355214E-4</v>
      </c>
      <c r="AC52" s="66">
        <f t="shared" si="7"/>
        <v>94</v>
      </c>
      <c r="AD52" s="256">
        <f>VLOOKUP(A52,IR2016prnettnivå!$B$2:$K$133,8,FALSE)</f>
        <v>0.84268319787593182</v>
      </c>
      <c r="AE52" s="256">
        <f>VLOOKUP(A52,IR2016prnettnivå!$B$2:$K$133,9,FALSE)</f>
        <v>0.15731680212406818</v>
      </c>
      <c r="AF52" s="256">
        <f>VLOOKUP(A52,IR2016prnettnivå!$B$2:$K$133,10,FALSE)</f>
        <v>0</v>
      </c>
      <c r="AG52" s="277">
        <f t="shared" si="8"/>
        <v>79.212220600337588</v>
      </c>
      <c r="AH52" s="277">
        <f t="shared" si="9"/>
        <v>14.787779399662409</v>
      </c>
      <c r="AI52" s="277">
        <f t="shared" si="10"/>
        <v>0</v>
      </c>
      <c r="AJ52" s="277">
        <f t="shared" si="11"/>
        <v>1.0139164236843212</v>
      </c>
      <c r="AK52" s="277">
        <f t="shared" si="12"/>
        <v>0.18928357631567885</v>
      </c>
      <c r="AL52" s="277">
        <f t="shared" si="13"/>
        <v>0</v>
      </c>
    </row>
    <row r="53" spans="1:38" x14ac:dyDescent="0.2">
      <c r="A53">
        <v>882014</v>
      </c>
      <c r="B53" s="1" t="s">
        <v>81</v>
      </c>
      <c r="C53" s="99">
        <f>VLOOKUP(A53,IRData!$A$3:$F$146,6,FALSE)</f>
        <v>22256.967472076416</v>
      </c>
      <c r="D53" s="52">
        <f>C53*Forutsetninger!$C$23</f>
        <v>23414.967211673709</v>
      </c>
      <c r="E53" s="50">
        <f>VLOOKUP($A53,IRData!$A$2:$N$146,7,FALSE)</f>
        <v>8731</v>
      </c>
      <c r="F53" s="50">
        <f>VLOOKUP($A53,IRData!$A$2:$N$146,8,FALSE)</f>
        <v>136677</v>
      </c>
      <c r="G53" s="50">
        <f>VLOOKUP($A53,IRData!$A$2:$N$146,9,FALSE)</f>
        <v>138043.76999999999</v>
      </c>
      <c r="H53" s="50">
        <f>VLOOKUP($A53,IRData!$A$2:$N$146,10,FALSE)</f>
        <v>7599</v>
      </c>
      <c r="I53" s="50">
        <f>VLOOKUP($A53,IRData!$A$2:$N$146,11,FALSE)</f>
        <v>1270</v>
      </c>
      <c r="J53" s="52">
        <f>VLOOKUP(A53,IRData!$A$3:$AF$146,32,FALSE)</f>
        <v>1883.412156522274</v>
      </c>
      <c r="K53" s="52">
        <f>VLOOKUP(A53,IRData!$A$3:$AM$146,37,FALSE)</f>
        <v>314.76950109004974</v>
      </c>
      <c r="L53" s="145">
        <f>VLOOKUP($A53,IRData!$A$2:$N$146,13,FALSE)</f>
        <v>1048</v>
      </c>
      <c r="M53" s="51">
        <f>L53*Forutsetninger!$C$17</f>
        <v>1108.4762600438276</v>
      </c>
      <c r="N53" s="145">
        <f>VLOOKUP(A53,IRData!$A$3:$E$146,5,FALSE)*Forutsetninger!$C$23</f>
        <v>0</v>
      </c>
      <c r="O53" s="145">
        <f>VLOOKUP(A53,IRData!$A$3:$AG$146,19,FALSE)*Forutsetninger!$C$17</f>
        <v>1078.8816568891527</v>
      </c>
      <c r="P53" s="52">
        <f t="shared" si="17"/>
        <v>35452.625129329856</v>
      </c>
      <c r="Q53" s="253">
        <f>ROUND(D53+E53+J53+K53+M53+G53*Forutsetninger!$B$5+N53,0)</f>
        <v>44177</v>
      </c>
      <c r="R53" s="53">
        <f>IFERROR((VLOOKUP(A53,'DEAnorm D-nett'!$A$4:$H$134,8,FALSE)+O53),0)</f>
        <v>40023.990068149702</v>
      </c>
      <c r="S53" s="26">
        <f>IFERROR((VLOOKUP(A53,'DEAnorm R-nett'!$A$4:$H$86,8,FALSE)+N53+K53),N53+K53)</f>
        <v>4250.8478252662335</v>
      </c>
      <c r="T53" s="151">
        <f>IFERROR(VLOOKUP(A53,IRData!$A$3:$AN$146,40,FALSE),0)</f>
        <v>0</v>
      </c>
      <c r="U53" s="54">
        <f>(1-Forutsetninger!$B$3)*Q53+(R53+S53+T53)*Forutsetninger!$B$3</f>
        <v>44235.702736049556</v>
      </c>
      <c r="V53" s="47">
        <f t="shared" si="18"/>
        <v>8783.0776067197003</v>
      </c>
      <c r="W53" s="208">
        <f t="shared" si="19"/>
        <v>6.362530961534664E-2</v>
      </c>
      <c r="X53" s="47">
        <f>(R53+S53+T53)-G53*($K$159+$K$153)/Forutsetninger!$B$3</f>
        <v>50817.603512737071</v>
      </c>
      <c r="Y53" s="278">
        <f>ROUND((1-Forutsetninger!$B$3)*Q53+Forutsetninger!$B$3*X53,0)</f>
        <v>48161</v>
      </c>
      <c r="Z53" s="47">
        <v>48100</v>
      </c>
      <c r="AA53" s="73">
        <f t="shared" si="5"/>
        <v>61</v>
      </c>
      <c r="AB53" s="269">
        <f t="shared" si="6"/>
        <v>1.2681912681912681E-3</v>
      </c>
      <c r="AC53" s="66">
        <f t="shared" si="7"/>
        <v>61</v>
      </c>
      <c r="AD53" s="256">
        <f>VLOOKUP(A53,IR2016prnettnivå!$B$2:$K$133,8,FALSE)</f>
        <v>1</v>
      </c>
      <c r="AE53" s="256">
        <f>VLOOKUP(A53,IR2016prnettnivå!$B$2:$K$133,9,FALSE)</f>
        <v>0</v>
      </c>
      <c r="AF53" s="256">
        <f>VLOOKUP(A53,IR2016prnettnivå!$B$2:$K$133,10,FALSE)</f>
        <v>0</v>
      </c>
      <c r="AG53" s="277">
        <f t="shared" si="8"/>
        <v>61</v>
      </c>
      <c r="AH53" s="277">
        <f t="shared" si="9"/>
        <v>0</v>
      </c>
      <c r="AI53" s="277">
        <f t="shared" si="10"/>
        <v>0</v>
      </c>
      <c r="AJ53" s="277">
        <f t="shared" si="11"/>
        <v>0.78080000000000016</v>
      </c>
      <c r="AK53" s="277">
        <f t="shared" si="12"/>
        <v>0</v>
      </c>
      <c r="AL53" s="277">
        <f t="shared" si="13"/>
        <v>0</v>
      </c>
    </row>
    <row r="54" spans="1:38" x14ac:dyDescent="0.2">
      <c r="A54">
        <v>912014</v>
      </c>
      <c r="B54" s="1" t="s">
        <v>212</v>
      </c>
      <c r="C54" s="99">
        <f>VLOOKUP(A54,IRData!$A$3:$F$146,6,FALSE)</f>
        <v>13920.082077026367</v>
      </c>
      <c r="D54" s="52">
        <f>C54*Forutsetninger!$C$23</f>
        <v>14644.32501086688</v>
      </c>
      <c r="E54" s="50">
        <f>VLOOKUP($A54,IRData!$A$2:$N$146,7,FALSE)</f>
        <v>8862</v>
      </c>
      <c r="F54" s="50">
        <f>VLOOKUP($A54,IRData!$A$2:$N$146,8,FALSE)</f>
        <v>131082</v>
      </c>
      <c r="G54" s="50">
        <f>VLOOKUP($A54,IRData!$A$2:$N$146,9,FALSE)</f>
        <v>132392.82</v>
      </c>
      <c r="H54" s="50">
        <f>VLOOKUP($A54,IRData!$A$2:$N$146,10,FALSE)</f>
        <v>10588</v>
      </c>
      <c r="I54" s="50">
        <f>VLOOKUP($A54,IRData!$A$2:$N$146,11,FALSE)</f>
        <v>0</v>
      </c>
      <c r="J54" s="52">
        <f>VLOOKUP(A54,IRData!$A$3:$AF$146,32,FALSE)</f>
        <v>2624.2358090877533</v>
      </c>
      <c r="K54" s="52">
        <f>VLOOKUP(A54,IRData!$A$3:$AM$146,37,FALSE)</f>
        <v>0</v>
      </c>
      <c r="L54" s="145">
        <f>VLOOKUP($A54,IRData!$A$2:$N$146,13,FALSE)</f>
        <v>419</v>
      </c>
      <c r="M54" s="51">
        <f>L54*Forutsetninger!$C$17</f>
        <v>443.17896274653032</v>
      </c>
      <c r="N54" s="145">
        <f>VLOOKUP(A54,IRData!$A$3:$E$146,5,FALSE)*Forutsetninger!$C$23</f>
        <v>0</v>
      </c>
      <c r="O54" s="145">
        <f>VLOOKUP(A54,IRData!$A$3:$AG$146,19,FALSE)*Forutsetninger!$C$17</f>
        <v>4164.4119966672752</v>
      </c>
      <c r="P54" s="52">
        <f t="shared" si="17"/>
        <v>26573.739782701163</v>
      </c>
      <c r="Q54" s="253">
        <f>ROUND(D54+E54+J54+K54+M54+G54*Forutsetninger!$B$5+N54,0)</f>
        <v>34941</v>
      </c>
      <c r="R54" s="53">
        <f>IFERROR((VLOOKUP(A54,'DEAnorm D-nett'!$A$4:$H$134,8,FALSE)+O54),0)</f>
        <v>36549.737212880646</v>
      </c>
      <c r="S54" s="26">
        <f>IFERROR((VLOOKUP(A54,'DEAnorm R-nett'!$A$4:$H$86,8,FALSE)+N54+K54),N54+K54)</f>
        <v>0</v>
      </c>
      <c r="T54" s="151">
        <f>IFERROR(VLOOKUP(A54,IRData!$A$3:$AN$146,40,FALSE),0)</f>
        <v>0</v>
      </c>
      <c r="U54" s="54">
        <f>(1-Forutsetninger!$B$3)*Q54+(R54+S54+T54)*Forutsetninger!$B$3</f>
        <v>35906.242327728389</v>
      </c>
      <c r="V54" s="47">
        <f t="shared" si="18"/>
        <v>9332.502545027226</v>
      </c>
      <c r="W54" s="208">
        <f t="shared" si="19"/>
        <v>7.0491002042461406E-2</v>
      </c>
      <c r="X54" s="47">
        <f>(R54+S54+T54)-G54*($K$159+$K$153)/Forutsetninger!$B$3</f>
        <v>42824.668641810553</v>
      </c>
      <c r="Y54" s="278">
        <f>ROUND((1-Forutsetninger!$B$3)*Q54+Forutsetninger!$B$3*X54,0)</f>
        <v>39671</v>
      </c>
      <c r="Z54" s="47">
        <v>40051</v>
      </c>
      <c r="AA54" s="73">
        <f t="shared" si="5"/>
        <v>-380</v>
      </c>
      <c r="AB54" s="269">
        <f t="shared" si="6"/>
        <v>-9.4879029237721901E-3</v>
      </c>
      <c r="AC54" s="66">
        <f t="shared" si="7"/>
        <v>0</v>
      </c>
      <c r="AD54" s="256">
        <f>VLOOKUP(A54,IR2016prnettnivå!$B$2:$K$133,8,FALSE)</f>
        <v>1</v>
      </c>
      <c r="AE54" s="256">
        <f>VLOOKUP(A54,IR2016prnettnivå!$B$2:$K$133,9,FALSE)</f>
        <v>0</v>
      </c>
      <c r="AF54" s="256">
        <f>VLOOKUP(A54,IR2016prnettnivå!$B$2:$K$133,10,FALSE)</f>
        <v>0</v>
      </c>
      <c r="AG54" s="277">
        <f t="shared" si="8"/>
        <v>0</v>
      </c>
      <c r="AH54" s="277">
        <f t="shared" si="9"/>
        <v>0</v>
      </c>
      <c r="AI54" s="277">
        <f t="shared" si="10"/>
        <v>0</v>
      </c>
      <c r="AJ54" s="277">
        <f t="shared" si="11"/>
        <v>0</v>
      </c>
      <c r="AK54" s="277">
        <f t="shared" si="12"/>
        <v>0</v>
      </c>
      <c r="AL54" s="277">
        <f t="shared" si="13"/>
        <v>0</v>
      </c>
    </row>
    <row r="55" spans="1:38" x14ac:dyDescent="0.2">
      <c r="A55">
        <v>2882014</v>
      </c>
      <c r="B55" s="1" t="s">
        <v>275</v>
      </c>
      <c r="C55" s="99">
        <f>VLOOKUP(A55,IRData!$A$3:$F$146,6,FALSE)</f>
        <v>1600.9185600280762</v>
      </c>
      <c r="D55" s="52">
        <f>C55*Forutsetninger!$C$23</f>
        <v>1684.212174845766</v>
      </c>
      <c r="E55" s="50">
        <f>VLOOKUP($A55,IRData!$A$2:$N$146,7,FALSE)</f>
        <v>4072</v>
      </c>
      <c r="F55" s="50">
        <f>VLOOKUP($A55,IRData!$A$2:$N$146,8,FALSE)</f>
        <v>20945</v>
      </c>
      <c r="G55" s="50">
        <f>VLOOKUP($A55,IRData!$A$2:$N$146,9,FALSE)</f>
        <v>21154.45</v>
      </c>
      <c r="H55" s="50">
        <f>VLOOKUP($A55,IRData!$A$2:$N$146,10,FALSE)</f>
        <v>0</v>
      </c>
      <c r="I55" s="50">
        <f>VLOOKUP($A55,IRData!$A$2:$N$146,11,FALSE)</f>
        <v>9290</v>
      </c>
      <c r="J55" s="52">
        <f>VLOOKUP(A55,IRData!$A$3:$AF$146,32,FALSE)</f>
        <v>0</v>
      </c>
      <c r="K55" s="52">
        <f>VLOOKUP(A55,IRData!$A$3:$AM$146,37,FALSE)</f>
        <v>2569.614030122757</v>
      </c>
      <c r="L55" s="145">
        <f>VLOOKUP($A55,IRData!$A$2:$N$146,13,FALSE)</f>
        <v>0</v>
      </c>
      <c r="M55" s="51">
        <f>L55*Forutsetninger!$C$17</f>
        <v>0</v>
      </c>
      <c r="N55" s="145">
        <f>VLOOKUP(A55,IRData!$A$3:$E$146,5,FALSE)*Forutsetninger!$C$23</f>
        <v>0</v>
      </c>
      <c r="O55" s="145">
        <f>VLOOKUP(A55,IRData!$A$3:$AG$146,19,FALSE)*Forutsetninger!$C$17</f>
        <v>0</v>
      </c>
      <c r="P55" s="52">
        <f t="shared" si="17"/>
        <v>8325.8262049685218</v>
      </c>
      <c r="Q55" s="253">
        <f>ROUND(D55+E55+J55+K55+M55+G55*Forutsetninger!$B$5+N55,0)</f>
        <v>9663</v>
      </c>
      <c r="R55" s="53">
        <f>IFERROR((VLOOKUP(A55,'DEAnorm D-nett'!$A$4:$H$134,8,FALSE)+O55),0)</f>
        <v>0</v>
      </c>
      <c r="S55" s="26">
        <f>IFERROR((VLOOKUP(A55,'DEAnorm R-nett'!$A$4:$H$86,8,FALSE)+N55+K55),N55+K55)</f>
        <v>13264.622365894054</v>
      </c>
      <c r="T55" s="151">
        <f>IFERROR(VLOOKUP(A55,IRData!$A$3:$AN$146,40,FALSE),0)</f>
        <v>0</v>
      </c>
      <c r="U55" s="54">
        <f>(1-Forutsetninger!$B$3)*Q55+(R55+S55+T55)*Forutsetninger!$B$3</f>
        <v>11823.973419536433</v>
      </c>
      <c r="V55" s="47">
        <f t="shared" si="18"/>
        <v>3498.1472145679109</v>
      </c>
      <c r="W55" s="208">
        <f t="shared" si="19"/>
        <v>0.16536223889384555</v>
      </c>
      <c r="X55" s="47">
        <f>(R55+S55+T55)-G55*($K$159+$K$153)/Forutsetninger!$B$3</f>
        <v>14267.265282380962</v>
      </c>
      <c r="Y55" s="278">
        <f>ROUND((1-Forutsetninger!$B$3)*Q55+Forutsetninger!$B$3*X55,0)</f>
        <v>12426</v>
      </c>
      <c r="Z55" s="47">
        <v>12397</v>
      </c>
      <c r="AA55" s="73">
        <f t="shared" si="5"/>
        <v>29</v>
      </c>
      <c r="AB55" s="269">
        <f t="shared" si="6"/>
        <v>2.3392756312010971E-3</v>
      </c>
      <c r="AC55" s="66">
        <f t="shared" si="7"/>
        <v>29</v>
      </c>
      <c r="AD55" s="256">
        <f>VLOOKUP(A55,IR2016prnettnivå!$B$2:$K$133,8,FALSE)</f>
        <v>0</v>
      </c>
      <c r="AE55" s="256">
        <f>VLOOKUP(A55,IR2016prnettnivå!$B$2:$K$133,9,FALSE)</f>
        <v>1</v>
      </c>
      <c r="AF55" s="256">
        <f>VLOOKUP(A55,IR2016prnettnivå!$B$2:$K$133,10,FALSE)</f>
        <v>0</v>
      </c>
      <c r="AG55" s="277">
        <f t="shared" si="8"/>
        <v>0</v>
      </c>
      <c r="AH55" s="277">
        <f t="shared" si="9"/>
        <v>29</v>
      </c>
      <c r="AI55" s="277">
        <f t="shared" si="10"/>
        <v>0</v>
      </c>
      <c r="AJ55" s="277">
        <f t="shared" si="11"/>
        <v>0</v>
      </c>
      <c r="AK55" s="277">
        <f t="shared" si="12"/>
        <v>0.37120000000000009</v>
      </c>
      <c r="AL55" s="277">
        <f t="shared" si="13"/>
        <v>0</v>
      </c>
    </row>
    <row r="56" spans="1:38" x14ac:dyDescent="0.2">
      <c r="A56">
        <v>932014</v>
      </c>
      <c r="B56" s="1" t="s">
        <v>213</v>
      </c>
      <c r="C56" s="99">
        <f>VLOOKUP(A56,IRData!$A$3:$F$146,6,FALSE)</f>
        <v>28116.676219940186</v>
      </c>
      <c r="D56" s="52">
        <f>C56*Forutsetninger!$C$23</f>
        <v>29579.548634247334</v>
      </c>
      <c r="E56" s="50">
        <f>VLOOKUP($A56,IRData!$A$2:$N$146,7,FALSE)</f>
        <v>9051</v>
      </c>
      <c r="F56" s="50">
        <f>VLOOKUP($A56,IRData!$A$2:$N$146,8,FALSE)</f>
        <v>127215</v>
      </c>
      <c r="G56" s="50">
        <f>VLOOKUP($A56,IRData!$A$2:$N$146,9,FALSE)</f>
        <v>128487.15000000001</v>
      </c>
      <c r="H56" s="50">
        <f>VLOOKUP($A56,IRData!$A$2:$N$146,10,FALSE)</f>
        <v>8677</v>
      </c>
      <c r="I56" s="50">
        <f>VLOOKUP($A56,IRData!$A$2:$N$146,11,FALSE)</f>
        <v>729</v>
      </c>
      <c r="J56" s="52">
        <f>VLOOKUP(A56,IRData!$A$3:$AF$146,32,FALSE)</f>
        <v>2150.5944574475288</v>
      </c>
      <c r="K56" s="52">
        <f>VLOOKUP(A56,IRData!$A$3:$AM$146,37,FALSE)</f>
        <v>180.68265062570572</v>
      </c>
      <c r="L56" s="145">
        <f>VLOOKUP($A56,IRData!$A$2:$N$146,13,FALSE)</f>
        <v>1207</v>
      </c>
      <c r="M56" s="51">
        <f>L56*Forutsetninger!$C$17</f>
        <v>1276.6515704894084</v>
      </c>
      <c r="N56" s="145">
        <f>VLOOKUP(A56,IRData!$A$3:$E$146,5,FALSE)*Forutsetninger!$C$23</f>
        <v>0</v>
      </c>
      <c r="O56" s="145">
        <f>VLOOKUP(A56,IRData!$A$3:$AG$146,19,FALSE)*Forutsetninger!$C$17</f>
        <v>0</v>
      </c>
      <c r="P56" s="52">
        <f t="shared" si="17"/>
        <v>42238.477312809977</v>
      </c>
      <c r="Q56" s="253">
        <f>ROUND(D56+E56+J56+K56+M56+G56*Forutsetninger!$B$5+N56,0)</f>
        <v>50359</v>
      </c>
      <c r="R56" s="53">
        <f>IFERROR((VLOOKUP(A56,'DEAnorm D-nett'!$A$4:$H$134,8,FALSE)+O56),0)</f>
        <v>41127.032346616339</v>
      </c>
      <c r="S56" s="26">
        <f>IFERROR((VLOOKUP(A56,'DEAnorm R-nett'!$A$4:$H$86,8,FALSE)+N56+K56),N56+K56)</f>
        <v>7178.7760689586939</v>
      </c>
      <c r="T56" s="151">
        <f>IFERROR(VLOOKUP(A56,IRData!$A$3:$AN$146,40,FALSE),0)</f>
        <v>0</v>
      </c>
      <c r="U56" s="54">
        <f>(1-Forutsetninger!$B$3)*Q56+(R56+S56+T56)*Forutsetninger!$B$3</f>
        <v>49127.08504934502</v>
      </c>
      <c r="V56" s="47">
        <f t="shared" si="18"/>
        <v>6888.6077365350429</v>
      </c>
      <c r="W56" s="208">
        <f t="shared" si="19"/>
        <v>5.3613203628028502E-2</v>
      </c>
      <c r="X56" s="47">
        <f>(R56+S56+T56)-G56*($K$159+$K$153)/Forutsetninger!$B$3</f>
        <v>54395.625489859209</v>
      </c>
      <c r="Y56" s="278">
        <f>ROUND((1-Forutsetninger!$B$3)*Q56+Forutsetninger!$B$3*X56,0)</f>
        <v>52781</v>
      </c>
      <c r="Z56" s="47">
        <v>52724</v>
      </c>
      <c r="AA56" s="73">
        <f t="shared" si="5"/>
        <v>57</v>
      </c>
      <c r="AB56" s="269">
        <f t="shared" si="6"/>
        <v>1.0811015856156589E-3</v>
      </c>
      <c r="AC56" s="66">
        <f t="shared" si="7"/>
        <v>57</v>
      </c>
      <c r="AD56" s="256">
        <f>VLOOKUP(A56,IR2016prnettnivå!$B$2:$K$133,8,FALSE)</f>
        <v>0.85900159320233671</v>
      </c>
      <c r="AE56" s="256">
        <f>VLOOKUP(A56,IR2016prnettnivå!$B$2:$K$133,9,FALSE)</f>
        <v>0.14099840679766332</v>
      </c>
      <c r="AF56" s="256">
        <f>VLOOKUP(A56,IR2016prnettnivå!$B$2:$K$133,10,FALSE)</f>
        <v>0</v>
      </c>
      <c r="AG56" s="277">
        <f t="shared" si="8"/>
        <v>48.963090812533196</v>
      </c>
      <c r="AH56" s="277">
        <f t="shared" si="9"/>
        <v>8.0369091874668097</v>
      </c>
      <c r="AI56" s="277">
        <f t="shared" si="10"/>
        <v>0</v>
      </c>
      <c r="AJ56" s="277">
        <f t="shared" si="11"/>
        <v>0.62672756240042504</v>
      </c>
      <c r="AK56" s="277">
        <f t="shared" si="12"/>
        <v>0.10287243759957518</v>
      </c>
      <c r="AL56" s="277">
        <f t="shared" si="13"/>
        <v>0</v>
      </c>
    </row>
    <row r="57" spans="1:38" x14ac:dyDescent="0.2">
      <c r="A57">
        <v>952014</v>
      </c>
      <c r="B57" s="1" t="s">
        <v>52</v>
      </c>
      <c r="C57" s="99">
        <f>VLOOKUP(A57,IRData!$A$3:$F$146,6,FALSE)</f>
        <v>6223.5201416015625</v>
      </c>
      <c r="D57" s="52">
        <f>C57*Forutsetninger!$C$23</f>
        <v>6547.3214282051758</v>
      </c>
      <c r="E57" s="50">
        <f>VLOOKUP($A57,IRData!$A$2:$N$146,7,FALSE)</f>
        <v>2023</v>
      </c>
      <c r="F57" s="50">
        <f>VLOOKUP($A57,IRData!$A$2:$N$146,8,FALSE)</f>
        <v>26492</v>
      </c>
      <c r="G57" s="50">
        <f>VLOOKUP($A57,IRData!$A$2:$N$146,9,FALSE)</f>
        <v>26756.920000000002</v>
      </c>
      <c r="H57" s="50">
        <f>VLOOKUP($A57,IRData!$A$2:$N$146,10,FALSE)</f>
        <v>3705</v>
      </c>
      <c r="I57" s="50">
        <f>VLOOKUP($A57,IRData!$A$2:$N$146,11,FALSE)</f>
        <v>0</v>
      </c>
      <c r="J57" s="52">
        <f>VLOOKUP(A57,IRData!$A$3:$AF$146,32,FALSE)</f>
        <v>962.188501060009</v>
      </c>
      <c r="K57" s="52">
        <f>VLOOKUP(A57,IRData!$A$3:$AM$146,37,FALSE)</f>
        <v>0</v>
      </c>
      <c r="L57" s="145">
        <f>VLOOKUP($A57,IRData!$A$2:$N$146,13,FALSE)</f>
        <v>500</v>
      </c>
      <c r="M57" s="51">
        <f>L57*Forutsetninger!$C$17</f>
        <v>528.85317750182617</v>
      </c>
      <c r="N57" s="145">
        <f>VLOOKUP(A57,IRData!$A$3:$E$146,5,FALSE)*Forutsetninger!$C$23</f>
        <v>0</v>
      </c>
      <c r="O57" s="145">
        <f>VLOOKUP(A57,IRData!$A$3:$AG$146,19,FALSE)*Forutsetninger!$C$17</f>
        <v>0</v>
      </c>
      <c r="P57" s="52">
        <f t="shared" si="17"/>
        <v>10061.36310676701</v>
      </c>
      <c r="Q57" s="253">
        <f>ROUND(D57+E57+J57+K57+M57+G57*Forutsetninger!$B$5+N57,0)</f>
        <v>11752</v>
      </c>
      <c r="R57" s="53">
        <f>IFERROR((VLOOKUP(A57,'DEAnorm D-nett'!$A$4:$H$134,8,FALSE)+O57),0)</f>
        <v>13752.2589453528</v>
      </c>
      <c r="S57" s="26">
        <f>IFERROR((VLOOKUP(A57,'DEAnorm R-nett'!$A$4:$H$86,8,FALSE)+N57+K57),N57+K57)</f>
        <v>0</v>
      </c>
      <c r="T57" s="151">
        <f>IFERROR(VLOOKUP(A57,IRData!$A$3:$AN$146,40,FALSE),0)</f>
        <v>0</v>
      </c>
      <c r="U57" s="54">
        <f>(1-Forutsetninger!$B$3)*Q57+(R57+S57+T57)*Forutsetninger!$B$3</f>
        <v>12952.155367211679</v>
      </c>
      <c r="V57" s="47">
        <f t="shared" si="18"/>
        <v>2890.7922604446685</v>
      </c>
      <c r="W57" s="208">
        <f t="shared" si="19"/>
        <v>0.10803905159654655</v>
      </c>
      <c r="X57" s="47">
        <f>(R57+S57+T57)-G57*($K$159+$K$153)/Forutsetninger!$B$3</f>
        <v>15020.438279015783</v>
      </c>
      <c r="Y57" s="278">
        <f>ROUND((1-Forutsetninger!$B$3)*Q57+Forutsetninger!$B$3*X57,0)</f>
        <v>13713</v>
      </c>
      <c r="Z57" s="47">
        <v>13712</v>
      </c>
      <c r="AA57" s="73">
        <f t="shared" si="5"/>
        <v>1</v>
      </c>
      <c r="AB57" s="269">
        <f t="shared" si="6"/>
        <v>7.2928821470245035E-5</v>
      </c>
      <c r="AC57" s="66">
        <f t="shared" si="7"/>
        <v>1</v>
      </c>
      <c r="AD57" s="256">
        <f>VLOOKUP(A57,IR2016prnettnivå!$B$2:$K$133,8,FALSE)</f>
        <v>1</v>
      </c>
      <c r="AE57" s="256">
        <f>VLOOKUP(A57,IR2016prnettnivå!$B$2:$K$133,9,FALSE)</f>
        <v>0</v>
      </c>
      <c r="AF57" s="256">
        <f>VLOOKUP(A57,IR2016prnettnivå!$B$2:$K$133,10,FALSE)</f>
        <v>0</v>
      </c>
      <c r="AG57" s="277">
        <f t="shared" si="8"/>
        <v>1</v>
      </c>
      <c r="AH57" s="277">
        <f t="shared" si="9"/>
        <v>0</v>
      </c>
      <c r="AI57" s="277">
        <f t="shared" si="10"/>
        <v>0</v>
      </c>
      <c r="AJ57" s="277">
        <f t="shared" si="11"/>
        <v>1.2800000000000002E-2</v>
      </c>
      <c r="AK57" s="277">
        <f t="shared" si="12"/>
        <v>0</v>
      </c>
      <c r="AL57" s="277">
        <f t="shared" si="13"/>
        <v>0</v>
      </c>
    </row>
    <row r="58" spans="1:38" x14ac:dyDescent="0.2">
      <c r="A58">
        <v>962014</v>
      </c>
      <c r="B58" s="1" t="s">
        <v>214</v>
      </c>
      <c r="C58" s="99">
        <f>VLOOKUP(A58,IRData!$A$3:$F$146,6,FALSE)</f>
        <v>22811</v>
      </c>
      <c r="D58" s="52">
        <f>C58*Forutsetninger!$C$23</f>
        <v>23997.825298329357</v>
      </c>
      <c r="E58" s="50">
        <f>VLOOKUP($A58,IRData!$A$2:$N$146,7,FALSE)</f>
        <v>7162</v>
      </c>
      <c r="F58" s="50">
        <f>VLOOKUP($A58,IRData!$A$2:$N$146,8,FALSE)</f>
        <v>113967</v>
      </c>
      <c r="G58" s="50">
        <f>VLOOKUP($A58,IRData!$A$2:$N$146,9,FALSE)</f>
        <v>115106.67</v>
      </c>
      <c r="H58" s="50">
        <f>VLOOKUP($A58,IRData!$A$2:$N$146,10,FALSE)</f>
        <v>7614</v>
      </c>
      <c r="I58" s="50">
        <f>VLOOKUP($A58,IRData!$A$2:$N$146,11,FALSE)</f>
        <v>0</v>
      </c>
      <c r="J58" s="52">
        <f>VLOOKUP(A58,IRData!$A$3:$AF$146,32,FALSE)</f>
        <v>1878.2976985573769</v>
      </c>
      <c r="K58" s="52">
        <f>VLOOKUP(A58,IRData!$A$3:$AM$146,37,FALSE)</f>
        <v>0</v>
      </c>
      <c r="L58" s="145">
        <f>VLOOKUP($A58,IRData!$A$2:$N$146,13,FALSE)</f>
        <v>1468</v>
      </c>
      <c r="M58" s="51">
        <f>L58*Forutsetninger!$C$17</f>
        <v>1552.7129291453616</v>
      </c>
      <c r="N58" s="145">
        <f>VLOOKUP(A58,IRData!$A$3:$E$146,5,FALSE)*Forutsetninger!$C$23</f>
        <v>0</v>
      </c>
      <c r="O58" s="145">
        <f>VLOOKUP(A58,IRData!$A$3:$AG$146,19,FALSE)*Forutsetninger!$C$17</f>
        <v>139.20473402760339</v>
      </c>
      <c r="P58" s="52">
        <f t="shared" si="17"/>
        <v>34590.835926032094</v>
      </c>
      <c r="Q58" s="253">
        <f>ROUND(D58+E58+J58+K58+M58+G58*Forutsetninger!$B$5+N58,0)</f>
        <v>41866</v>
      </c>
      <c r="R58" s="53">
        <f>IFERROR((VLOOKUP(A58,'DEAnorm D-nett'!$A$4:$H$134,8,FALSE)+O58),0)</f>
        <v>37436.903038318793</v>
      </c>
      <c r="S58" s="26">
        <f>IFERROR((VLOOKUP(A58,'DEAnorm R-nett'!$A$4:$H$86,8,FALSE)+N58+K58),N58+K58)</f>
        <v>0</v>
      </c>
      <c r="T58" s="151">
        <f>IFERROR(VLOOKUP(A58,IRData!$A$3:$AN$146,40,FALSE),0)</f>
        <v>0</v>
      </c>
      <c r="U58" s="54">
        <f>(1-Forutsetninger!$B$3)*Q58+(R58+S58+T58)*Forutsetninger!$B$3</f>
        <v>39208.541822991276</v>
      </c>
      <c r="V58" s="47">
        <f t="shared" si="18"/>
        <v>4617.7058969591817</v>
      </c>
      <c r="W58" s="208">
        <f t="shared" si="19"/>
        <v>4.0116753416280584E-2</v>
      </c>
      <c r="X58" s="47">
        <f>(R58+S58+T58)-G58*($K$159+$K$153)/Forutsetninger!$B$3</f>
        <v>42892.534705220845</v>
      </c>
      <c r="Y58" s="278">
        <f>ROUND((1-Forutsetninger!$B$3)*Q58+Forutsetninger!$B$3*X58,0)</f>
        <v>42482</v>
      </c>
      <c r="Z58" s="47">
        <v>42498</v>
      </c>
      <c r="AA58" s="73">
        <f t="shared" si="5"/>
        <v>-16</v>
      </c>
      <c r="AB58" s="269">
        <f t="shared" si="6"/>
        <v>-3.764883053320156E-4</v>
      </c>
      <c r="AC58" s="66">
        <f t="shared" si="7"/>
        <v>0</v>
      </c>
      <c r="AD58" s="256">
        <f>VLOOKUP(A58,IR2016prnettnivå!$B$2:$K$133,8,FALSE)</f>
        <v>1</v>
      </c>
      <c r="AE58" s="256">
        <f>VLOOKUP(A58,IR2016prnettnivå!$B$2:$K$133,9,FALSE)</f>
        <v>0</v>
      </c>
      <c r="AF58" s="256">
        <f>VLOOKUP(A58,IR2016prnettnivå!$B$2:$K$133,10,FALSE)</f>
        <v>0</v>
      </c>
      <c r="AG58" s="277">
        <f t="shared" si="8"/>
        <v>0</v>
      </c>
      <c r="AH58" s="277">
        <f t="shared" si="9"/>
        <v>0</v>
      </c>
      <c r="AI58" s="277">
        <f t="shared" si="10"/>
        <v>0</v>
      </c>
      <c r="AJ58" s="277">
        <f t="shared" si="11"/>
        <v>0</v>
      </c>
      <c r="AK58" s="277">
        <f t="shared" si="12"/>
        <v>0</v>
      </c>
      <c r="AL58" s="277">
        <f t="shared" si="13"/>
        <v>0</v>
      </c>
    </row>
    <row r="59" spans="1:38" x14ac:dyDescent="0.2">
      <c r="A59">
        <v>1632014</v>
      </c>
      <c r="B59" s="1" t="s">
        <v>271</v>
      </c>
      <c r="C59" s="99">
        <f>VLOOKUP(A59,IRData!$A$3:$F$146,6,FALSE)</f>
        <v>16896.750732421875</v>
      </c>
      <c r="D59" s="52">
        <f>C59*Forutsetninger!$C$23</f>
        <v>17775.865686996571</v>
      </c>
      <c r="E59" s="50">
        <f>VLOOKUP($A59,IRData!$A$2:$N$146,7,FALSE)</f>
        <v>4591</v>
      </c>
      <c r="F59" s="50">
        <f>VLOOKUP($A59,IRData!$A$2:$N$146,8,FALSE)</f>
        <v>75659</v>
      </c>
      <c r="G59" s="50">
        <f>VLOOKUP($A59,IRData!$A$2:$N$146,9,FALSE)</f>
        <v>76415.59</v>
      </c>
      <c r="H59" s="50">
        <f>VLOOKUP($A59,IRData!$A$2:$N$146,10,FALSE)</f>
        <v>5367</v>
      </c>
      <c r="I59" s="50">
        <f>VLOOKUP($A59,IRData!$A$2:$N$146,11,FALSE)</f>
        <v>0</v>
      </c>
      <c r="J59" s="52">
        <f>VLOOKUP(A59,IRData!$A$3:$AF$146,32,FALSE)</f>
        <v>1484.5122174024582</v>
      </c>
      <c r="K59" s="52">
        <f>VLOOKUP(A59,IRData!$A$3:$AM$146,37,FALSE)</f>
        <v>0</v>
      </c>
      <c r="L59" s="145">
        <f>VLOOKUP($A59,IRData!$A$2:$N$146,13,FALSE)</f>
        <v>145</v>
      </c>
      <c r="M59" s="51">
        <f>L59*Forutsetninger!$C$17</f>
        <v>153.36742147552957</v>
      </c>
      <c r="N59" s="145">
        <f>VLOOKUP(A59,IRData!$A$3:$E$146,5,FALSE)*Forutsetninger!$C$23</f>
        <v>0</v>
      </c>
      <c r="O59" s="145">
        <f>VLOOKUP(A59,IRData!$A$3:$AG$146,19,FALSE)*Forutsetninger!$C$17</f>
        <v>19.990649706086074</v>
      </c>
      <c r="P59" s="52">
        <f t="shared" si="17"/>
        <v>24004.745325874559</v>
      </c>
      <c r="Q59" s="253">
        <f>ROUND(D59+E59+J59+K59+M59+G59*Forutsetninger!$B$5+N59,0)</f>
        <v>28834</v>
      </c>
      <c r="R59" s="53">
        <f>IFERROR((VLOOKUP(A59,'DEAnorm D-nett'!$A$4:$H$134,8,FALSE)+O59),0)</f>
        <v>26188.47243134764</v>
      </c>
      <c r="S59" s="26">
        <f>IFERROR((VLOOKUP(A59,'DEAnorm R-nett'!$A$4:$H$86,8,FALSE)+N59+K59),N59+K59)</f>
        <v>0</v>
      </c>
      <c r="T59" s="151">
        <f>IFERROR(VLOOKUP(A59,IRData!$A$3:$AN$146,40,FALSE),0)</f>
        <v>0</v>
      </c>
      <c r="U59" s="54">
        <f>(1-Forutsetninger!$B$3)*Q59+(R59+S59+T59)*Forutsetninger!$B$3</f>
        <v>27246.683458808584</v>
      </c>
      <c r="V59" s="47">
        <f t="shared" si="18"/>
        <v>3241.9381329340249</v>
      </c>
      <c r="W59" s="208">
        <f t="shared" si="19"/>
        <v>4.2425088034182878E-2</v>
      </c>
      <c r="X59" s="47">
        <f>(R59+S59+T59)-G59*($K$159+$K$153)/Forutsetninger!$B$3</f>
        <v>29810.28959145664</v>
      </c>
      <c r="Y59" s="278">
        <f>ROUND((1-Forutsetninger!$B$3)*Q59+Forutsetninger!$B$3*X59,0)</f>
        <v>29420</v>
      </c>
      <c r="Z59" s="47">
        <v>29835</v>
      </c>
      <c r="AA59" s="73">
        <f t="shared" si="5"/>
        <v>-415</v>
      </c>
      <c r="AB59" s="269">
        <f t="shared" si="6"/>
        <v>-1.3909837439249204E-2</v>
      </c>
      <c r="AC59" s="66">
        <f t="shared" si="7"/>
        <v>0</v>
      </c>
      <c r="AD59" s="256">
        <f>VLOOKUP(A59,IR2016prnettnivå!$B$2:$K$133,8,FALSE)</f>
        <v>1</v>
      </c>
      <c r="AE59" s="256">
        <f>VLOOKUP(A59,IR2016prnettnivå!$B$2:$K$133,9,FALSE)</f>
        <v>0</v>
      </c>
      <c r="AF59" s="256">
        <f>VLOOKUP(A59,IR2016prnettnivå!$B$2:$K$133,10,FALSE)</f>
        <v>0</v>
      </c>
      <c r="AG59" s="277">
        <f t="shared" si="8"/>
        <v>0</v>
      </c>
      <c r="AH59" s="277">
        <f t="shared" si="9"/>
        <v>0</v>
      </c>
      <c r="AI59" s="277">
        <f t="shared" si="10"/>
        <v>0</v>
      </c>
      <c r="AJ59" s="277">
        <f t="shared" si="11"/>
        <v>0</v>
      </c>
      <c r="AK59" s="277">
        <f t="shared" si="12"/>
        <v>0</v>
      </c>
      <c r="AL59" s="277">
        <f t="shared" si="13"/>
        <v>0</v>
      </c>
    </row>
    <row r="60" spans="1:38" x14ac:dyDescent="0.2">
      <c r="A60">
        <v>972014</v>
      </c>
      <c r="B60" s="1" t="s">
        <v>215</v>
      </c>
      <c r="C60" s="99">
        <f>VLOOKUP(A60,IRData!$A$3:$F$146,6,FALSE)</f>
        <v>30445.1923828125</v>
      </c>
      <c r="D60" s="52">
        <f>C60*Forutsetninger!$C$23</f>
        <v>32029.214325402743</v>
      </c>
      <c r="E60" s="50">
        <f>VLOOKUP($A60,IRData!$A$2:$N$146,7,FALSE)</f>
        <v>8709</v>
      </c>
      <c r="F60" s="50">
        <f>VLOOKUP($A60,IRData!$A$2:$N$146,8,FALSE)</f>
        <v>122134</v>
      </c>
      <c r="G60" s="50">
        <f>VLOOKUP($A60,IRData!$A$2:$N$146,9,FALSE)</f>
        <v>123355.34</v>
      </c>
      <c r="H60" s="50">
        <f>VLOOKUP($A60,IRData!$A$2:$N$146,10,FALSE)</f>
        <v>5814</v>
      </c>
      <c r="I60" s="50">
        <f>VLOOKUP($A60,IRData!$A$2:$N$146,11,FALSE)</f>
        <v>0</v>
      </c>
      <c r="J60" s="52">
        <f>VLOOKUP(A60,IRData!$A$3:$AF$146,32,FALSE)</f>
        <v>1434.2556894421577</v>
      </c>
      <c r="K60" s="52">
        <f>VLOOKUP(A60,IRData!$A$3:$AM$146,37,FALSE)</f>
        <v>0</v>
      </c>
      <c r="L60" s="145">
        <f>VLOOKUP($A60,IRData!$A$2:$N$146,13,FALSE)</f>
        <v>1014</v>
      </c>
      <c r="M60" s="51">
        <f>L60*Forutsetninger!$C$17</f>
        <v>1072.5142439737035</v>
      </c>
      <c r="N60" s="145">
        <f>VLOOKUP(A60,IRData!$A$3:$E$146,5,FALSE)*Forutsetninger!$C$23</f>
        <v>0</v>
      </c>
      <c r="O60" s="145">
        <f>VLOOKUP(A60,IRData!$A$3:$AG$146,19,FALSE)*Forutsetninger!$C$17</f>
        <v>939.67687444359478</v>
      </c>
      <c r="P60" s="52">
        <f t="shared" si="17"/>
        <v>43244.984258818607</v>
      </c>
      <c r="Q60" s="253">
        <f>ROUND(D60+E60+J60+K60+M60+G60*Forutsetninger!$B$5+N60,0)</f>
        <v>51041</v>
      </c>
      <c r="R60" s="53">
        <f>IFERROR((VLOOKUP(A60,'DEAnorm D-nett'!$A$4:$H$134,8,FALSE)+O60),0)</f>
        <v>42107.904086772396</v>
      </c>
      <c r="S60" s="26">
        <f>IFERROR((VLOOKUP(A60,'DEAnorm R-nett'!$A$4:$H$86,8,FALSE)+N60+K60),N60+K60)</f>
        <v>0</v>
      </c>
      <c r="T60" s="151">
        <f>IFERROR(VLOOKUP(A60,IRData!$A$3:$AN$146,40,FALSE),0)</f>
        <v>0</v>
      </c>
      <c r="U60" s="54">
        <f>(1-Forutsetninger!$B$3)*Q60+(R60+S60+T60)*Forutsetninger!$B$3</f>
        <v>45681.142452063439</v>
      </c>
      <c r="V60" s="47">
        <f t="shared" si="18"/>
        <v>2436.1581932448316</v>
      </c>
      <c r="W60" s="208">
        <f t="shared" si="19"/>
        <v>1.9749110117525774E-2</v>
      </c>
      <c r="X60" s="47">
        <f>(R60+S60+T60)-G60*($K$159+$K$153)/Forutsetninger!$B$3</f>
        <v>47954.492292177601</v>
      </c>
      <c r="Y60" s="278">
        <f>ROUND((1-Forutsetninger!$B$3)*Q60+Forutsetninger!$B$3*X60,0)</f>
        <v>49189</v>
      </c>
      <c r="Z60" s="47">
        <v>49233</v>
      </c>
      <c r="AA60" s="73">
        <f t="shared" si="5"/>
        <v>-44</v>
      </c>
      <c r="AB60" s="269">
        <f t="shared" si="6"/>
        <v>-8.9370950378810955E-4</v>
      </c>
      <c r="AC60" s="66">
        <f t="shared" si="7"/>
        <v>0</v>
      </c>
      <c r="AD60" s="256">
        <f>VLOOKUP(A60,IR2016prnettnivå!$B$2:$K$133,8,FALSE)</f>
        <v>1</v>
      </c>
      <c r="AE60" s="256">
        <f>VLOOKUP(A60,IR2016prnettnivå!$B$2:$K$133,9,FALSE)</f>
        <v>0</v>
      </c>
      <c r="AF60" s="256">
        <f>VLOOKUP(A60,IR2016prnettnivå!$B$2:$K$133,10,FALSE)</f>
        <v>0</v>
      </c>
      <c r="AG60" s="277">
        <f t="shared" si="8"/>
        <v>0</v>
      </c>
      <c r="AH60" s="277">
        <f t="shared" si="9"/>
        <v>0</v>
      </c>
      <c r="AI60" s="277">
        <f t="shared" si="10"/>
        <v>0</v>
      </c>
      <c r="AJ60" s="277">
        <f t="shared" si="11"/>
        <v>0</v>
      </c>
      <c r="AK60" s="277">
        <f t="shared" si="12"/>
        <v>0</v>
      </c>
      <c r="AL60" s="277">
        <f t="shared" si="13"/>
        <v>0</v>
      </c>
    </row>
    <row r="61" spans="1:38" x14ac:dyDescent="0.2">
      <c r="A61">
        <v>982014</v>
      </c>
      <c r="B61" s="1" t="s">
        <v>216</v>
      </c>
      <c r="C61" s="99">
        <f>VLOOKUP(A61,IRData!$A$3:$F$146,6,FALSE)</f>
        <v>871.46250605583191</v>
      </c>
      <c r="D61" s="52">
        <f>C61*Forutsetninger!$C$23</f>
        <v>916.80351472413054</v>
      </c>
      <c r="E61" s="50">
        <f>VLOOKUP($A61,IRData!$A$2:$N$146,7,FALSE)</f>
        <v>1039</v>
      </c>
      <c r="F61" s="50">
        <f>VLOOKUP($A61,IRData!$A$2:$N$146,8,FALSE)</f>
        <v>16832</v>
      </c>
      <c r="G61" s="50">
        <f>VLOOKUP($A61,IRData!$A$2:$N$146,9,FALSE)</f>
        <v>17000.32</v>
      </c>
      <c r="H61" s="50">
        <f>VLOOKUP($A61,IRData!$A$2:$N$146,10,FALSE)</f>
        <v>0</v>
      </c>
      <c r="I61" s="50">
        <f>VLOOKUP($A61,IRData!$A$2:$N$146,11,FALSE)</f>
        <v>0</v>
      </c>
      <c r="J61" s="52">
        <f>VLOOKUP(A61,IRData!$A$3:$AF$146,32,FALSE)</f>
        <v>0</v>
      </c>
      <c r="K61" s="52">
        <f>VLOOKUP(A61,IRData!$A$3:$AM$146,37,FALSE)</f>
        <v>0</v>
      </c>
      <c r="L61" s="145">
        <f>VLOOKUP($A61,IRData!$A$2:$N$146,13,FALSE)</f>
        <v>0</v>
      </c>
      <c r="M61" s="51">
        <f>L61*Forutsetninger!$C$17</f>
        <v>0</v>
      </c>
      <c r="N61" s="145">
        <f>VLOOKUP(A61,IRData!$A$3:$E$146,5,FALSE)*Forutsetninger!$C$23</f>
        <v>0</v>
      </c>
      <c r="O61" s="145">
        <f>VLOOKUP(A61,IRData!$A$3:$AG$146,19,FALSE)*Forutsetninger!$C$17</f>
        <v>0</v>
      </c>
      <c r="P61" s="52">
        <f t="shared" si="17"/>
        <v>1955.8035147241305</v>
      </c>
      <c r="Q61" s="253">
        <f>ROUND(D61+E61+J61+K61+M61+G61*Forutsetninger!$B$5+N61,0)</f>
        <v>3030</v>
      </c>
      <c r="R61" s="53">
        <f>IFERROR((VLOOKUP(A61,'DEAnorm D-nett'!$A$4:$H$134,8,FALSE)+O61),0)</f>
        <v>0</v>
      </c>
      <c r="S61" s="26">
        <f>IFERROR((VLOOKUP(A61,'DEAnorm R-nett'!$A$4:$H$86,8,FALSE)+N61+K61),N61+K61)</f>
        <v>1729.7037481975831</v>
      </c>
      <c r="T61" s="151">
        <f>IFERROR(VLOOKUP(A61,IRData!$A$3:$AN$146,40,FALSE),0)</f>
        <v>1411.3637236978489</v>
      </c>
      <c r="U61" s="54">
        <f>(1-Forutsetninger!$B$3)*Q61+(R61+S61+T61)*Forutsetninger!$B$3</f>
        <v>3096.6404831372593</v>
      </c>
      <c r="V61" s="47">
        <f t="shared" si="18"/>
        <v>1140.8369684131287</v>
      </c>
      <c r="W61" s="208">
        <f t="shared" si="19"/>
        <v>6.7106793778771739E-2</v>
      </c>
      <c r="X61" s="47">
        <f>(R61+S61+T61)-G61*($K$159+$K$153)/Forutsetninger!$B$3</f>
        <v>3946.8199460089504</v>
      </c>
      <c r="Y61" s="278">
        <f>ROUND((1-Forutsetninger!$B$3)*Q61+Forutsetninger!$B$3*X61,0)</f>
        <v>3580</v>
      </c>
      <c r="Z61" s="47">
        <v>3582</v>
      </c>
      <c r="AA61" s="73">
        <f t="shared" si="5"/>
        <v>-2</v>
      </c>
      <c r="AB61" s="269">
        <f t="shared" si="6"/>
        <v>-5.5834729201563373E-4</v>
      </c>
      <c r="AC61" s="66">
        <f t="shared" si="7"/>
        <v>0</v>
      </c>
      <c r="AD61" s="256">
        <f>VLOOKUP(A61,IR2016prnettnivå!$B$2:$K$133,8,FALSE)</f>
        <v>0</v>
      </c>
      <c r="AE61" s="256">
        <f>VLOOKUP(A61,IR2016prnettnivå!$B$2:$K$133,9,FALSE)</f>
        <v>0.53433835845896149</v>
      </c>
      <c r="AF61" s="256">
        <f>VLOOKUP(A61,IR2016prnettnivå!$B$2:$K$133,10,FALSE)</f>
        <v>0.46566164154103851</v>
      </c>
      <c r="AG61" s="277">
        <f t="shared" si="8"/>
        <v>0</v>
      </c>
      <c r="AH61" s="277">
        <f t="shared" si="9"/>
        <v>0</v>
      </c>
      <c r="AI61" s="277">
        <f t="shared" si="10"/>
        <v>0</v>
      </c>
      <c r="AJ61" s="277">
        <f t="shared" si="11"/>
        <v>0</v>
      </c>
      <c r="AK61" s="277">
        <f t="shared" si="12"/>
        <v>0</v>
      </c>
      <c r="AL61" s="277">
        <f t="shared" si="13"/>
        <v>0</v>
      </c>
    </row>
    <row r="62" spans="1:38" x14ac:dyDescent="0.2">
      <c r="A62">
        <v>1022014</v>
      </c>
      <c r="B62" s="1" t="s">
        <v>53</v>
      </c>
      <c r="C62" s="99">
        <f>VLOOKUP(A62,IRData!$A$3:$F$146,6,FALSE)</f>
        <v>20987.5341796875</v>
      </c>
      <c r="D62" s="52">
        <f>C62*Forutsetninger!$C$23</f>
        <v>22079.487031995825</v>
      </c>
      <c r="E62" s="50">
        <f>VLOOKUP($A62,IRData!$A$2:$N$146,7,FALSE)</f>
        <v>9897</v>
      </c>
      <c r="F62" s="50">
        <f>VLOOKUP($A62,IRData!$A$2:$N$146,8,FALSE)</f>
        <v>97833</v>
      </c>
      <c r="G62" s="50">
        <f>VLOOKUP($A62,IRData!$A$2:$N$146,9,FALSE)</f>
        <v>98811.33</v>
      </c>
      <c r="H62" s="50">
        <f>VLOOKUP($A62,IRData!$A$2:$N$146,10,FALSE)</f>
        <v>26894</v>
      </c>
      <c r="I62" s="50">
        <f>VLOOKUP($A62,IRData!$A$2:$N$146,11,FALSE)</f>
        <v>0</v>
      </c>
      <c r="J62" s="52">
        <f>VLOOKUP(A62,IRData!$A$3:$AF$146,32,FALSE)</f>
        <v>6984.3718076944351</v>
      </c>
      <c r="K62" s="52">
        <f>VLOOKUP(A62,IRData!$A$3:$AM$146,37,FALSE)</f>
        <v>0</v>
      </c>
      <c r="L62" s="145">
        <f>VLOOKUP($A62,IRData!$A$2:$N$146,13,FALSE)</f>
        <v>2694</v>
      </c>
      <c r="M62" s="51">
        <f>L62*Forutsetninger!$C$17</f>
        <v>2849.4609203798391</v>
      </c>
      <c r="N62" s="145">
        <f>VLOOKUP(A62,IRData!$A$3:$E$146,5,FALSE)*Forutsetninger!$C$23</f>
        <v>0</v>
      </c>
      <c r="O62" s="145">
        <f>VLOOKUP(A62,IRData!$A$3:$AG$146,19,FALSE)*Forutsetninger!$C$17</f>
        <v>0</v>
      </c>
      <c r="P62" s="52">
        <f t="shared" si="17"/>
        <v>41810.319760070102</v>
      </c>
      <c r="Q62" s="253">
        <f>ROUND(D62+E62+J62+K62+M62+G62*Forutsetninger!$B$5+N62,0)</f>
        <v>48055</v>
      </c>
      <c r="R62" s="53">
        <f>IFERROR((VLOOKUP(A62,'DEAnorm D-nett'!$A$4:$H$134,8,FALSE)+O62),0)</f>
        <v>49466.204428580968</v>
      </c>
      <c r="S62" s="26">
        <f>IFERROR((VLOOKUP(A62,'DEAnorm R-nett'!$A$4:$H$86,8,FALSE)+N62+K62),N62+K62)</f>
        <v>0</v>
      </c>
      <c r="T62" s="151">
        <f>IFERROR(VLOOKUP(A62,IRData!$A$3:$AN$146,40,FALSE),0)</f>
        <v>0</v>
      </c>
      <c r="U62" s="54">
        <f>(1-Forutsetninger!$B$3)*Q62+(R62+S62+T62)*Forutsetninger!$B$3</f>
        <v>48901.722657148581</v>
      </c>
      <c r="V62" s="47">
        <f t="shared" si="18"/>
        <v>7091.4028970784784</v>
      </c>
      <c r="W62" s="208">
        <f t="shared" si="19"/>
        <v>7.1767102993942886E-2</v>
      </c>
      <c r="X62" s="47">
        <f>(R62+S62+T62)-G62*($K$159+$K$153)/Forutsetninger!$B$3</f>
        <v>54149.497073539846</v>
      </c>
      <c r="Y62" s="278">
        <f>ROUND((1-Forutsetninger!$B$3)*Q62+Forutsetninger!$B$3*X62,0)</f>
        <v>51712</v>
      </c>
      <c r="Z62" s="47">
        <v>51690</v>
      </c>
      <c r="AA62" s="73">
        <f t="shared" si="5"/>
        <v>22</v>
      </c>
      <c r="AB62" s="269">
        <f t="shared" si="6"/>
        <v>4.2561423873089572E-4</v>
      </c>
      <c r="AC62" s="66">
        <f t="shared" si="7"/>
        <v>22</v>
      </c>
      <c r="AD62" s="268">
        <f>AD18</f>
        <v>0.63665658700087435</v>
      </c>
      <c r="AE62" s="268">
        <f t="shared" ref="AE62:AF62" si="21">AE18</f>
        <v>0.36334341299912559</v>
      </c>
      <c r="AF62" s="268">
        <f t="shared" si="21"/>
        <v>0</v>
      </c>
      <c r="AG62" s="277">
        <f t="shared" si="8"/>
        <v>14.006444914019236</v>
      </c>
      <c r="AH62" s="277">
        <f t="shared" si="9"/>
        <v>7.9935550859807627</v>
      </c>
      <c r="AI62" s="277">
        <f t="shared" si="10"/>
        <v>0</v>
      </c>
      <c r="AJ62" s="277">
        <f t="shared" si="11"/>
        <v>0.17928249489944625</v>
      </c>
      <c r="AK62" s="277">
        <f t="shared" si="12"/>
        <v>0.10231750510055378</v>
      </c>
      <c r="AL62" s="277">
        <f t="shared" si="13"/>
        <v>0</v>
      </c>
    </row>
    <row r="63" spans="1:38" x14ac:dyDescent="0.2">
      <c r="A63">
        <v>3542014</v>
      </c>
      <c r="B63" s="1" t="s">
        <v>116</v>
      </c>
      <c r="C63" s="99">
        <f>VLOOKUP(A63,IRData!$A$3:$F$146,6,FALSE)</f>
        <v>83562.291564941406</v>
      </c>
      <c r="D63" s="52">
        <f>C63*Forutsetninger!$C$23</f>
        <v>87909.923918439556</v>
      </c>
      <c r="E63" s="50">
        <f>VLOOKUP($A63,IRData!$A$2:$N$146,7,FALSE)</f>
        <v>39876</v>
      </c>
      <c r="F63" s="50">
        <f>VLOOKUP($A63,IRData!$A$2:$N$146,8,FALSE)</f>
        <v>875254</v>
      </c>
      <c r="G63" s="50">
        <f>VLOOKUP($A63,IRData!$A$2:$N$146,9,FALSE)</f>
        <v>884006.54</v>
      </c>
      <c r="H63" s="50">
        <f>VLOOKUP($A63,IRData!$A$2:$N$146,10,FALSE)</f>
        <v>33725</v>
      </c>
      <c r="I63" s="50">
        <f>VLOOKUP($A63,IRData!$A$2:$N$146,11,FALSE)</f>
        <v>14000</v>
      </c>
      <c r="J63" s="52">
        <f>VLOOKUP(A63,IRData!$A$3:$AF$146,32,FALSE)</f>
        <v>8244.0763480961323</v>
      </c>
      <c r="K63" s="52">
        <f>VLOOKUP(A63,IRData!$A$3:$AM$146,37,FALSE)</f>
        <v>3422.3000407218933</v>
      </c>
      <c r="L63" s="145">
        <f>VLOOKUP($A63,IRData!$A$2:$N$146,13,FALSE)</f>
        <v>10821</v>
      </c>
      <c r="M63" s="51">
        <f>L63*Forutsetninger!$C$17</f>
        <v>11445.440467494522</v>
      </c>
      <c r="N63" s="145">
        <f>VLOOKUP(A63,IRData!$A$3:$E$146,5,FALSE)*Forutsetninger!$C$23</f>
        <v>0</v>
      </c>
      <c r="O63" s="145">
        <f>VLOOKUP(A63,IRData!$A$3:$AG$146,19,FALSE)*Forutsetninger!$C$17</f>
        <v>0</v>
      </c>
      <c r="P63" s="52">
        <f t="shared" si="17"/>
        <v>150897.74077475208</v>
      </c>
      <c r="Q63" s="253">
        <f>ROUND(D63+E63+J63+K63+M63+G63*Forutsetninger!$B$5+N63,0)</f>
        <v>206767</v>
      </c>
      <c r="R63" s="53">
        <f>IFERROR((VLOOKUP(A63,'DEAnorm D-nett'!$A$4:$H$134,8,FALSE)+O63),0)</f>
        <v>131205.37324232361</v>
      </c>
      <c r="S63" s="26">
        <f>IFERROR((VLOOKUP(A63,'DEAnorm R-nett'!$A$4:$H$86,8,FALSE)+N63+K63),N63+K63)</f>
        <v>49296.387530669686</v>
      </c>
      <c r="T63" s="151">
        <f>IFERROR(VLOOKUP(A63,IRData!$A$3:$AN$146,40,FALSE),0)</f>
        <v>0</v>
      </c>
      <c r="U63" s="54">
        <f>(1-Forutsetninger!$B$3)*Q63+(R63+S63+T63)*Forutsetninger!$B$3</f>
        <v>191007.85646379599</v>
      </c>
      <c r="V63" s="47">
        <f t="shared" si="18"/>
        <v>40110.115689043916</v>
      </c>
      <c r="W63" s="208">
        <f t="shared" si="19"/>
        <v>4.5373098358575392E-2</v>
      </c>
      <c r="X63" s="47">
        <f>(R63+S63+T63)-G63*($K$159+$K$153)/Forutsetninger!$B$3</f>
        <v>222400.41072414309</v>
      </c>
      <c r="Y63" s="278">
        <f>ROUND((1-Forutsetninger!$B$3)*Q63+Forutsetninger!$B$3*X63,0)</f>
        <v>216147</v>
      </c>
      <c r="Z63" s="47">
        <v>215199</v>
      </c>
      <c r="AA63" s="73">
        <f t="shared" si="5"/>
        <v>948</v>
      </c>
      <c r="AB63" s="269">
        <f t="shared" si="6"/>
        <v>4.4052249313426177E-3</v>
      </c>
      <c r="AC63" s="66">
        <f t="shared" si="7"/>
        <v>948</v>
      </c>
      <c r="AD63" s="256">
        <f>VLOOKUP(A63,IR2016prnettnivå!$B$2:$K$133,8,FALSE)</f>
        <v>0.71560741453259546</v>
      </c>
      <c r="AE63" s="256">
        <f>VLOOKUP(A63,IR2016prnettnivå!$B$2:$K$133,9,FALSE)</f>
        <v>0.28439258546740459</v>
      </c>
      <c r="AF63" s="256">
        <f>VLOOKUP(A63,IR2016prnettnivå!$B$2:$K$133,10,FALSE)</f>
        <v>0</v>
      </c>
      <c r="AG63" s="277">
        <f t="shared" si="8"/>
        <v>678.39582897690048</v>
      </c>
      <c r="AH63" s="277">
        <f t="shared" si="9"/>
        <v>269.60417102309952</v>
      </c>
      <c r="AI63" s="277">
        <f t="shared" si="10"/>
        <v>0</v>
      </c>
      <c r="AJ63" s="277">
        <f t="shared" si="11"/>
        <v>8.6834666109043273</v>
      </c>
      <c r="AK63" s="277">
        <f t="shared" si="12"/>
        <v>3.4509333890956744</v>
      </c>
      <c r="AL63" s="277">
        <f t="shared" si="13"/>
        <v>0</v>
      </c>
    </row>
    <row r="64" spans="1:38" x14ac:dyDescent="0.2">
      <c r="A64">
        <v>1032014</v>
      </c>
      <c r="B64" s="1" t="s">
        <v>375</v>
      </c>
      <c r="C64" s="99">
        <f>VLOOKUP(A64,IRData!$A$3:$F$146,6,FALSE)</f>
        <v>26351.641701698303</v>
      </c>
      <c r="D64" s="52">
        <f>C64*Forutsetninger!$C$23</f>
        <v>27722.681771142274</v>
      </c>
      <c r="E64" s="50">
        <f>VLOOKUP($A64,IRData!$A$2:$N$146,7,FALSE)</f>
        <v>5583</v>
      </c>
      <c r="F64" s="50">
        <f>VLOOKUP($A64,IRData!$A$2:$N$146,8,FALSE)</f>
        <v>132630</v>
      </c>
      <c r="G64" s="50">
        <f>VLOOKUP($A64,IRData!$A$2:$N$146,9,FALSE)</f>
        <v>133956.29999999999</v>
      </c>
      <c r="H64" s="50">
        <f>VLOOKUP($A64,IRData!$A$2:$N$146,10,FALSE)</f>
        <v>6839</v>
      </c>
      <c r="I64" s="50">
        <f>VLOOKUP($A64,IRData!$A$2:$N$146,11,FALSE)</f>
        <v>1228</v>
      </c>
      <c r="J64" s="52">
        <f>VLOOKUP(A64,IRData!$A$3:$AF$146,32,FALSE)</f>
        <v>1671.7935698926449</v>
      </c>
      <c r="K64" s="52">
        <f>VLOOKUP(A64,IRData!$A$3:$AM$146,37,FALSE)</f>
        <v>300.18460357189178</v>
      </c>
      <c r="L64" s="145">
        <f>VLOOKUP($A64,IRData!$A$2:$N$146,13,FALSE)</f>
        <v>3187</v>
      </c>
      <c r="M64" s="51">
        <f>L64*Forutsetninger!$C$17</f>
        <v>3370.91015339664</v>
      </c>
      <c r="N64" s="145">
        <f>VLOOKUP(A64,IRData!$A$3:$E$146,5,FALSE)*Forutsetninger!$C$23</f>
        <v>0</v>
      </c>
      <c r="O64" s="145">
        <f>VLOOKUP(A64,IRData!$A$3:$AG$146,19,FALSE)*Forutsetninger!$C$17</f>
        <v>0</v>
      </c>
      <c r="P64" s="52">
        <f t="shared" si="17"/>
        <v>38648.570098003453</v>
      </c>
      <c r="Q64" s="253">
        <f>ROUND(D64+E64+J64+K64+M64+G64*Forutsetninger!$B$5+N64,0)</f>
        <v>47115</v>
      </c>
      <c r="R64" s="53">
        <f>IFERROR((VLOOKUP(A64,'DEAnorm D-nett'!$A$4:$H$134,8,FALSE)+O64),0)</f>
        <v>34739.059886213967</v>
      </c>
      <c r="S64" s="26">
        <f>IFERROR((VLOOKUP(A64,'DEAnorm R-nett'!$A$4:$H$86,8,FALSE)+N64+K64),N64+K64)</f>
        <v>7683.4352958382551</v>
      </c>
      <c r="T64" s="151">
        <f>IFERROR(VLOOKUP(A64,IRData!$A$3:$AN$146,40,FALSE),0)</f>
        <v>0</v>
      </c>
      <c r="U64" s="54">
        <f>(1-Forutsetninger!$B$3)*Q64+(R64+S64+T64)*Forutsetninger!$B$3</f>
        <v>44299.497109231335</v>
      </c>
      <c r="V64" s="47">
        <f t="shared" si="18"/>
        <v>5650.9270112278828</v>
      </c>
      <c r="W64" s="208">
        <f t="shared" si="19"/>
        <v>4.2184854398246915E-2</v>
      </c>
      <c r="X64" s="47">
        <f>(R64+S64+T64)-G64*($K$159+$K$153)/Forutsetninger!$B$3</f>
        <v>48771.529797170806</v>
      </c>
      <c r="Y64" s="278">
        <f>ROUND((1-Forutsetninger!$B$3)*Q64+Forutsetninger!$B$3*X64,0)</f>
        <v>48109</v>
      </c>
      <c r="Z64" s="47">
        <v>48272</v>
      </c>
      <c r="AA64" s="73">
        <f t="shared" si="5"/>
        <v>-163</v>
      </c>
      <c r="AB64" s="269">
        <f t="shared" si="6"/>
        <v>-3.3766987073251572E-3</v>
      </c>
      <c r="AC64" s="66">
        <f t="shared" si="7"/>
        <v>0</v>
      </c>
      <c r="AD64" s="256">
        <f>VLOOKUP(A64,IR2016prnettnivå!$B$2:$K$133,8,FALSE)</f>
        <v>0.9585681140205502</v>
      </c>
      <c r="AE64" s="256">
        <f>VLOOKUP(A64,IR2016prnettnivå!$B$2:$K$133,9,FALSE)</f>
        <v>4.1431885979449787E-2</v>
      </c>
      <c r="AF64" s="256">
        <f>VLOOKUP(A64,IR2016prnettnivå!$B$2:$K$133,10,FALSE)</f>
        <v>0</v>
      </c>
      <c r="AG64" s="277">
        <f t="shared" si="8"/>
        <v>0</v>
      </c>
      <c r="AH64" s="277">
        <f t="shared" si="9"/>
        <v>0</v>
      </c>
      <c r="AI64" s="277">
        <f t="shared" si="10"/>
        <v>0</v>
      </c>
      <c r="AJ64" s="277">
        <f t="shared" si="11"/>
        <v>0</v>
      </c>
      <c r="AK64" s="277">
        <f t="shared" si="12"/>
        <v>0</v>
      </c>
      <c r="AL64" s="277">
        <f t="shared" si="13"/>
        <v>0</v>
      </c>
    </row>
    <row r="65" spans="1:38" x14ac:dyDescent="0.2">
      <c r="A65">
        <v>1042014</v>
      </c>
      <c r="B65" s="1" t="s">
        <v>217</v>
      </c>
      <c r="C65" s="99">
        <f>VLOOKUP(A65,IRData!$A$3:$F$146,6,FALSE)</f>
        <v>14259.553833007813</v>
      </c>
      <c r="D65" s="52">
        <f>C65*Forutsetninger!$C$23</f>
        <v>15001.459020500821</v>
      </c>
      <c r="E65" s="50">
        <f>VLOOKUP($A65,IRData!$A$2:$N$146,7,FALSE)</f>
        <v>3486</v>
      </c>
      <c r="F65" s="50">
        <f>VLOOKUP($A65,IRData!$A$2:$N$146,8,FALSE)</f>
        <v>41730</v>
      </c>
      <c r="G65" s="50">
        <f>VLOOKUP($A65,IRData!$A$2:$N$146,9,FALSE)</f>
        <v>42147.3</v>
      </c>
      <c r="H65" s="50">
        <f>VLOOKUP($A65,IRData!$A$2:$N$146,10,FALSE)</f>
        <v>6334</v>
      </c>
      <c r="I65" s="50">
        <f>VLOOKUP($A65,IRData!$A$2:$N$146,11,FALSE)</f>
        <v>0</v>
      </c>
      <c r="J65" s="52">
        <f>VLOOKUP(A65,IRData!$A$3:$AF$146,32,FALSE)</f>
        <v>1644.9398018121719</v>
      </c>
      <c r="K65" s="52">
        <f>VLOOKUP(A65,IRData!$A$3:$AM$146,37,FALSE)</f>
        <v>0</v>
      </c>
      <c r="L65" s="145">
        <f>VLOOKUP($A65,IRData!$A$2:$N$146,13,FALSE)</f>
        <v>852</v>
      </c>
      <c r="M65" s="51">
        <f>L65*Forutsetninger!$C$17</f>
        <v>901.1658144631117</v>
      </c>
      <c r="N65" s="145">
        <f>VLOOKUP(A65,IRData!$A$3:$E$146,5,FALSE)*Forutsetninger!$C$23</f>
        <v>0</v>
      </c>
      <c r="O65" s="145">
        <f>VLOOKUP(A65,IRData!$A$3:$AG$146,19,FALSE)*Forutsetninger!$C$17</f>
        <v>139.20473402760339</v>
      </c>
      <c r="P65" s="52">
        <f t="shared" si="17"/>
        <v>21033.564636776104</v>
      </c>
      <c r="Q65" s="253">
        <f>ROUND(D65+E65+J65+K65+M65+G65*Forutsetninger!$B$5+N65,0)</f>
        <v>23697</v>
      </c>
      <c r="R65" s="53">
        <f>IFERROR((VLOOKUP(A65,'DEAnorm D-nett'!$A$4:$H$134,8,FALSE)+O65),0)</f>
        <v>24408.965236995475</v>
      </c>
      <c r="S65" s="26">
        <f>IFERROR((VLOOKUP(A65,'DEAnorm R-nett'!$A$4:$H$86,8,FALSE)+N65+K65),N65+K65)</f>
        <v>0</v>
      </c>
      <c r="T65" s="151">
        <f>IFERROR(VLOOKUP(A65,IRData!$A$3:$AN$146,40,FALSE),0)</f>
        <v>0</v>
      </c>
      <c r="U65" s="54">
        <f>(1-Forutsetninger!$B$3)*Q65+(R65+S65+T65)*Forutsetninger!$B$3</f>
        <v>24124.179142197285</v>
      </c>
      <c r="V65" s="47">
        <f t="shared" si="18"/>
        <v>3090.6145054211811</v>
      </c>
      <c r="W65" s="208">
        <f t="shared" si="19"/>
        <v>7.3328884778412401E-2</v>
      </c>
      <c r="X65" s="47">
        <f>(R65+S65+T65)-G65*($K$159+$K$153)/Forutsetninger!$B$3</f>
        <v>26406.591825918782</v>
      </c>
      <c r="Y65" s="278">
        <f>ROUND((1-Forutsetninger!$B$3)*Q65+Forutsetninger!$B$3*X65,0)</f>
        <v>25323</v>
      </c>
      <c r="Z65" s="47">
        <v>25339</v>
      </c>
      <c r="AA65" s="73">
        <f t="shared" si="5"/>
        <v>-16</v>
      </c>
      <c r="AB65" s="269">
        <f t="shared" si="6"/>
        <v>-6.3143770472394336E-4</v>
      </c>
      <c r="AC65" s="66">
        <f t="shared" si="7"/>
        <v>0</v>
      </c>
      <c r="AD65" s="256">
        <f>VLOOKUP(A65,IR2016prnettnivå!$B$2:$K$133,8,FALSE)</f>
        <v>1</v>
      </c>
      <c r="AE65" s="256">
        <f>VLOOKUP(A65,IR2016prnettnivå!$B$2:$K$133,9,FALSE)</f>
        <v>0</v>
      </c>
      <c r="AF65" s="256">
        <f>VLOOKUP(A65,IR2016prnettnivå!$B$2:$K$133,10,FALSE)</f>
        <v>0</v>
      </c>
      <c r="AG65" s="277">
        <f t="shared" si="8"/>
        <v>0</v>
      </c>
      <c r="AH65" s="277">
        <f t="shared" si="9"/>
        <v>0</v>
      </c>
      <c r="AI65" s="277">
        <f t="shared" si="10"/>
        <v>0</v>
      </c>
      <c r="AJ65" s="277">
        <f t="shared" si="11"/>
        <v>0</v>
      </c>
      <c r="AK65" s="277">
        <f t="shared" si="12"/>
        <v>0</v>
      </c>
      <c r="AL65" s="277">
        <f t="shared" si="13"/>
        <v>0</v>
      </c>
    </row>
    <row r="66" spans="1:38" x14ac:dyDescent="0.2">
      <c r="A66">
        <v>5112014</v>
      </c>
      <c r="B66" s="1" t="s">
        <v>92</v>
      </c>
      <c r="C66" s="99">
        <f>VLOOKUP(A66,IRData!$A$3:$F$146,6,FALSE)</f>
        <v>315857.32921218872</v>
      </c>
      <c r="D66" s="52">
        <f>C66*Forutsetninger!$C$23</f>
        <v>332290.95636451739</v>
      </c>
      <c r="E66" s="50">
        <f>VLOOKUP($A66,IRData!$A$2:$N$146,7,FALSE)</f>
        <v>142898</v>
      </c>
      <c r="F66" s="50">
        <f>VLOOKUP($A66,IRData!$A$2:$N$146,8,FALSE)</f>
        <v>2475067</v>
      </c>
      <c r="G66" s="50">
        <f>VLOOKUP($A66,IRData!$A$2:$N$146,9,FALSE)</f>
        <v>2499817.67</v>
      </c>
      <c r="H66" s="50">
        <f>VLOOKUP($A66,IRData!$A$2:$N$146,10,FALSE)</f>
        <v>164014</v>
      </c>
      <c r="I66" s="50">
        <f>VLOOKUP($A66,IRData!$A$2:$N$146,11,FALSE)</f>
        <v>69550</v>
      </c>
      <c r="J66" s="52">
        <f>VLOOKUP(A66,IRData!$A$3:$AF$146,32,FALSE)</f>
        <v>40650.870040774345</v>
      </c>
      <c r="K66" s="52">
        <f>VLOOKUP(A66,IRData!$A$3:$AM$146,37,FALSE)</f>
        <v>17237.967559695244</v>
      </c>
      <c r="L66" s="145">
        <f>VLOOKUP($A66,IRData!$A$2:$N$146,13,FALSE)</f>
        <v>11955</v>
      </c>
      <c r="M66" s="51">
        <f>L66*Forutsetninger!$C$17</f>
        <v>12644.879474068663</v>
      </c>
      <c r="N66" s="145">
        <f>VLOOKUP(A66,IRData!$A$3:$E$146,5,FALSE)*Forutsetninger!$C$23</f>
        <v>1168.8038186157519</v>
      </c>
      <c r="O66" s="145">
        <f>VLOOKUP(A66,IRData!$A$3:$AG$146,19,FALSE)*Forutsetninger!$C$17</f>
        <v>20615.785552867055</v>
      </c>
      <c r="P66" s="52">
        <f t="shared" si="17"/>
        <v>546891.4772576713</v>
      </c>
      <c r="Q66" s="253">
        <f>ROUND(D66+E66+J66+K66+M66+G66*Forutsetninger!$B$5+N66,0)</f>
        <v>704880</v>
      </c>
      <c r="R66" s="53">
        <f>IFERROR((VLOOKUP(A66,'DEAnorm D-nett'!$A$4:$H$134,8,FALSE)+O66),0)</f>
        <v>556786.54588403099</v>
      </c>
      <c r="S66" s="26">
        <f>IFERROR((VLOOKUP(A66,'DEAnorm R-nett'!$A$4:$H$86,8,FALSE)+N66+K66),N66+K66)</f>
        <v>217442.62897242201</v>
      </c>
      <c r="T66" s="151">
        <f>IFERROR(VLOOKUP(A66,IRData!$A$3:$AN$146,40,FALSE),0)</f>
        <v>2059.557698307221</v>
      </c>
      <c r="U66" s="54">
        <f>(1-Forutsetninger!$B$3)*Q66+(R66+S66+T66)*Forutsetninger!$B$3</f>
        <v>747725.23953285604</v>
      </c>
      <c r="V66" s="47">
        <f t="shared" si="18"/>
        <v>200833.76227518474</v>
      </c>
      <c r="W66" s="208">
        <f t="shared" si="19"/>
        <v>8.0339364220585227E-2</v>
      </c>
      <c r="X66" s="47">
        <f>(R66+S66+T66)-G66*($K$159+$K$153)/Forutsetninger!$B$3</f>
        <v>894770.87126951327</v>
      </c>
      <c r="Y66" s="278">
        <f>ROUND((1-Forutsetninger!$B$3)*Q66+Forutsetninger!$B$3*X66,0)</f>
        <v>818815</v>
      </c>
      <c r="Z66" s="47">
        <v>823456</v>
      </c>
      <c r="AA66" s="73">
        <f t="shared" si="5"/>
        <v>-4641</v>
      </c>
      <c r="AB66" s="269">
        <f t="shared" si="6"/>
        <v>-5.6360024093576339E-3</v>
      </c>
      <c r="AC66" s="66">
        <f t="shared" si="7"/>
        <v>0</v>
      </c>
      <c r="AD66" s="256">
        <f>VLOOKUP(A66,IR2016prnettnivå!$B$2:$K$133,8,FALSE)</f>
        <v>0.69410994637236234</v>
      </c>
      <c r="AE66" s="256">
        <f>VLOOKUP(A66,IR2016prnettnivå!$B$2:$K$133,9,FALSE)</f>
        <v>0.30589005362763766</v>
      </c>
      <c r="AF66" s="256">
        <f>VLOOKUP(A66,IR2016prnettnivå!$B$2:$K$133,10,FALSE)</f>
        <v>0</v>
      </c>
      <c r="AG66" s="277">
        <f t="shared" si="8"/>
        <v>0</v>
      </c>
      <c r="AH66" s="277">
        <f t="shared" si="9"/>
        <v>0</v>
      </c>
      <c r="AI66" s="277">
        <f t="shared" si="10"/>
        <v>0</v>
      </c>
      <c r="AJ66" s="277">
        <f t="shared" si="11"/>
        <v>0</v>
      </c>
      <c r="AK66" s="277">
        <f t="shared" si="12"/>
        <v>0</v>
      </c>
      <c r="AL66" s="277">
        <f t="shared" si="13"/>
        <v>0</v>
      </c>
    </row>
    <row r="67" spans="1:38" x14ac:dyDescent="0.2">
      <c r="A67">
        <v>5122014</v>
      </c>
      <c r="B67" s="1" t="s">
        <v>93</v>
      </c>
      <c r="C67" s="99">
        <f>VLOOKUP(A67,IRData!$A$3:$F$146,6,FALSE)</f>
        <v>1029</v>
      </c>
      <c r="D67" s="52">
        <f>C67*Forutsetninger!$C$23</f>
        <v>1082.5374701670644</v>
      </c>
      <c r="E67" s="50">
        <f>VLOOKUP($A67,IRData!$A$2:$N$146,7,FALSE)</f>
        <v>1165</v>
      </c>
      <c r="F67" s="50">
        <f>VLOOKUP($A67,IRData!$A$2:$N$146,8,FALSE)</f>
        <v>12588</v>
      </c>
      <c r="G67" s="50">
        <f>VLOOKUP($A67,IRData!$A$2:$N$146,9,FALSE)</f>
        <v>12713.880000000001</v>
      </c>
      <c r="H67" s="50">
        <f>VLOOKUP($A67,IRData!$A$2:$N$146,10,FALSE)</f>
        <v>0</v>
      </c>
      <c r="I67" s="50">
        <f>VLOOKUP($A67,IRData!$A$2:$N$146,11,FALSE)</f>
        <v>0</v>
      </c>
      <c r="J67" s="52">
        <f>VLOOKUP(A67,IRData!$A$3:$AF$146,32,FALSE)</f>
        <v>0</v>
      </c>
      <c r="K67" s="52">
        <f>VLOOKUP(A67,IRData!$A$3:$AM$146,37,FALSE)</f>
        <v>0</v>
      </c>
      <c r="L67" s="145">
        <f>VLOOKUP($A67,IRData!$A$2:$N$146,13,FALSE)</f>
        <v>0</v>
      </c>
      <c r="M67" s="51">
        <f>L67*Forutsetninger!$C$17</f>
        <v>0</v>
      </c>
      <c r="N67" s="145">
        <f>VLOOKUP(A67,IRData!$A$3:$E$146,5,FALSE)*Forutsetninger!$C$23</f>
        <v>0</v>
      </c>
      <c r="O67" s="145">
        <f>VLOOKUP(A67,IRData!$A$3:$AG$146,19,FALSE)*Forutsetninger!$C$17</f>
        <v>0</v>
      </c>
      <c r="P67" s="52">
        <f t="shared" ref="P67:P98" si="22">D67+E67+K67+J67+M67+N67</f>
        <v>2247.5374701670644</v>
      </c>
      <c r="Q67" s="253">
        <f>ROUND(D67+E67+J67+K67+M67+G67*Forutsetninger!$B$5+N67,0)</f>
        <v>3051</v>
      </c>
      <c r="R67" s="53">
        <f>IFERROR((VLOOKUP(A67,'DEAnorm D-nett'!$A$4:$H$134,8,FALSE)+O67),0)</f>
        <v>1847.022300827155</v>
      </c>
      <c r="S67" s="26">
        <f>IFERROR((VLOOKUP(A67,'DEAnorm R-nett'!$A$4:$H$86,8,FALSE)+N67+K67),N67+K67)</f>
        <v>1731.0738087297348</v>
      </c>
      <c r="T67" s="151">
        <f>IFERROR(VLOOKUP(A67,IRData!$A$3:$AN$146,40,FALSE),0)</f>
        <v>0</v>
      </c>
      <c r="U67" s="54">
        <f>(1-Forutsetninger!$B$3)*Q67+(R67+S67+T67)*Forutsetninger!$B$3</f>
        <v>3367.2576657341342</v>
      </c>
      <c r="V67" s="47">
        <f t="shared" ref="V67:V98" si="23">U67-P67</f>
        <v>1119.7201955670698</v>
      </c>
      <c r="W67" s="208">
        <f t="shared" ref="W67:W98" si="24">IF(G67=0,0,V67/G67)</f>
        <v>8.8070690895861031E-2</v>
      </c>
      <c r="X67" s="47">
        <f>(R67+S67+T67)-G67*($K$159+$K$153)/Forutsetninger!$B$3</f>
        <v>4180.6871352306644</v>
      </c>
      <c r="Y67" s="278">
        <f>ROUND((1-Forutsetninger!$B$3)*Q67+Forutsetninger!$B$3*X67,0)</f>
        <v>3729</v>
      </c>
      <c r="Z67" s="47">
        <v>3730</v>
      </c>
      <c r="AA67" s="73">
        <f t="shared" si="5"/>
        <v>-1</v>
      </c>
      <c r="AB67" s="269">
        <f t="shared" si="6"/>
        <v>-2.6809651474530834E-4</v>
      </c>
      <c r="AC67" s="66">
        <f t="shared" si="7"/>
        <v>0</v>
      </c>
      <c r="AD67" s="256">
        <f>VLOOKUP(A67,IR2016prnettnivå!$B$2:$K$133,8,FALSE)</f>
        <v>0.70026809651474531</v>
      </c>
      <c r="AE67" s="256">
        <f>VLOOKUP(A67,IR2016prnettnivå!$B$2:$K$133,9,FALSE)</f>
        <v>0.29973190348525469</v>
      </c>
      <c r="AF67" s="256">
        <f>VLOOKUP(A67,IR2016prnettnivå!$B$2:$K$133,10,FALSE)</f>
        <v>0</v>
      </c>
      <c r="AG67" s="277">
        <f t="shared" si="8"/>
        <v>0</v>
      </c>
      <c r="AH67" s="277">
        <f t="shared" si="9"/>
        <v>0</v>
      </c>
      <c r="AI67" s="277">
        <f t="shared" si="10"/>
        <v>0</v>
      </c>
      <c r="AJ67" s="277">
        <f t="shared" si="11"/>
        <v>0</v>
      </c>
      <c r="AK67" s="277">
        <f t="shared" si="12"/>
        <v>0</v>
      </c>
      <c r="AL67" s="277">
        <f t="shared" si="13"/>
        <v>0</v>
      </c>
    </row>
    <row r="68" spans="1:38" x14ac:dyDescent="0.2">
      <c r="A68">
        <v>8722014</v>
      </c>
      <c r="B68" s="1" t="s">
        <v>278</v>
      </c>
      <c r="C68" s="99">
        <f>VLOOKUP(A68,IRData!$A$3:$F$146,6,FALSE)</f>
        <v>17856.600006103516</v>
      </c>
      <c r="D68" s="52">
        <f>C68*Forutsetninger!$C$23</f>
        <v>18785.654612626324</v>
      </c>
      <c r="E68" s="50">
        <f>VLOOKUP($A68,IRData!$A$2:$N$146,7,FALSE)</f>
        <v>8820</v>
      </c>
      <c r="F68" s="50">
        <f>VLOOKUP($A68,IRData!$A$2:$N$146,8,FALSE)</f>
        <v>98294</v>
      </c>
      <c r="G68" s="50">
        <f>VLOOKUP($A68,IRData!$A$2:$N$146,9,FALSE)</f>
        <v>99276.94</v>
      </c>
      <c r="H68" s="50">
        <f>VLOOKUP($A68,IRData!$A$2:$N$146,10,FALSE)</f>
        <v>0</v>
      </c>
      <c r="I68" s="50">
        <f>VLOOKUP($A68,IRData!$A$2:$N$146,11,FALSE)</f>
        <v>0</v>
      </c>
      <c r="J68" s="52">
        <f>VLOOKUP(A68,IRData!$A$3:$AF$146,32,FALSE)</f>
        <v>0</v>
      </c>
      <c r="K68" s="52">
        <f>VLOOKUP(A68,IRData!$A$3:$AM$146,37,FALSE)</f>
        <v>0</v>
      </c>
      <c r="L68" s="145">
        <f>VLOOKUP($A68,IRData!$A$2:$N$146,13,FALSE)</f>
        <v>0</v>
      </c>
      <c r="M68" s="51">
        <f>L68*Forutsetninger!$C$17</f>
        <v>0</v>
      </c>
      <c r="N68" s="145">
        <f>VLOOKUP(A68,IRData!$A$3:$E$146,5,FALSE)*Forutsetninger!$C$23</f>
        <v>0</v>
      </c>
      <c r="O68" s="145">
        <f>VLOOKUP(A68,IRData!$A$3:$AG$146,19,FALSE)*Forutsetninger!$C$17</f>
        <v>0</v>
      </c>
      <c r="P68" s="52">
        <f t="shared" si="22"/>
        <v>27605.654612626324</v>
      </c>
      <c r="Q68" s="253">
        <f>ROUND(D68+E68+J68+K68+M68+G68*Forutsetninger!$B$5+N68,0)</f>
        <v>33880</v>
      </c>
      <c r="R68" s="53">
        <f>IFERROR((VLOOKUP(A68,'DEAnorm D-nett'!$A$4:$H$134,8,FALSE)+O68),0)</f>
        <v>0</v>
      </c>
      <c r="S68" s="26">
        <f>IFERROR((VLOOKUP(A68,'DEAnorm R-nett'!$A$4:$H$86,8,FALSE)+N68+K68),N68+K68)</f>
        <v>0</v>
      </c>
      <c r="T68" s="151">
        <f>IFERROR(VLOOKUP(A68,IRData!$A$3:$AN$146,40,FALSE),0)</f>
        <v>33879.957220626326</v>
      </c>
      <c r="U68" s="54">
        <f>(1-Forutsetninger!$B$3)*Q68+(R68+S68+T68)*Forutsetninger!$B$3</f>
        <v>33879.974332375794</v>
      </c>
      <c r="V68" s="47">
        <f t="shared" si="23"/>
        <v>6274.3197197494701</v>
      </c>
      <c r="W68" s="208">
        <f t="shared" si="24"/>
        <v>6.3200172363788304E-2</v>
      </c>
      <c r="X68" s="47">
        <f>(R68+S68+T68)-G68*($K$159+$K$153)/Forutsetninger!$B$3</f>
        <v>38585.318062505728</v>
      </c>
      <c r="Y68" s="278">
        <f>ROUND((1-Forutsetninger!$B$3)*Q68+Forutsetninger!$B$3*X68,0)</f>
        <v>36703</v>
      </c>
      <c r="Z68" s="47">
        <v>36710</v>
      </c>
      <c r="AA68" s="73">
        <f t="shared" ref="AA68:AA131" si="25">Y68-Z68</f>
        <v>-7</v>
      </c>
      <c r="AB68" s="269">
        <f t="shared" ref="AB68:AB131" si="26">AA68/Z68</f>
        <v>-1.9068373740125307E-4</v>
      </c>
      <c r="AC68" s="66">
        <f t="shared" ref="AC68:AC131" si="27">IF(AA68&gt;0,AA68,0)</f>
        <v>0</v>
      </c>
      <c r="AD68" s="256">
        <f>VLOOKUP(A68,IR2016prnettnivå!$B$2:$K$133,8,FALSE)</f>
        <v>0</v>
      </c>
      <c r="AE68" s="256">
        <f>VLOOKUP(A68,IR2016prnettnivå!$B$2:$K$133,9,FALSE)</f>
        <v>0</v>
      </c>
      <c r="AF68" s="256">
        <f>VLOOKUP(A68,IR2016prnettnivå!$B$2:$K$133,10,FALSE)</f>
        <v>1</v>
      </c>
      <c r="AG68" s="277">
        <f t="shared" ref="AG68:AG131" si="28">$AC68*AD68</f>
        <v>0</v>
      </c>
      <c r="AH68" s="277">
        <f t="shared" ref="AH68:AH131" si="29">$AC68*AE68</f>
        <v>0</v>
      </c>
      <c r="AI68" s="277">
        <f t="shared" ref="AI68:AI131" si="30">$AC68*AF68</f>
        <v>0</v>
      </c>
      <c r="AJ68" s="277">
        <f t="shared" ref="AJ68:AJ131" si="31">AG68*$AP$5</f>
        <v>0</v>
      </c>
      <c r="AK68" s="277">
        <f t="shared" ref="AK68:AK131" si="32">AH68*$AP$5</f>
        <v>0</v>
      </c>
      <c r="AL68" s="277">
        <f t="shared" ref="AL68:AL131" si="33">AI68*$AP$5</f>
        <v>0</v>
      </c>
    </row>
    <row r="69" spans="1:38" x14ac:dyDescent="0.2">
      <c r="A69">
        <v>1062014</v>
      </c>
      <c r="B69" s="1" t="s">
        <v>108</v>
      </c>
      <c r="C69" s="99">
        <f>VLOOKUP(A69,IRData!$A$3:$F$146,6,FALSE)</f>
        <v>16297.065155029297</v>
      </c>
      <c r="D69" s="52">
        <f>C69*Forutsetninger!$C$23</f>
        <v>17144.979284813639</v>
      </c>
      <c r="E69" s="50">
        <f>VLOOKUP($A69,IRData!$A$2:$N$146,7,FALSE)</f>
        <v>2358</v>
      </c>
      <c r="F69" s="50">
        <f>VLOOKUP($A69,IRData!$A$2:$N$146,8,FALSE)</f>
        <v>24239</v>
      </c>
      <c r="G69" s="50">
        <f>VLOOKUP($A69,IRData!$A$2:$N$146,9,FALSE)</f>
        <v>24481.39</v>
      </c>
      <c r="H69" s="50">
        <f>VLOOKUP($A69,IRData!$A$2:$N$146,10,FALSE)</f>
        <v>4842</v>
      </c>
      <c r="I69" s="50">
        <f>VLOOKUP($A69,IRData!$A$2:$N$146,11,FALSE)</f>
        <v>2438</v>
      </c>
      <c r="J69" s="52">
        <f>VLOOKUP(A69,IRData!$A$3:$AF$146,32,FALSE)</f>
        <v>1194.4730045199394</v>
      </c>
      <c r="K69" s="52">
        <f>VLOOKUP(A69,IRData!$A$3:$AM$146,37,FALSE)</f>
        <v>601.43023234605789</v>
      </c>
      <c r="L69" s="145">
        <f>VLOOKUP($A69,IRData!$A$2:$N$146,13,FALSE)</f>
        <v>2722</v>
      </c>
      <c r="M69" s="51">
        <f>L69*Forutsetninger!$C$17</f>
        <v>2879.0766983199414</v>
      </c>
      <c r="N69" s="145">
        <f>VLOOKUP(A69,IRData!$A$3:$E$146,5,FALSE)*Forutsetninger!$C$23</f>
        <v>0</v>
      </c>
      <c r="O69" s="145">
        <f>VLOOKUP(A69,IRData!$A$3:$AG$146,19,FALSE)*Forutsetninger!$C$17</f>
        <v>34.798540693551978</v>
      </c>
      <c r="P69" s="52">
        <f t="shared" si="22"/>
        <v>24177.959219999579</v>
      </c>
      <c r="Q69" s="253">
        <f>ROUND(D69+E69+J69+K69+M69+G69*Forutsetninger!$B$5+N69,0)</f>
        <v>25725</v>
      </c>
      <c r="R69" s="53">
        <f>IFERROR((VLOOKUP(A69,'DEAnorm D-nett'!$A$4:$H$134,8,FALSE)+O69),0)</f>
        <v>14328.787466182252</v>
      </c>
      <c r="S69" s="26">
        <f>IFERROR((VLOOKUP(A69,'DEAnorm R-nett'!$A$4:$H$86,8,FALSE)+N69+K69),N69+K69)</f>
        <v>3272.3218494069338</v>
      </c>
      <c r="T69" s="151">
        <f>IFERROR(VLOOKUP(A69,IRData!$A$3:$AN$146,40,FALSE),0)</f>
        <v>0</v>
      </c>
      <c r="U69" s="54">
        <f>(1-Forutsetninger!$B$3)*Q69+(R69+S69+T69)*Forutsetninger!$B$3</f>
        <v>20850.665589353513</v>
      </c>
      <c r="V69" s="47">
        <f t="shared" si="23"/>
        <v>-3327.2936306460651</v>
      </c>
      <c r="W69" s="208">
        <f t="shared" si="24"/>
        <v>-0.13591114028435744</v>
      </c>
      <c r="X69" s="47">
        <f>(R69+S69+T69)-G69*($K$159+$K$153)/Forutsetninger!$B$3</f>
        <v>18761.436918965945</v>
      </c>
      <c r="Y69" s="278">
        <f>ROUND((1-Forutsetninger!$B$3)*Q69+Forutsetninger!$B$3*X69,0)</f>
        <v>21547</v>
      </c>
      <c r="Z69" s="47">
        <v>21520</v>
      </c>
      <c r="AA69" s="73">
        <f t="shared" si="25"/>
        <v>27</v>
      </c>
      <c r="AB69" s="269">
        <f t="shared" si="26"/>
        <v>1.254646840148699E-3</v>
      </c>
      <c r="AC69" s="66">
        <f t="shared" si="27"/>
        <v>27</v>
      </c>
      <c r="AD69" s="256">
        <f>VLOOKUP(A69,IR2016prnettnivå!$B$2:$K$133,8,FALSE)</f>
        <v>0.96361524163568768</v>
      </c>
      <c r="AE69" s="256">
        <f>VLOOKUP(A69,IR2016prnettnivå!$B$2:$K$133,9,FALSE)</f>
        <v>3.6384758364312271E-2</v>
      </c>
      <c r="AF69" s="256">
        <f>VLOOKUP(A69,IR2016prnettnivå!$B$2:$K$133,10,FALSE)</f>
        <v>0</v>
      </c>
      <c r="AG69" s="277">
        <f t="shared" si="28"/>
        <v>26.017611524163566</v>
      </c>
      <c r="AH69" s="277">
        <f t="shared" si="29"/>
        <v>0.9823884758364313</v>
      </c>
      <c r="AI69" s="277">
        <f t="shared" si="30"/>
        <v>0</v>
      </c>
      <c r="AJ69" s="277">
        <f t="shared" si="31"/>
        <v>0.3330254275092937</v>
      </c>
      <c r="AK69" s="277">
        <f t="shared" si="32"/>
        <v>1.2574572490706324E-2</v>
      </c>
      <c r="AL69" s="277">
        <f t="shared" si="33"/>
        <v>0</v>
      </c>
    </row>
    <row r="70" spans="1:38" x14ac:dyDescent="0.2">
      <c r="A70">
        <v>1082014</v>
      </c>
      <c r="B70" s="1" t="s">
        <v>269</v>
      </c>
      <c r="C70" s="99">
        <f>VLOOKUP(A70,IRData!$A$3:$F$146,6,FALSE)</f>
        <v>1876.8624420166016</v>
      </c>
      <c r="D70" s="52">
        <f>C70*Forutsetninger!$C$23</f>
        <v>1974.5130416251025</v>
      </c>
      <c r="E70" s="50">
        <f>VLOOKUP($A70,IRData!$A$2:$N$146,7,FALSE)</f>
        <v>720</v>
      </c>
      <c r="F70" s="50">
        <f>VLOOKUP($A70,IRData!$A$2:$N$146,8,FALSE)</f>
        <v>13307</v>
      </c>
      <c r="G70" s="50">
        <f>VLOOKUP($A70,IRData!$A$2:$N$146,9,FALSE)</f>
        <v>13440.07</v>
      </c>
      <c r="H70" s="50">
        <f>VLOOKUP($A70,IRData!$A$2:$N$146,10,FALSE)</f>
        <v>3076</v>
      </c>
      <c r="I70" s="50">
        <f>VLOOKUP($A70,IRData!$A$2:$N$146,11,FALSE)</f>
        <v>0</v>
      </c>
      <c r="J70" s="52">
        <f>VLOOKUP(A70,IRData!$A$3:$AF$146,32,FALSE)</f>
        <v>762.38660264015198</v>
      </c>
      <c r="K70" s="52">
        <f>VLOOKUP(A70,IRData!$A$3:$AM$146,37,FALSE)</f>
        <v>0</v>
      </c>
      <c r="L70" s="145">
        <f>VLOOKUP($A70,IRData!$A$2:$N$146,13,FALSE)</f>
        <v>0</v>
      </c>
      <c r="M70" s="51">
        <f>L70*Forutsetninger!$C$17</f>
        <v>0</v>
      </c>
      <c r="N70" s="145">
        <f>VLOOKUP(A70,IRData!$A$3:$E$146,5,FALSE)*Forutsetninger!$C$23</f>
        <v>0</v>
      </c>
      <c r="O70" s="145">
        <f>VLOOKUP(A70,IRData!$A$3:$AG$146,19,FALSE)*Forutsetninger!$C$17</f>
        <v>0</v>
      </c>
      <c r="P70" s="52">
        <f t="shared" si="22"/>
        <v>3456.8996442652542</v>
      </c>
      <c r="Q70" s="253">
        <f>ROUND(D70+E70+J70+K70+M70+G70*Forutsetninger!$B$5+N70,0)</f>
        <v>4306</v>
      </c>
      <c r="R70" s="53">
        <f>IFERROR((VLOOKUP(A70,'DEAnorm D-nett'!$A$4:$H$134,8,FALSE)+O70),0)</f>
        <v>3982.0389061981241</v>
      </c>
      <c r="S70" s="26">
        <f>IFERROR((VLOOKUP(A70,'DEAnorm R-nett'!$A$4:$H$86,8,FALSE)+N70+K70),N70+K70)</f>
        <v>0</v>
      </c>
      <c r="T70" s="151">
        <f>IFERROR(VLOOKUP(A70,IRData!$A$3:$AN$146,40,FALSE),0)</f>
        <v>0</v>
      </c>
      <c r="U70" s="54">
        <f>(1-Forutsetninger!$B$3)*Q70+(R70+S70+T70)*Forutsetninger!$B$3</f>
        <v>4111.6233437188748</v>
      </c>
      <c r="V70" s="47">
        <f t="shared" si="23"/>
        <v>654.72369945362061</v>
      </c>
      <c r="W70" s="208">
        <f t="shared" si="24"/>
        <v>4.871430725090127E-2</v>
      </c>
      <c r="X70" s="47">
        <f>(R70+S70+T70)-G70*($K$159+$K$153)/Forutsetninger!$B$3</f>
        <v>4619.0486598238722</v>
      </c>
      <c r="Y70" s="278">
        <f>ROUND((1-Forutsetninger!$B$3)*Q70+Forutsetninger!$B$3*X70,0)</f>
        <v>4494</v>
      </c>
      <c r="Z70" s="47">
        <v>4495</v>
      </c>
      <c r="AA70" s="73">
        <f t="shared" si="25"/>
        <v>-1</v>
      </c>
      <c r="AB70" s="269">
        <f t="shared" si="26"/>
        <v>-2.224694104560623E-4</v>
      </c>
      <c r="AC70" s="66">
        <f t="shared" si="27"/>
        <v>0</v>
      </c>
      <c r="AD70" s="268">
        <f>AD107</f>
        <v>0.70460449561238636</v>
      </c>
      <c r="AE70" s="268">
        <f t="shared" ref="AE70:AF70" si="34">AE107</f>
        <v>0.29539550438761369</v>
      </c>
      <c r="AF70" s="268">
        <f t="shared" si="34"/>
        <v>0</v>
      </c>
      <c r="AG70" s="277">
        <f t="shared" si="28"/>
        <v>0</v>
      </c>
      <c r="AH70" s="277">
        <f t="shared" si="29"/>
        <v>0</v>
      </c>
      <c r="AI70" s="277">
        <f t="shared" si="30"/>
        <v>0</v>
      </c>
      <c r="AJ70" s="277">
        <f t="shared" si="31"/>
        <v>0</v>
      </c>
      <c r="AK70" s="277">
        <f t="shared" si="32"/>
        <v>0</v>
      </c>
      <c r="AL70" s="277">
        <f t="shared" si="33"/>
        <v>0</v>
      </c>
    </row>
    <row r="71" spans="1:38" x14ac:dyDescent="0.2">
      <c r="A71">
        <v>1162014</v>
      </c>
      <c r="B71" s="1" t="s">
        <v>218</v>
      </c>
      <c r="C71" s="99">
        <f>VLOOKUP(A71,IRData!$A$3:$F$146,6,FALSE)</f>
        <v>22653.4892578125</v>
      </c>
      <c r="D71" s="52">
        <f>C71*Forutsetninger!$C$23</f>
        <v>23832.119486500596</v>
      </c>
      <c r="E71" s="50">
        <f>VLOOKUP($A71,IRData!$A$2:$N$146,7,FALSE)</f>
        <v>6288</v>
      </c>
      <c r="F71" s="50">
        <f>VLOOKUP($A71,IRData!$A$2:$N$146,8,FALSE)</f>
        <v>77705</v>
      </c>
      <c r="G71" s="50">
        <f>VLOOKUP($A71,IRData!$A$2:$N$146,9,FALSE)</f>
        <v>78482.049999999988</v>
      </c>
      <c r="H71" s="50">
        <f>VLOOKUP($A71,IRData!$A$2:$N$146,10,FALSE)</f>
        <v>8472</v>
      </c>
      <c r="I71" s="50">
        <f>VLOOKUP($A71,IRData!$A$2:$N$146,11,FALSE)</f>
        <v>500</v>
      </c>
      <c r="J71" s="52">
        <f>VLOOKUP(A71,IRData!$A$3:$AF$146,32,FALSE)</f>
        <v>2070.9804246425629</v>
      </c>
      <c r="K71" s="52">
        <f>VLOOKUP(A71,IRData!$A$3:$AM$146,37,FALSE)</f>
        <v>122.22500145435333</v>
      </c>
      <c r="L71" s="145">
        <f>VLOOKUP($A71,IRData!$A$2:$N$146,13,FALSE)</f>
        <v>3236</v>
      </c>
      <c r="M71" s="51">
        <f>L71*Forutsetninger!$C$17</f>
        <v>3422.7377647918188</v>
      </c>
      <c r="N71" s="145">
        <f>VLOOKUP(A71,IRData!$A$3:$E$146,5,FALSE)*Forutsetninger!$C$23</f>
        <v>0</v>
      </c>
      <c r="O71" s="145">
        <f>VLOOKUP(A71,IRData!$A$3:$AG$146,19,FALSE)*Forutsetninger!$C$17</f>
        <v>0</v>
      </c>
      <c r="P71" s="52">
        <f t="shared" si="22"/>
        <v>35736.062677389331</v>
      </c>
      <c r="Q71" s="253">
        <f>ROUND(D71+E71+J71+K71+M71+G71*Forutsetninger!$B$5+N71,0)</f>
        <v>40696</v>
      </c>
      <c r="R71" s="53">
        <f>IFERROR((VLOOKUP(A71,'DEAnorm D-nett'!$A$4:$H$134,8,FALSE)+O71),0)</f>
        <v>34025.183512525567</v>
      </c>
      <c r="S71" s="26">
        <f>IFERROR((VLOOKUP(A71,'DEAnorm R-nett'!$A$4:$H$86,8,FALSE)+N71+K71),N71+K71)</f>
        <v>356.03548145435332</v>
      </c>
      <c r="T71" s="151">
        <f>IFERROR(VLOOKUP(A71,IRData!$A$3:$AN$146,40,FALSE),0)</f>
        <v>0</v>
      </c>
      <c r="U71" s="54">
        <f>(1-Forutsetninger!$B$3)*Q71+(R71+S71+T71)*Forutsetninger!$B$3</f>
        <v>36907.131396387951</v>
      </c>
      <c r="V71" s="47">
        <f t="shared" si="23"/>
        <v>1171.0687189986202</v>
      </c>
      <c r="W71" s="208">
        <f t="shared" si="24"/>
        <v>1.4921484836323979E-2</v>
      </c>
      <c r="X71" s="47">
        <f>(R71+S71+T71)-G71*($K$159+$K$153)/Forutsetninger!$B$3</f>
        <v>38100.978737384801</v>
      </c>
      <c r="Y71" s="278">
        <f>ROUND((1-Forutsetninger!$B$3)*Q71+Forutsetninger!$B$3*X71,0)</f>
        <v>39139</v>
      </c>
      <c r="Z71" s="47">
        <v>39092</v>
      </c>
      <c r="AA71" s="73">
        <f t="shared" si="25"/>
        <v>47</v>
      </c>
      <c r="AB71" s="269">
        <f t="shared" si="26"/>
        <v>1.2022920290596542E-3</v>
      </c>
      <c r="AC71" s="66">
        <f t="shared" si="27"/>
        <v>47</v>
      </c>
      <c r="AD71" s="256">
        <f>VLOOKUP(A71,IR2016prnettnivå!$B$2:$K$133,8,FALSE)</f>
        <v>0.99941164432620488</v>
      </c>
      <c r="AE71" s="256">
        <f>VLOOKUP(A71,IR2016prnettnivå!$B$2:$K$133,9,FALSE)</f>
        <v>5.8835567379514992E-4</v>
      </c>
      <c r="AF71" s="256">
        <f>VLOOKUP(A71,IR2016prnettnivå!$B$2:$K$133,10,FALSE)</f>
        <v>0</v>
      </c>
      <c r="AG71" s="277">
        <f t="shared" si="28"/>
        <v>46.972347283331629</v>
      </c>
      <c r="AH71" s="277">
        <f t="shared" si="29"/>
        <v>2.7652716668372046E-2</v>
      </c>
      <c r="AI71" s="277">
        <f t="shared" si="30"/>
        <v>0</v>
      </c>
      <c r="AJ71" s="277">
        <f t="shared" si="31"/>
        <v>0.60124604522664493</v>
      </c>
      <c r="AK71" s="277">
        <f t="shared" si="32"/>
        <v>3.5395477335516226E-4</v>
      </c>
      <c r="AL71" s="277">
        <f t="shared" si="33"/>
        <v>0</v>
      </c>
    </row>
    <row r="72" spans="1:38" x14ac:dyDescent="0.2">
      <c r="A72">
        <v>5912014</v>
      </c>
      <c r="B72" s="1" t="s">
        <v>277</v>
      </c>
      <c r="C72" s="99">
        <f>VLOOKUP(A72,IRData!$A$3:$F$146,6,FALSE)</f>
        <v>31172.384317398071</v>
      </c>
      <c r="D72" s="52">
        <f>C72*Forutsetninger!$C$23</f>
        <v>32794.241067086085</v>
      </c>
      <c r="E72" s="50">
        <f>VLOOKUP($A72,IRData!$A$2:$N$146,7,FALSE)</f>
        <v>18124</v>
      </c>
      <c r="F72" s="50">
        <f>VLOOKUP($A72,IRData!$A$2:$N$146,8,FALSE)</f>
        <v>266276</v>
      </c>
      <c r="G72" s="50">
        <f>VLOOKUP($A72,IRData!$A$2:$N$146,9,FALSE)</f>
        <v>268938.76</v>
      </c>
      <c r="H72" s="50">
        <f>VLOOKUP($A72,IRData!$A$2:$N$146,10,FALSE)</f>
        <v>17835</v>
      </c>
      <c r="I72" s="50">
        <f>VLOOKUP($A72,IRData!$A$2:$N$146,11,FALSE)</f>
        <v>1472</v>
      </c>
      <c r="J72" s="52">
        <f>VLOOKUP(A72,IRData!$A$3:$AF$146,32,FALSE)</f>
        <v>4631.7495051026344</v>
      </c>
      <c r="K72" s="52">
        <f>VLOOKUP(A72,IRData!$A$3:$AM$146,37,FALSE)</f>
        <v>382.27840042114258</v>
      </c>
      <c r="L72" s="145">
        <f>VLOOKUP($A72,IRData!$A$2:$N$146,13,FALSE)</f>
        <v>2200</v>
      </c>
      <c r="M72" s="51">
        <f>L72*Forutsetninger!$C$17</f>
        <v>2326.953981008035</v>
      </c>
      <c r="N72" s="145">
        <f>VLOOKUP(A72,IRData!$A$3:$E$146,5,FALSE)*Forutsetninger!$C$23</f>
        <v>0</v>
      </c>
      <c r="O72" s="145">
        <f>VLOOKUP(A72,IRData!$A$3:$AG$146,19,FALSE)*Forutsetninger!$C$17</f>
        <v>0</v>
      </c>
      <c r="P72" s="52">
        <f t="shared" si="22"/>
        <v>58259.222953617893</v>
      </c>
      <c r="Q72" s="253">
        <f>ROUND(D72+E72+J72+K72+M72+G72*Forutsetninger!$B$5+N72,0)</f>
        <v>75256</v>
      </c>
      <c r="R72" s="53">
        <f>IFERROR((VLOOKUP(A72,'DEAnorm D-nett'!$A$4:$H$134,8,FALSE)+O72),0)</f>
        <v>67318.145167300507</v>
      </c>
      <c r="S72" s="26">
        <f>IFERROR((VLOOKUP(A72,'DEAnorm R-nett'!$A$4:$H$86,8,FALSE)+N72+K72),N72+K72)</f>
        <v>7544.1298731965508</v>
      </c>
      <c r="T72" s="151">
        <f>IFERROR(VLOOKUP(A72,IRData!$A$3:$AN$146,40,FALSE),0)</f>
        <v>0</v>
      </c>
      <c r="U72" s="54">
        <f>(1-Forutsetninger!$B$3)*Q72+(R72+S72+T72)*Forutsetninger!$B$3</f>
        <v>75019.765024298234</v>
      </c>
      <c r="V72" s="47">
        <f t="shared" si="23"/>
        <v>16760.542070680342</v>
      </c>
      <c r="W72" s="208">
        <f t="shared" si="24"/>
        <v>6.2321035728283798E-2</v>
      </c>
      <c r="X72" s="47">
        <f>(R72+S72+T72)-G72*($K$159+$K$153)/Forutsetninger!$B$3</f>
        <v>87608.980470454946</v>
      </c>
      <c r="Y72" s="278">
        <f>ROUND((1-Forutsetninger!$B$3)*Q72+Forutsetninger!$B$3*X72,0)</f>
        <v>82668</v>
      </c>
      <c r="Z72" s="47">
        <v>82565</v>
      </c>
      <c r="AA72" s="73">
        <f t="shared" si="25"/>
        <v>103</v>
      </c>
      <c r="AB72" s="269">
        <f t="shared" si="26"/>
        <v>1.247501968146309E-3</v>
      </c>
      <c r="AC72" s="66">
        <f t="shared" si="27"/>
        <v>103</v>
      </c>
      <c r="AD72" s="256">
        <f>VLOOKUP(A72,IR2016prnettnivå!$B$2:$K$133,8,FALSE)</f>
        <v>0.98930539574880394</v>
      </c>
      <c r="AE72" s="256">
        <f>VLOOKUP(A72,IR2016prnettnivå!$B$2:$K$133,9,FALSE)</f>
        <v>1.0694604251196027E-2</v>
      </c>
      <c r="AF72" s="256">
        <f>VLOOKUP(A72,IR2016prnettnivå!$B$2:$K$133,10,FALSE)</f>
        <v>0</v>
      </c>
      <c r="AG72" s="277">
        <f t="shared" si="28"/>
        <v>101.8984557621268</v>
      </c>
      <c r="AH72" s="277">
        <f t="shared" si="29"/>
        <v>1.1015442378731908</v>
      </c>
      <c r="AI72" s="277">
        <f t="shared" si="30"/>
        <v>0</v>
      </c>
      <c r="AJ72" s="277">
        <f t="shared" si="31"/>
        <v>1.3043002337552232</v>
      </c>
      <c r="AK72" s="277">
        <f t="shared" si="32"/>
        <v>1.4099766244776844E-2</v>
      </c>
      <c r="AL72" s="277">
        <f t="shared" si="33"/>
        <v>0</v>
      </c>
    </row>
    <row r="73" spans="1:38" x14ac:dyDescent="0.2">
      <c r="A73">
        <v>6592014</v>
      </c>
      <c r="B73" s="1" t="s">
        <v>132</v>
      </c>
      <c r="C73" s="99">
        <f>VLOOKUP(A73,IRData!$A$3:$F$146,6,FALSE)</f>
        <v>28782.912178993225</v>
      </c>
      <c r="D73" s="52">
        <f>C73*Forutsetninger!$C$23</f>
        <v>30280.447943914591</v>
      </c>
      <c r="E73" s="50">
        <f>VLOOKUP($A73,IRData!$A$2:$N$146,7,FALSE)</f>
        <v>12125</v>
      </c>
      <c r="F73" s="50">
        <f>VLOOKUP($A73,IRData!$A$2:$N$146,8,FALSE)</f>
        <v>185420</v>
      </c>
      <c r="G73" s="50">
        <f>VLOOKUP($A73,IRData!$A$2:$N$146,9,FALSE)</f>
        <v>187274.2</v>
      </c>
      <c r="H73" s="50">
        <f>VLOOKUP($A73,IRData!$A$2:$N$146,10,FALSE)</f>
        <v>15218</v>
      </c>
      <c r="I73" s="50">
        <f>VLOOKUP($A73,IRData!$A$2:$N$146,11,FALSE)</f>
        <v>1184</v>
      </c>
      <c r="J73" s="52">
        <f>VLOOKUP(A73,IRData!$A$3:$AF$146,32,FALSE)</f>
        <v>3771.7813130617142</v>
      </c>
      <c r="K73" s="52">
        <f>VLOOKUP(A73,IRData!$A$3:$AM$146,37,FALSE)</f>
        <v>293.45440101623535</v>
      </c>
      <c r="L73" s="145">
        <f>VLOOKUP($A73,IRData!$A$2:$N$146,13,FALSE)</f>
        <v>1303</v>
      </c>
      <c r="M73" s="51">
        <f>L73*Forutsetninger!$C$17</f>
        <v>1378.1913805697588</v>
      </c>
      <c r="N73" s="145">
        <f>VLOOKUP(A73,IRData!$A$3:$E$146,5,FALSE)*Forutsetninger!$C$23</f>
        <v>0</v>
      </c>
      <c r="O73" s="145">
        <f>VLOOKUP(A73,IRData!$A$3:$AG$146,19,FALSE)*Forutsetninger!$C$17</f>
        <v>835.2707214578387</v>
      </c>
      <c r="P73" s="52">
        <f t="shared" si="22"/>
        <v>47848.875038562306</v>
      </c>
      <c r="Q73" s="253">
        <f>ROUND(D73+E73+J73+K73+M73+G73*Forutsetninger!$B$5+N73,0)</f>
        <v>59685</v>
      </c>
      <c r="R73" s="53">
        <f>IFERROR((VLOOKUP(A73,'DEAnorm D-nett'!$A$4:$H$134,8,FALSE)+O73),0)</f>
        <v>57913.581800011692</v>
      </c>
      <c r="S73" s="26">
        <f>IFERROR((VLOOKUP(A73,'DEAnorm R-nett'!$A$4:$H$86,8,FALSE)+N73+K73),N73+K73)</f>
        <v>3113.1817750318787</v>
      </c>
      <c r="T73" s="151">
        <f>IFERROR(VLOOKUP(A73,IRData!$A$3:$AN$146,40,FALSE),0)</f>
        <v>0</v>
      </c>
      <c r="U73" s="54">
        <f>(1-Forutsetninger!$B$3)*Q73+(R73+S73+T73)*Forutsetninger!$B$3</f>
        <v>60490.058145026145</v>
      </c>
      <c r="V73" s="47">
        <f t="shared" si="23"/>
        <v>12641.183106463839</v>
      </c>
      <c r="W73" s="208">
        <f t="shared" si="24"/>
        <v>6.7500932357280594E-2</v>
      </c>
      <c r="X73" s="47">
        <f>(R73+S73+T73)-G73*($K$159+$K$153)/Forutsetninger!$B$3</f>
        <v>69902.870024076881</v>
      </c>
      <c r="Y73" s="278">
        <f>ROUND((1-Forutsetninger!$B$3)*Q73+Forutsetninger!$B$3*X73,0)</f>
        <v>65816</v>
      </c>
      <c r="Z73" s="47">
        <v>65792</v>
      </c>
      <c r="AA73" s="73">
        <f t="shared" si="25"/>
        <v>24</v>
      </c>
      <c r="AB73" s="269">
        <f t="shared" si="26"/>
        <v>3.6478599221789884E-4</v>
      </c>
      <c r="AC73" s="66">
        <f t="shared" si="27"/>
        <v>24</v>
      </c>
      <c r="AD73" s="256">
        <f>VLOOKUP(A73,IR2016prnettnivå!$B$2:$K$133,8,FALSE)</f>
        <v>0.94368616245136183</v>
      </c>
      <c r="AE73" s="256">
        <f>VLOOKUP(A73,IR2016prnettnivå!$B$2:$K$133,9,FALSE)</f>
        <v>5.6313837548638133E-2</v>
      </c>
      <c r="AF73" s="256">
        <f>VLOOKUP(A73,IR2016prnettnivå!$B$2:$K$133,10,FALSE)</f>
        <v>0</v>
      </c>
      <c r="AG73" s="277">
        <f t="shared" si="28"/>
        <v>22.648467898832685</v>
      </c>
      <c r="AH73" s="277">
        <f t="shared" si="29"/>
        <v>1.3515321011673151</v>
      </c>
      <c r="AI73" s="277">
        <f t="shared" si="30"/>
        <v>0</v>
      </c>
      <c r="AJ73" s="277">
        <f t="shared" si="31"/>
        <v>0.28990038910505844</v>
      </c>
      <c r="AK73" s="277">
        <f t="shared" si="32"/>
        <v>1.7299610894941638E-2</v>
      </c>
      <c r="AL73" s="277">
        <f t="shared" si="33"/>
        <v>0</v>
      </c>
    </row>
    <row r="74" spans="1:38" x14ac:dyDescent="0.2">
      <c r="A74">
        <v>7432014</v>
      </c>
      <c r="B74" s="1" t="s">
        <v>96</v>
      </c>
      <c r="C74" s="99">
        <f>VLOOKUP(A74,IRData!$A$3:$F$146,6,FALSE)</f>
        <v>20133.182685852051</v>
      </c>
      <c r="D74" s="52">
        <f>C74*Forutsetninger!$C$23</f>
        <v>21180.684792180393</v>
      </c>
      <c r="E74" s="50">
        <f>VLOOKUP($A74,IRData!$A$2:$N$146,7,FALSE)</f>
        <v>5941</v>
      </c>
      <c r="F74" s="50">
        <f>VLOOKUP($A74,IRData!$A$2:$N$146,8,FALSE)</f>
        <v>69543</v>
      </c>
      <c r="G74" s="50">
        <f>VLOOKUP($A74,IRData!$A$2:$N$146,9,FALSE)</f>
        <v>70238.430000000008</v>
      </c>
      <c r="H74" s="50">
        <f>VLOOKUP($A74,IRData!$A$2:$N$146,10,FALSE)</f>
        <v>311</v>
      </c>
      <c r="I74" s="50">
        <f>VLOOKUP($A74,IRData!$A$2:$N$146,11,FALSE)</f>
        <v>7469</v>
      </c>
      <c r="J74" s="52">
        <f>VLOOKUP(A74,IRData!$A$3:$AF$146,32,FALSE)</f>
        <v>76.023950904607773</v>
      </c>
      <c r="K74" s="52">
        <f>VLOOKUP(A74,IRData!$A$3:$AM$146,37,FALSE)</f>
        <v>1825.7970717251301</v>
      </c>
      <c r="L74" s="145">
        <f>VLOOKUP($A74,IRData!$A$2:$N$146,13,FALSE)</f>
        <v>570</v>
      </c>
      <c r="M74" s="51">
        <f>L74*Forutsetninger!$C$17</f>
        <v>602.89262235208184</v>
      </c>
      <c r="N74" s="145">
        <f>VLOOKUP(A74,IRData!$A$3:$E$146,5,FALSE)*Forutsetninger!$C$23</f>
        <v>0</v>
      </c>
      <c r="O74" s="145">
        <f>VLOOKUP(A74,IRData!$A$3:$AG$146,19,FALSE)*Forutsetninger!$C$17</f>
        <v>0</v>
      </c>
      <c r="P74" s="52">
        <f t="shared" si="22"/>
        <v>29626.398437162214</v>
      </c>
      <c r="Q74" s="253">
        <f>ROUND(D74+E74+J74+K74+M74+G74*Forutsetninger!$B$5+N74,0)</f>
        <v>34065</v>
      </c>
      <c r="R74" s="53">
        <f>IFERROR((VLOOKUP(A74,'DEAnorm D-nett'!$A$4:$H$134,8,FALSE)+O74),0)</f>
        <v>21078.834670719501</v>
      </c>
      <c r="S74" s="26">
        <f>IFERROR((VLOOKUP(A74,'DEAnorm R-nett'!$A$4:$H$86,8,FALSE)+N74+K74),N74+K74)</f>
        <v>11909.571701225699</v>
      </c>
      <c r="T74" s="151">
        <f>IFERROR(VLOOKUP(A74,IRData!$A$3:$AN$146,40,FALSE),0)</f>
        <v>0</v>
      </c>
      <c r="U74" s="54">
        <f>(1-Forutsetninger!$B$3)*Q74+(R74+S74+T74)*Forutsetninger!$B$3</f>
        <v>33419.043823167121</v>
      </c>
      <c r="V74" s="47">
        <f t="shared" si="23"/>
        <v>3792.6453860049078</v>
      </c>
      <c r="W74" s="208">
        <f t="shared" si="24"/>
        <v>5.3996727802784139E-2</v>
      </c>
      <c r="X74" s="47">
        <f>(R74+S74+T74)-G74*($K$159+$K$153)/Forutsetninger!$B$3</f>
        <v>36317.448928223508</v>
      </c>
      <c r="Y74" s="278">
        <f>ROUND((1-Forutsetninger!$B$3)*Q74+Forutsetninger!$B$3*X74,0)</f>
        <v>35416</v>
      </c>
      <c r="Z74" s="47">
        <v>35824</v>
      </c>
      <c r="AA74" s="73">
        <f t="shared" si="25"/>
        <v>-408</v>
      </c>
      <c r="AB74" s="269">
        <f t="shared" si="26"/>
        <v>-1.1389012952210809E-2</v>
      </c>
      <c r="AC74" s="66">
        <f t="shared" si="27"/>
        <v>0</v>
      </c>
      <c r="AD74" s="256">
        <f>VLOOKUP(A74,IR2016prnettnivå!$B$2:$K$133,8,FALSE)</f>
        <v>0.58379857079053143</v>
      </c>
      <c r="AE74" s="256">
        <f>VLOOKUP(A74,IR2016prnettnivå!$B$2:$K$133,9,FALSE)</f>
        <v>0.41620142920946851</v>
      </c>
      <c r="AF74" s="256">
        <f>VLOOKUP(A74,IR2016prnettnivå!$B$2:$K$133,10,FALSE)</f>
        <v>0</v>
      </c>
      <c r="AG74" s="277">
        <f t="shared" si="28"/>
        <v>0</v>
      </c>
      <c r="AH74" s="277">
        <f t="shared" si="29"/>
        <v>0</v>
      </c>
      <c r="AI74" s="277">
        <f t="shared" si="30"/>
        <v>0</v>
      </c>
      <c r="AJ74" s="277">
        <f t="shared" si="31"/>
        <v>0</v>
      </c>
      <c r="AK74" s="277">
        <f t="shared" si="32"/>
        <v>0</v>
      </c>
      <c r="AL74" s="277">
        <f t="shared" si="33"/>
        <v>0</v>
      </c>
    </row>
    <row r="75" spans="1:38" x14ac:dyDescent="0.2">
      <c r="A75">
        <v>1212014</v>
      </c>
      <c r="B75" s="1" t="s">
        <v>219</v>
      </c>
      <c r="C75" s="99">
        <f>VLOOKUP(A75,IRData!$A$3:$F$146,6,FALSE)</f>
        <v>1302.7355499267578</v>
      </c>
      <c r="D75" s="52">
        <f>C75*Forutsetninger!$C$23</f>
        <v>1370.5151083716344</v>
      </c>
      <c r="E75" s="50">
        <f>VLOOKUP($A75,IRData!$A$2:$N$146,7,FALSE)</f>
        <v>739</v>
      </c>
      <c r="F75" s="50">
        <f>VLOOKUP($A75,IRData!$A$2:$N$146,8,FALSE)</f>
        <v>11601</v>
      </c>
      <c r="G75" s="50">
        <f>VLOOKUP($A75,IRData!$A$2:$N$146,9,FALSE)</f>
        <v>11717.01</v>
      </c>
      <c r="H75" s="50">
        <f>VLOOKUP($A75,IRData!$A$2:$N$146,10,FALSE)</f>
        <v>1110</v>
      </c>
      <c r="I75" s="50">
        <f>VLOOKUP($A75,IRData!$A$2:$N$146,11,FALSE)</f>
        <v>0</v>
      </c>
      <c r="J75" s="52">
        <f>VLOOKUP(A75,IRData!$A$3:$AF$146,32,FALSE)</f>
        <v>273.82590562105179</v>
      </c>
      <c r="K75" s="52">
        <f>VLOOKUP(A75,IRData!$A$3:$AM$146,37,FALSE)</f>
        <v>0</v>
      </c>
      <c r="L75" s="145">
        <f>VLOOKUP($A75,IRData!$A$2:$N$146,13,FALSE)</f>
        <v>103</v>
      </c>
      <c r="M75" s="51">
        <f>L75*Forutsetninger!$C$17</f>
        <v>108.94375456537618</v>
      </c>
      <c r="N75" s="145">
        <f>VLOOKUP(A75,IRData!$A$3:$E$146,5,FALSE)*Forutsetninger!$C$23</f>
        <v>0</v>
      </c>
      <c r="O75" s="145">
        <f>VLOOKUP(A75,IRData!$A$3:$AG$146,19,FALSE)*Forutsetninger!$C$17</f>
        <v>0</v>
      </c>
      <c r="P75" s="52">
        <f t="shared" si="22"/>
        <v>2492.2847685580628</v>
      </c>
      <c r="Q75" s="253">
        <f>ROUND(D75+E75+J75+K75+M75+G75*Forutsetninger!$B$5+N75,0)</f>
        <v>3233</v>
      </c>
      <c r="R75" s="53">
        <f>IFERROR((VLOOKUP(A75,'DEAnorm D-nett'!$A$4:$H$134,8,FALSE)+O75),0)</f>
        <v>3253.6473044599011</v>
      </c>
      <c r="S75" s="26">
        <f>IFERROR((VLOOKUP(A75,'DEAnorm R-nett'!$A$4:$H$86,8,FALSE)+N75+K75),N75+K75)</f>
        <v>0</v>
      </c>
      <c r="T75" s="151">
        <f>IFERROR(VLOOKUP(A75,IRData!$A$3:$AN$146,40,FALSE),0)</f>
        <v>0</v>
      </c>
      <c r="U75" s="54">
        <f>(1-Forutsetninger!$B$3)*Q75+(R75+S75+T75)*Forutsetninger!$B$3</f>
        <v>3245.3883826759406</v>
      </c>
      <c r="V75" s="47">
        <f t="shared" si="23"/>
        <v>753.1036141178779</v>
      </c>
      <c r="W75" s="208">
        <f t="shared" si="24"/>
        <v>6.4274385198773223E-2</v>
      </c>
      <c r="X75" s="47">
        <f>(R75+S75+T75)-G75*($K$159+$K$153)/Forutsetninger!$B$3</f>
        <v>3808.9903683970997</v>
      </c>
      <c r="Y75" s="278">
        <f>ROUND((1-Forutsetninger!$B$3)*Q75+Forutsetninger!$B$3*X75,0)</f>
        <v>3579</v>
      </c>
      <c r="Z75" s="47">
        <v>3580</v>
      </c>
      <c r="AA75" s="73">
        <f t="shared" si="25"/>
        <v>-1</v>
      </c>
      <c r="AB75" s="269">
        <f t="shared" si="26"/>
        <v>-2.7932960893854746E-4</v>
      </c>
      <c r="AC75" s="66">
        <f t="shared" si="27"/>
        <v>0</v>
      </c>
      <c r="AD75" s="256">
        <f>VLOOKUP(A75,IR2016prnettnivå!$B$2:$K$133,8,FALSE)</f>
        <v>1</v>
      </c>
      <c r="AE75" s="256">
        <f>VLOOKUP(A75,IR2016prnettnivå!$B$2:$K$133,9,FALSE)</f>
        <v>0</v>
      </c>
      <c r="AF75" s="256">
        <f>VLOOKUP(A75,IR2016prnettnivå!$B$2:$K$133,10,FALSE)</f>
        <v>0</v>
      </c>
      <c r="AG75" s="277">
        <f t="shared" si="28"/>
        <v>0</v>
      </c>
      <c r="AH75" s="277">
        <f t="shared" si="29"/>
        <v>0</v>
      </c>
      <c r="AI75" s="277">
        <f t="shared" si="30"/>
        <v>0</v>
      </c>
      <c r="AJ75" s="277">
        <f t="shared" si="31"/>
        <v>0</v>
      </c>
      <c r="AK75" s="277">
        <f t="shared" si="32"/>
        <v>0</v>
      </c>
      <c r="AL75" s="277">
        <f t="shared" si="33"/>
        <v>0</v>
      </c>
    </row>
    <row r="76" spans="1:38" x14ac:dyDescent="0.2">
      <c r="A76">
        <v>4602014</v>
      </c>
      <c r="B76" s="1" t="s">
        <v>276</v>
      </c>
      <c r="C76" s="99">
        <f>VLOOKUP(A76,IRData!$A$3:$F$146,6,FALSE)</f>
        <v>206741.3134765625</v>
      </c>
      <c r="D76" s="52">
        <f>C76*Forutsetninger!$C$23</f>
        <v>217497.78276961515</v>
      </c>
      <c r="E76" s="50">
        <f>VLOOKUP($A76,IRData!$A$2:$N$146,7,FALSE)</f>
        <v>97622</v>
      </c>
      <c r="F76" s="50">
        <f>VLOOKUP($A76,IRData!$A$2:$N$146,8,FALSE)</f>
        <v>1487936</v>
      </c>
      <c r="G76" s="50">
        <f>VLOOKUP($A76,IRData!$A$2:$N$146,9,FALSE)</f>
        <v>1502815.3599999999</v>
      </c>
      <c r="H76" s="50">
        <f>VLOOKUP($A76,IRData!$A$2:$N$146,10,FALSE)</f>
        <v>79885</v>
      </c>
      <c r="I76" s="50">
        <f>VLOOKUP($A76,IRData!$A$2:$N$146,11,FALSE)</f>
        <v>51467</v>
      </c>
      <c r="J76" s="52">
        <f>VLOOKUP(A76,IRData!$A$3:$AF$146,32,FALSE)</f>
        <v>22096.191259026527</v>
      </c>
      <c r="K76" s="52">
        <f>VLOOKUP(A76,IRData!$A$3:$AM$146,37,FALSE)</f>
        <v>14235.772366881371</v>
      </c>
      <c r="L76" s="145">
        <f>VLOOKUP($A76,IRData!$A$2:$N$146,13,FALSE)</f>
        <v>14454</v>
      </c>
      <c r="M76" s="51">
        <f>L76*Forutsetninger!$C$17</f>
        <v>15288.087655222791</v>
      </c>
      <c r="N76" s="145">
        <f>VLOOKUP(A76,IRData!$A$3:$E$146,5,FALSE)*Forutsetninger!$C$23</f>
        <v>772.18902147971357</v>
      </c>
      <c r="O76" s="145">
        <f>VLOOKUP(A76,IRData!$A$3:$AG$146,19,FALSE)*Forutsetninger!$C$17</f>
        <v>0</v>
      </c>
      <c r="P76" s="52">
        <f t="shared" si="22"/>
        <v>367512.02307222557</v>
      </c>
      <c r="Q76" s="253">
        <f>ROUND(D76+E76+J76+K76+M76+G76*Forutsetninger!$B$5+N76,0)</f>
        <v>462490</v>
      </c>
      <c r="R76" s="53">
        <f>IFERROR((VLOOKUP(A76,'DEAnorm D-nett'!$A$4:$H$134,8,FALSE)+O76),0)</f>
        <v>285609.71171613241</v>
      </c>
      <c r="S76" s="26">
        <f>IFERROR((VLOOKUP(A76,'DEAnorm R-nett'!$A$4:$H$86,8,FALSE)+N76+K76),N76+K76)</f>
        <v>134149.23428458598</v>
      </c>
      <c r="T76" s="151">
        <f>IFERROR(VLOOKUP(A76,IRData!$A$3:$AN$146,40,FALSE),0)</f>
        <v>2814.107063550865</v>
      </c>
      <c r="U76" s="54">
        <f>(1-Forutsetninger!$B$3)*Q76+(R76+S76+T76)*Forutsetninger!$B$3</f>
        <v>438539.83183856157</v>
      </c>
      <c r="V76" s="47">
        <f t="shared" si="23"/>
        <v>71027.808766336006</v>
      </c>
      <c r="W76" s="208">
        <f t="shared" si="24"/>
        <v>4.7263163963360083E-2</v>
      </c>
      <c r="X76" s="47">
        <f>(R76+S76+T76)-G76*($K$159+$K$153)/Forutsetninger!$B$3</f>
        <v>493800.95903638023</v>
      </c>
      <c r="Y76" s="278">
        <f>ROUND((1-Forutsetninger!$B$3)*Q76+Forutsetninger!$B$3*X76,0)</f>
        <v>481277</v>
      </c>
      <c r="Z76" s="47">
        <v>483953</v>
      </c>
      <c r="AA76" s="73">
        <f t="shared" si="25"/>
        <v>-2676</v>
      </c>
      <c r="AB76" s="269">
        <f t="shared" si="26"/>
        <v>-5.5294625717786641E-3</v>
      </c>
      <c r="AC76" s="66">
        <f t="shared" si="27"/>
        <v>0</v>
      </c>
      <c r="AD76" s="256">
        <f>VLOOKUP(A76,IR2016prnettnivå!$B$2:$K$133,8,FALSE)</f>
        <v>0.67920025291712216</v>
      </c>
      <c r="AE76" s="256">
        <f>VLOOKUP(A76,IR2016prnettnivå!$B$2:$K$133,9,FALSE)</f>
        <v>0.31460079801137714</v>
      </c>
      <c r="AF76" s="256">
        <f>VLOOKUP(A76,IR2016prnettnivå!$B$2:$K$133,10,FALSE)</f>
        <v>6.198949071500745E-3</v>
      </c>
      <c r="AG76" s="277">
        <f t="shared" si="28"/>
        <v>0</v>
      </c>
      <c r="AH76" s="277">
        <f t="shared" si="29"/>
        <v>0</v>
      </c>
      <c r="AI76" s="277">
        <f t="shared" si="30"/>
        <v>0</v>
      </c>
      <c r="AJ76" s="277">
        <f t="shared" si="31"/>
        <v>0</v>
      </c>
      <c r="AK76" s="277">
        <f t="shared" si="32"/>
        <v>0</v>
      </c>
      <c r="AL76" s="277">
        <f t="shared" si="33"/>
        <v>0</v>
      </c>
    </row>
    <row r="77" spans="1:38" x14ac:dyDescent="0.2">
      <c r="A77">
        <v>6372014</v>
      </c>
      <c r="B77" s="1" t="s">
        <v>376</v>
      </c>
      <c r="C77" s="99">
        <f>VLOOKUP(A77,IRData!$A$3:$F$146,6,FALSE)</f>
        <v>49216.621704101563</v>
      </c>
      <c r="D77" s="52">
        <f>C77*Forutsetninger!$C$23</f>
        <v>51777.295577966514</v>
      </c>
      <c r="E77" s="50">
        <f>VLOOKUP($A77,IRData!$A$2:$N$146,7,FALSE)</f>
        <v>14973</v>
      </c>
      <c r="F77" s="50">
        <f>VLOOKUP($A77,IRData!$A$2:$N$146,8,FALSE)</f>
        <v>203771</v>
      </c>
      <c r="G77" s="50">
        <f>VLOOKUP($A77,IRData!$A$2:$N$146,9,FALSE)</f>
        <v>205808.71000000002</v>
      </c>
      <c r="H77" s="50">
        <f>VLOOKUP($A77,IRData!$A$2:$N$146,10,FALSE)</f>
        <v>25564</v>
      </c>
      <c r="I77" s="50">
        <f>VLOOKUP($A77,IRData!$A$2:$N$146,11,FALSE)</f>
        <v>5213</v>
      </c>
      <c r="J77" s="52">
        <f>VLOOKUP(A77,IRData!$A$3:$AF$146,32,FALSE)</f>
        <v>6249.1198743581772</v>
      </c>
      <c r="K77" s="52">
        <f>VLOOKUP(A77,IRData!$A$3:$AM$146,37,FALSE)</f>
        <v>1274.3178651630878</v>
      </c>
      <c r="L77" s="145">
        <f>VLOOKUP($A77,IRData!$A$2:$N$146,13,FALSE)</f>
        <v>4107</v>
      </c>
      <c r="M77" s="51">
        <f>L77*Forutsetninger!$C$17</f>
        <v>4344</v>
      </c>
      <c r="N77" s="145">
        <f>VLOOKUP(A77,IRData!$A$3:$E$146,5,FALSE)*Forutsetninger!$C$23</f>
        <v>0</v>
      </c>
      <c r="O77" s="145">
        <f>VLOOKUP(A77,IRData!$A$3:$AG$146,19,FALSE)*Forutsetninger!$C$17</f>
        <v>0</v>
      </c>
      <c r="P77" s="52">
        <f t="shared" si="22"/>
        <v>78617.733317487786</v>
      </c>
      <c r="Q77" s="253">
        <f>ROUND(D77+E77+J77+K77+M77+G77*Forutsetninger!$B$5+N77,0)</f>
        <v>91625</v>
      </c>
      <c r="R77" s="53">
        <f>IFERROR((VLOOKUP(A77,'DEAnorm D-nett'!$A$4:$H$134,8,FALSE)+O77),0)</f>
        <v>48763.91524154682</v>
      </c>
      <c r="S77" s="26">
        <f>IFERROR((VLOOKUP(A77,'DEAnorm R-nett'!$A$4:$H$86,8,FALSE)+N77+K77),N77+K77)</f>
        <v>15111.362206404494</v>
      </c>
      <c r="T77" s="151">
        <f>IFERROR(VLOOKUP(A77,IRData!$A$3:$AN$146,40,FALSE),0)</f>
        <v>0</v>
      </c>
      <c r="U77" s="54">
        <f>(1-Forutsetninger!$B$3)*Q77+(R77+S77+T77)*Forutsetninger!$B$3</f>
        <v>74975.166468770796</v>
      </c>
      <c r="V77" s="47">
        <f t="shared" si="23"/>
        <v>-3642.5668487169896</v>
      </c>
      <c r="W77" s="208">
        <f t="shared" si="24"/>
        <v>-1.7698798309930562E-2</v>
      </c>
      <c r="X77" s="47">
        <f>(R77+S77+T77)-G77*($K$159+$K$153)/Forutsetninger!$B$3</f>
        <v>73629.851319302659</v>
      </c>
      <c r="Y77" s="278">
        <f>ROUND((1-Forutsetninger!$B$3)*Q77+Forutsetninger!$B$3*X77,0)</f>
        <v>80828</v>
      </c>
      <c r="Z77" s="47">
        <v>81260</v>
      </c>
      <c r="AA77" s="73">
        <f t="shared" si="25"/>
        <v>-432</v>
      </c>
      <c r="AB77" s="269">
        <f t="shared" si="26"/>
        <v>-5.3162687669209945E-3</v>
      </c>
      <c r="AC77" s="66">
        <f t="shared" si="27"/>
        <v>0</v>
      </c>
      <c r="AD77" s="256">
        <f>VLOOKUP(A77,IR2016prnettnivå!$B$2:$K$133,8,FALSE)</f>
        <v>0.71000492247108049</v>
      </c>
      <c r="AE77" s="256">
        <f>VLOOKUP(A77,IR2016prnettnivå!$B$2:$K$133,9,FALSE)</f>
        <v>0.28999507752891951</v>
      </c>
      <c r="AF77" s="256">
        <f>VLOOKUP(A77,IR2016prnettnivå!$B$2:$K$133,10,FALSE)</f>
        <v>0</v>
      </c>
      <c r="AG77" s="277">
        <f t="shared" si="28"/>
        <v>0</v>
      </c>
      <c r="AH77" s="277">
        <f t="shared" si="29"/>
        <v>0</v>
      </c>
      <c r="AI77" s="277">
        <f t="shared" si="30"/>
        <v>0</v>
      </c>
      <c r="AJ77" s="277">
        <f t="shared" si="31"/>
        <v>0</v>
      </c>
      <c r="AK77" s="277">
        <f t="shared" si="32"/>
        <v>0</v>
      </c>
      <c r="AL77" s="277">
        <f t="shared" si="33"/>
        <v>0</v>
      </c>
    </row>
    <row r="78" spans="1:38" x14ac:dyDescent="0.2">
      <c r="A78">
        <v>5932014</v>
      </c>
      <c r="B78" s="1" t="s">
        <v>124</v>
      </c>
      <c r="C78" s="99">
        <f>VLOOKUP(A78,IRData!$A$3:$F$146,6,FALSE)</f>
        <v>13750.281555175781</v>
      </c>
      <c r="D78" s="52">
        <f>C78*Forutsetninger!$C$23</f>
        <v>14465.689998857957</v>
      </c>
      <c r="E78" s="50">
        <f>VLOOKUP($A78,IRData!$A$2:$N$146,7,FALSE)</f>
        <v>2918</v>
      </c>
      <c r="F78" s="50">
        <f>VLOOKUP($A78,IRData!$A$2:$N$146,8,FALSE)</f>
        <v>28446</v>
      </c>
      <c r="G78" s="50">
        <f>VLOOKUP($A78,IRData!$A$2:$N$146,9,FALSE)</f>
        <v>28730.46</v>
      </c>
      <c r="H78" s="50">
        <f>VLOOKUP($A78,IRData!$A$2:$N$146,10,FALSE)</f>
        <v>4035</v>
      </c>
      <c r="I78" s="50">
        <f>VLOOKUP($A78,IRData!$A$2:$N$146,11,FALSE)</f>
        <v>0</v>
      </c>
      <c r="J78" s="52">
        <f>VLOOKUP(A78,IRData!$A$3:$AF$146,32,FALSE)</f>
        <v>1116.0810130834579</v>
      </c>
      <c r="K78" s="52">
        <f>VLOOKUP(A78,IRData!$A$3:$AM$146,37,FALSE)</f>
        <v>0</v>
      </c>
      <c r="L78" s="145">
        <f>VLOOKUP($A78,IRData!$A$2:$N$146,13,FALSE)</f>
        <v>156</v>
      </c>
      <c r="M78" s="51">
        <f>L78*Forutsetninger!$C$17</f>
        <v>165.00219138056977</v>
      </c>
      <c r="N78" s="145">
        <f>VLOOKUP(A78,IRData!$A$3:$E$146,5,FALSE)*Forutsetninger!$C$23</f>
        <v>0</v>
      </c>
      <c r="O78" s="145">
        <f>VLOOKUP(A78,IRData!$A$3:$AG$146,19,FALSE)*Forutsetninger!$C$17</f>
        <v>0</v>
      </c>
      <c r="P78" s="52">
        <f t="shared" si="22"/>
        <v>18664.773203321984</v>
      </c>
      <c r="Q78" s="253">
        <f>ROUND(D78+E78+J78+K78+M78+G78*Forutsetninger!$B$5+N78,0)</f>
        <v>20481</v>
      </c>
      <c r="R78" s="53">
        <f>IFERROR((VLOOKUP(A78,'DEAnorm D-nett'!$A$4:$H$134,8,FALSE)+O78),0)</f>
        <v>17573.589255312552</v>
      </c>
      <c r="S78" s="26">
        <f>IFERROR((VLOOKUP(A78,'DEAnorm R-nett'!$A$4:$H$86,8,FALSE)+N78+K78),N78+K78)</f>
        <v>0</v>
      </c>
      <c r="T78" s="151">
        <f>IFERROR(VLOOKUP(A78,IRData!$A$3:$AN$146,40,FALSE),0)</f>
        <v>0</v>
      </c>
      <c r="U78" s="54">
        <f>(1-Forutsetninger!$B$3)*Q78+(R78+S78+T78)*Forutsetninger!$B$3</f>
        <v>18736.553553187528</v>
      </c>
      <c r="V78" s="47">
        <f t="shared" si="23"/>
        <v>71.780349865544849</v>
      </c>
      <c r="W78" s="208">
        <f t="shared" si="24"/>
        <v>2.4984058683900239E-3</v>
      </c>
      <c r="X78" s="47">
        <f>(R78+S78+T78)-G78*($K$159+$K$153)/Forutsetninger!$B$3</f>
        <v>18935.307106942375</v>
      </c>
      <c r="Y78" s="278">
        <f>ROUND((1-Forutsetninger!$B$3)*Q78+Forutsetninger!$B$3*X78,0)</f>
        <v>19554</v>
      </c>
      <c r="Z78" s="47">
        <v>19563</v>
      </c>
      <c r="AA78" s="73">
        <f t="shared" si="25"/>
        <v>-9</v>
      </c>
      <c r="AB78" s="269">
        <f t="shared" si="26"/>
        <v>-4.6005213924244745E-4</v>
      </c>
      <c r="AC78" s="66">
        <f t="shared" si="27"/>
        <v>0</v>
      </c>
      <c r="AD78" s="256">
        <f>VLOOKUP(A78,IR2016prnettnivå!$B$2:$K$133,8,FALSE)</f>
        <v>1</v>
      </c>
      <c r="AE78" s="256">
        <f>VLOOKUP(A78,IR2016prnettnivå!$B$2:$K$133,9,FALSE)</f>
        <v>0</v>
      </c>
      <c r="AF78" s="256">
        <f>VLOOKUP(A78,IR2016prnettnivå!$B$2:$K$133,10,FALSE)</f>
        <v>0</v>
      </c>
      <c r="AG78" s="277">
        <f t="shared" si="28"/>
        <v>0</v>
      </c>
      <c r="AH78" s="277">
        <f t="shared" si="29"/>
        <v>0</v>
      </c>
      <c r="AI78" s="277">
        <f t="shared" si="30"/>
        <v>0</v>
      </c>
      <c r="AJ78" s="277">
        <f t="shared" si="31"/>
        <v>0</v>
      </c>
      <c r="AK78" s="277">
        <f t="shared" si="32"/>
        <v>0</v>
      </c>
      <c r="AL78" s="277">
        <f t="shared" si="33"/>
        <v>0</v>
      </c>
    </row>
    <row r="79" spans="1:38" x14ac:dyDescent="0.2">
      <c r="A79">
        <v>1382014</v>
      </c>
      <c r="B79" s="1" t="s">
        <v>270</v>
      </c>
      <c r="C79" s="99">
        <f>VLOOKUP(A79,IRData!$A$3:$F$146,6,FALSE)</f>
        <v>15883.343658447266</v>
      </c>
      <c r="D79" s="52">
        <f>C79*Forutsetninger!$C$23</f>
        <v>16709.732421583663</v>
      </c>
      <c r="E79" s="50">
        <f>VLOOKUP($A79,IRData!$A$2:$N$146,7,FALSE)</f>
        <v>3421</v>
      </c>
      <c r="F79" s="50">
        <f>VLOOKUP($A79,IRData!$A$2:$N$146,8,FALSE)</f>
        <v>45281</v>
      </c>
      <c r="G79" s="50">
        <f>VLOOKUP($A79,IRData!$A$2:$N$146,9,FALSE)</f>
        <v>45733.81</v>
      </c>
      <c r="H79" s="50">
        <f>VLOOKUP($A79,IRData!$A$2:$N$146,10,FALSE)</f>
        <v>5700</v>
      </c>
      <c r="I79" s="50">
        <f>VLOOKUP($A79,IRData!$A$2:$N$146,11,FALSE)</f>
        <v>9457</v>
      </c>
      <c r="J79" s="52">
        <f>VLOOKUP(A79,IRData!$A$3:$AF$146,32,FALSE)</f>
        <v>1393.365016579628</v>
      </c>
      <c r="K79" s="52">
        <f>VLOOKUP(A79,IRData!$A$3:$AM$146,37,FALSE)</f>
        <v>2311.7636775076389</v>
      </c>
      <c r="L79" s="145">
        <f>VLOOKUP($A79,IRData!$A$2:$N$146,13,FALSE)</f>
        <v>1278</v>
      </c>
      <c r="M79" s="51">
        <f>L79*Forutsetninger!$C$17</f>
        <v>1351.7487216946677</v>
      </c>
      <c r="N79" s="145">
        <f>VLOOKUP(A79,IRData!$A$3:$E$146,5,FALSE)*Forutsetninger!$C$23</f>
        <v>0</v>
      </c>
      <c r="O79" s="145">
        <f>VLOOKUP(A79,IRData!$A$3:$AG$146,19,FALSE)*Forutsetninger!$C$17</f>
        <v>0</v>
      </c>
      <c r="P79" s="52">
        <f t="shared" si="22"/>
        <v>25187.609837365599</v>
      </c>
      <c r="Q79" s="253">
        <f>ROUND(D79+E79+J79+K79+M79+G79*Forutsetninger!$B$5+N79,0)</f>
        <v>28078</v>
      </c>
      <c r="R79" s="53">
        <f>IFERROR((VLOOKUP(A79,'DEAnorm D-nett'!$A$4:$H$134,8,FALSE)+O79),0)</f>
        <v>17005.2514486174</v>
      </c>
      <c r="S79" s="26">
        <f>IFERROR((VLOOKUP(A79,'DEAnorm R-nett'!$A$4:$H$86,8,FALSE)+N79+K79),N79+K79)</f>
        <v>8556.4709430725816</v>
      </c>
      <c r="T79" s="151">
        <f>IFERROR(VLOOKUP(A79,IRData!$A$3:$AN$146,40,FALSE),0)</f>
        <v>0</v>
      </c>
      <c r="U79" s="54">
        <f>(1-Forutsetninger!$B$3)*Q79+(R79+S79+T79)*Forutsetninger!$B$3</f>
        <v>26568.23343501399</v>
      </c>
      <c r="V79" s="47">
        <f t="shared" si="23"/>
        <v>1380.6235976483913</v>
      </c>
      <c r="W79" s="208">
        <f t="shared" si="24"/>
        <v>3.0188247986520068E-2</v>
      </c>
      <c r="X79" s="47">
        <f>(R79+S79+T79)-G79*($K$159+$K$153)/Forutsetninger!$B$3</f>
        <v>27729.336328259269</v>
      </c>
      <c r="Y79" s="278">
        <f>ROUND((1-Forutsetninger!$B$3)*Q79+Forutsetninger!$B$3*X79,0)</f>
        <v>27869</v>
      </c>
      <c r="Z79" s="47">
        <v>27963</v>
      </c>
      <c r="AA79" s="73">
        <f t="shared" si="25"/>
        <v>-94</v>
      </c>
      <c r="AB79" s="269">
        <f t="shared" si="26"/>
        <v>-3.3615849515431107E-3</v>
      </c>
      <c r="AC79" s="66">
        <f t="shared" si="27"/>
        <v>0</v>
      </c>
      <c r="AD79" s="256">
        <f>VLOOKUP(A79,IR2016prnettnivå!$B$2:$K$133,8,FALSE)</f>
        <v>0.70053284697636165</v>
      </c>
      <c r="AE79" s="256">
        <f>VLOOKUP(A79,IR2016prnettnivå!$B$2:$K$133,9,FALSE)</f>
        <v>0.29946715302363835</v>
      </c>
      <c r="AF79" s="256">
        <f>VLOOKUP(A79,IR2016prnettnivå!$B$2:$K$133,10,FALSE)</f>
        <v>0</v>
      </c>
      <c r="AG79" s="277">
        <f t="shared" si="28"/>
        <v>0</v>
      </c>
      <c r="AH79" s="277">
        <f t="shared" si="29"/>
        <v>0</v>
      </c>
      <c r="AI79" s="277">
        <f t="shared" si="30"/>
        <v>0</v>
      </c>
      <c r="AJ79" s="277">
        <f t="shared" si="31"/>
        <v>0</v>
      </c>
      <c r="AK79" s="277">
        <f t="shared" si="32"/>
        <v>0</v>
      </c>
      <c r="AL79" s="277">
        <f t="shared" si="33"/>
        <v>0</v>
      </c>
    </row>
    <row r="80" spans="1:38" x14ac:dyDescent="0.2">
      <c r="A80">
        <v>7262014</v>
      </c>
      <c r="B80" s="1" t="s">
        <v>78</v>
      </c>
      <c r="C80" s="99">
        <f>VLOOKUP(A80,IRData!$A$3:$F$146,6,FALSE)</f>
        <v>106969.79479980469</v>
      </c>
      <c r="D80" s="52">
        <f>C80*Forutsetninger!$C$23</f>
        <v>112535.28770346995</v>
      </c>
      <c r="E80" s="50">
        <f>VLOOKUP($A80,IRData!$A$2:$N$146,7,FALSE)</f>
        <v>44397</v>
      </c>
      <c r="F80" s="50">
        <f>VLOOKUP($A80,IRData!$A$2:$N$146,8,FALSE)</f>
        <v>671398</v>
      </c>
      <c r="G80" s="50">
        <f>VLOOKUP($A80,IRData!$A$2:$N$146,9,FALSE)</f>
        <v>678111.98</v>
      </c>
      <c r="H80" s="50">
        <f>VLOOKUP($A80,IRData!$A$2:$N$146,10,FALSE)</f>
        <v>49724</v>
      </c>
      <c r="I80" s="50">
        <f>VLOOKUP($A80,IRData!$A$2:$N$146,11,FALSE)</f>
        <v>45335</v>
      </c>
      <c r="J80" s="52">
        <f>VLOOKUP(A80,IRData!$A$3:$AF$146,32,FALSE)</f>
        <v>12155.03194463253</v>
      </c>
      <c r="K80" s="52">
        <f>VLOOKUP(A80,IRData!$A$3:$AM$146,37,FALSE)</f>
        <v>11082.140881866217</v>
      </c>
      <c r="L80" s="145">
        <f>VLOOKUP($A80,IRData!$A$2:$N$146,13,FALSE)</f>
        <v>8628</v>
      </c>
      <c r="M80" s="51">
        <f>L80*Forutsetninger!$C$17</f>
        <v>9125.8904309715126</v>
      </c>
      <c r="N80" s="145">
        <f>VLOOKUP(A80,IRData!$A$3:$E$146,5,FALSE)*Forutsetninger!$C$23</f>
        <v>985.75083532219571</v>
      </c>
      <c r="O80" s="145">
        <f>VLOOKUP(A80,IRData!$A$3:$AG$146,19,FALSE)*Forutsetninger!$C$17</f>
        <v>0</v>
      </c>
      <c r="P80" s="52">
        <f t="shared" si="22"/>
        <v>190281.1017962624</v>
      </c>
      <c r="Q80" s="253">
        <f>ROUND(D80+E80+J80+K80+M80+G80*Forutsetninger!$B$5+N80,0)</f>
        <v>233138</v>
      </c>
      <c r="R80" s="53">
        <f>IFERROR((VLOOKUP(A80,'DEAnorm D-nett'!$A$4:$H$134,8,FALSE)+O80),0)</f>
        <v>156922.51156823186</v>
      </c>
      <c r="S80" s="26">
        <f>IFERROR((VLOOKUP(A80,'DEAnorm R-nett'!$A$4:$H$86,8,FALSE)+N80+K80),N80+K80)</f>
        <v>78905.083927065934</v>
      </c>
      <c r="T80" s="151">
        <f>IFERROR(VLOOKUP(A80,IRData!$A$3:$AN$146,40,FALSE),0)</f>
        <v>0</v>
      </c>
      <c r="U80" s="54">
        <f>(1-Forutsetninger!$B$3)*Q80+(R80+S80+T80)*Forutsetninger!$B$3</f>
        <v>234751.7572971787</v>
      </c>
      <c r="V80" s="47">
        <f t="shared" si="23"/>
        <v>44470.655500916298</v>
      </c>
      <c r="W80" s="208">
        <f t="shared" si="24"/>
        <v>6.5580105959662155E-2</v>
      </c>
      <c r="X80" s="47">
        <f>(R80+S80+T80)-G80*($K$159+$K$153)/Forutsetninger!$B$3</f>
        <v>267967.60260169441</v>
      </c>
      <c r="Y80" s="278">
        <f>ROUND((1-Forutsetninger!$B$3)*Q80+Forutsetninger!$B$3*X80,0)</f>
        <v>254036</v>
      </c>
      <c r="Z80" s="47">
        <v>253900</v>
      </c>
      <c r="AA80" s="73">
        <f t="shared" si="25"/>
        <v>136</v>
      </c>
      <c r="AB80" s="269">
        <f t="shared" si="26"/>
        <v>5.3564395431272155E-4</v>
      </c>
      <c r="AC80" s="66">
        <f t="shared" si="27"/>
        <v>136</v>
      </c>
      <c r="AD80" s="256">
        <f>VLOOKUP(A80,IR2016prnettnivå!$B$2:$K$133,8,FALSE)</f>
        <v>0.73751624642578628</v>
      </c>
      <c r="AE80" s="256">
        <f>VLOOKUP(A80,IR2016prnettnivå!$B$2:$K$133,9,FALSE)</f>
        <v>0.26248375357421366</v>
      </c>
      <c r="AF80" s="256">
        <f>VLOOKUP(A80,IR2016prnettnivå!$B$2:$K$133,10,FALSE)</f>
        <v>0</v>
      </c>
      <c r="AG80" s="277">
        <f t="shared" si="28"/>
        <v>100.30220951390693</v>
      </c>
      <c r="AH80" s="277">
        <f t="shared" si="29"/>
        <v>35.697790486093055</v>
      </c>
      <c r="AI80" s="277">
        <f t="shared" si="30"/>
        <v>0</v>
      </c>
      <c r="AJ80" s="277">
        <f t="shared" si="31"/>
        <v>1.2838682817780089</v>
      </c>
      <c r="AK80" s="277">
        <f t="shared" si="32"/>
        <v>0.45693171822199119</v>
      </c>
      <c r="AL80" s="277">
        <f t="shared" si="33"/>
        <v>0</v>
      </c>
    </row>
    <row r="81" spans="1:38" x14ac:dyDescent="0.2">
      <c r="A81">
        <v>3112014</v>
      </c>
      <c r="B81" s="1" t="s">
        <v>114</v>
      </c>
      <c r="C81" s="99">
        <f>VLOOKUP(A81,IRData!$A$3:$F$146,6,FALSE)</f>
        <v>93748.736206054688</v>
      </c>
      <c r="D81" s="52">
        <f>C81*Forutsetninger!$C$23</f>
        <v>98626.355416775434</v>
      </c>
      <c r="E81" s="50">
        <f>VLOOKUP($A81,IRData!$A$2:$N$146,7,FALSE)</f>
        <v>35948</v>
      </c>
      <c r="F81" s="50">
        <f>VLOOKUP($A81,IRData!$A$2:$N$146,8,FALSE)</f>
        <v>727442</v>
      </c>
      <c r="G81" s="50">
        <f>VLOOKUP($A81,IRData!$A$2:$N$146,9,FALSE)</f>
        <v>734716.42</v>
      </c>
      <c r="H81" s="50">
        <f>VLOOKUP($A81,IRData!$A$2:$N$146,10,FALSE)</f>
        <v>28618</v>
      </c>
      <c r="I81" s="50">
        <f>VLOOKUP($A81,IRData!$A$2:$N$146,11,FALSE)</f>
        <v>21695</v>
      </c>
      <c r="J81" s="52">
        <f>VLOOKUP(A81,IRData!$A$3:$AF$146,32,FALSE)</f>
        <v>7915.7388927936554</v>
      </c>
      <c r="K81" s="52">
        <f>VLOOKUP(A81,IRData!$A$3:$AM$146,37,FALSE)</f>
        <v>6000.8370703458786</v>
      </c>
      <c r="L81" s="145">
        <f>VLOOKUP($A81,IRData!$A$2:$N$146,13,FALSE)</f>
        <v>3523</v>
      </c>
      <c r="M81" s="51">
        <f>L81*Forutsetninger!$C$17</f>
        <v>3726.299488677867</v>
      </c>
      <c r="N81" s="145">
        <f>VLOOKUP(A81,IRData!$A$3:$E$146,5,FALSE)*Forutsetninger!$C$23</f>
        <v>0</v>
      </c>
      <c r="O81" s="145">
        <f>VLOOKUP(A81,IRData!$A$3:$AG$146,19,FALSE)*Forutsetninger!$C$17</f>
        <v>0</v>
      </c>
      <c r="P81" s="52">
        <f t="shared" si="22"/>
        <v>152217.23086859286</v>
      </c>
      <c r="Q81" s="253">
        <f>ROUND(D81+E81+J81+K81+M81+G81*Forutsetninger!$B$5+N81,0)</f>
        <v>198651</v>
      </c>
      <c r="R81" s="53">
        <f>IFERROR((VLOOKUP(A81,'DEAnorm D-nett'!$A$4:$H$134,8,FALSE)+O81),0)</f>
        <v>133696.75629073405</v>
      </c>
      <c r="S81" s="26">
        <f>IFERROR((VLOOKUP(A81,'DEAnorm R-nett'!$A$4:$H$86,8,FALSE)+N81+K81),N81+K81)</f>
        <v>73098.181818306606</v>
      </c>
      <c r="T81" s="151">
        <f>IFERROR(VLOOKUP(A81,IRData!$A$3:$AN$146,40,FALSE),0)</f>
        <v>0</v>
      </c>
      <c r="U81" s="54">
        <f>(1-Forutsetninger!$B$3)*Q81+(R81+S81+T81)*Forutsetninger!$B$3</f>
        <v>203537.36286542442</v>
      </c>
      <c r="V81" s="47">
        <f t="shared" si="23"/>
        <v>51320.131996831566</v>
      </c>
      <c r="W81" s="208">
        <f t="shared" si="24"/>
        <v>6.9850258684611352E-2</v>
      </c>
      <c r="X81" s="47">
        <f>(R81+S81+T81)-G81*($K$159+$K$153)/Forutsetninger!$B$3</f>
        <v>241617.78692522924</v>
      </c>
      <c r="Y81" s="278">
        <f>ROUND((1-Forutsetninger!$B$3)*Q81+Forutsetninger!$B$3*X81,0)</f>
        <v>224431</v>
      </c>
      <c r="Z81" s="47">
        <v>223512</v>
      </c>
      <c r="AA81" s="73">
        <f t="shared" si="25"/>
        <v>919</v>
      </c>
      <c r="AB81" s="269">
        <f t="shared" si="26"/>
        <v>4.111636064282902E-3</v>
      </c>
      <c r="AC81" s="66">
        <f t="shared" si="27"/>
        <v>919</v>
      </c>
      <c r="AD81" s="256">
        <f>VLOOKUP(A81,IR2016prnettnivå!$B$2:$K$133,8,FALSE)</f>
        <v>0.66234027703210563</v>
      </c>
      <c r="AE81" s="256">
        <f>VLOOKUP(A81,IR2016prnettnivå!$B$2:$K$133,9,FALSE)</f>
        <v>0.33765972296789432</v>
      </c>
      <c r="AF81" s="256">
        <f>VLOOKUP(A81,IR2016prnettnivå!$B$2:$K$133,10,FALSE)</f>
        <v>0</v>
      </c>
      <c r="AG81" s="277">
        <f t="shared" si="28"/>
        <v>608.69071459250506</v>
      </c>
      <c r="AH81" s="277">
        <f t="shared" si="29"/>
        <v>310.30928540749488</v>
      </c>
      <c r="AI81" s="277">
        <f t="shared" si="30"/>
        <v>0</v>
      </c>
      <c r="AJ81" s="277">
        <f t="shared" si="31"/>
        <v>7.7912411467840661</v>
      </c>
      <c r="AK81" s="277">
        <f t="shared" si="32"/>
        <v>3.9719588532159351</v>
      </c>
      <c r="AL81" s="277">
        <f t="shared" si="33"/>
        <v>0</v>
      </c>
    </row>
    <row r="82" spans="1:38" x14ac:dyDescent="0.2">
      <c r="A82">
        <v>1322014</v>
      </c>
      <c r="B82" s="1" t="s">
        <v>109</v>
      </c>
      <c r="C82" s="99">
        <f>VLOOKUP(A82,IRData!$A$3:$F$146,6,FALSE)</f>
        <v>43648.826217651367</v>
      </c>
      <c r="D82" s="52">
        <f>C82*Forutsetninger!$C$23</f>
        <v>45919.815266684302</v>
      </c>
      <c r="E82" s="50">
        <f>VLOOKUP($A82,IRData!$A$2:$N$146,7,FALSE)</f>
        <v>14359</v>
      </c>
      <c r="F82" s="50">
        <f>VLOOKUP($A82,IRData!$A$2:$N$146,8,FALSE)</f>
        <v>157852</v>
      </c>
      <c r="G82" s="50">
        <f>VLOOKUP($A82,IRData!$A$2:$N$146,9,FALSE)</f>
        <v>159430.52000000002</v>
      </c>
      <c r="H82" s="50">
        <f>VLOOKUP($A82,IRData!$A$2:$N$146,10,FALSE)</f>
        <v>7109</v>
      </c>
      <c r="I82" s="50">
        <f>VLOOKUP($A82,IRData!$A$2:$N$146,11,FALSE)</f>
        <v>14986</v>
      </c>
      <c r="J82" s="52">
        <f>VLOOKUP(A82,IRData!$A$3:$AF$146,32,FALSE)</f>
        <v>1737.7950706779957</v>
      </c>
      <c r="K82" s="52">
        <f>VLOOKUP(A82,IRData!$A$3:$AM$146,37,FALSE)</f>
        <v>3663.3277435898781</v>
      </c>
      <c r="L82" s="145">
        <f>VLOOKUP($A82,IRData!$A$2:$N$146,13,FALSE)</f>
        <v>1892</v>
      </c>
      <c r="M82" s="51">
        <f>L82*Forutsetninger!$C$17</f>
        <v>2001.1804236669102</v>
      </c>
      <c r="N82" s="145">
        <f>VLOOKUP(A82,IRData!$A$3:$E$146,5,FALSE)*Forutsetninger!$C$23</f>
        <v>0</v>
      </c>
      <c r="O82" s="145">
        <f>VLOOKUP(A82,IRData!$A$3:$AG$146,19,FALSE)*Forutsetninger!$C$17</f>
        <v>0</v>
      </c>
      <c r="P82" s="52">
        <f t="shared" si="22"/>
        <v>67681.118504619095</v>
      </c>
      <c r="Q82" s="253">
        <f>ROUND(D82+E82+J82+K82+M82+G82*Forutsetninger!$B$5+N82,0)</f>
        <v>77757</v>
      </c>
      <c r="R82" s="53">
        <f>IFERROR((VLOOKUP(A82,'DEAnorm D-nett'!$A$4:$H$134,8,FALSE)+O82),0)</f>
        <v>54889.573109000994</v>
      </c>
      <c r="S82" s="26">
        <f>IFERROR((VLOOKUP(A82,'DEAnorm R-nett'!$A$4:$H$86,8,FALSE)+N82+K82),N82+K82)</f>
        <v>27382.199140028901</v>
      </c>
      <c r="T82" s="151">
        <f>IFERROR(VLOOKUP(A82,IRData!$A$3:$AN$146,40,FALSE),0)</f>
        <v>0</v>
      </c>
      <c r="U82" s="54">
        <f>(1-Forutsetninger!$B$3)*Q82+(R82+S82+T82)*Forutsetninger!$B$3</f>
        <v>80465.863349417938</v>
      </c>
      <c r="V82" s="47">
        <f t="shared" si="23"/>
        <v>12784.744844798843</v>
      </c>
      <c r="W82" s="208">
        <f t="shared" si="24"/>
        <v>8.0190071793022066E-2</v>
      </c>
      <c r="X82" s="47">
        <f>(R82+S82+T82)-G82*($K$159+$K$153)/Forutsetninger!$B$3</f>
        <v>89828.19094816054</v>
      </c>
      <c r="Y82" s="278">
        <f>ROUND((1-Forutsetninger!$B$3)*Q82+Forutsetninger!$B$3*X82,0)</f>
        <v>85000</v>
      </c>
      <c r="Z82" s="47">
        <v>84783</v>
      </c>
      <c r="AA82" s="73">
        <f t="shared" si="25"/>
        <v>217</v>
      </c>
      <c r="AB82" s="269">
        <f t="shared" si="26"/>
        <v>2.5594753665239495E-3</v>
      </c>
      <c r="AC82" s="66">
        <f t="shared" si="27"/>
        <v>217</v>
      </c>
      <c r="AD82" s="256">
        <f>VLOOKUP(A82,IR2016prnettnivå!$B$2:$K$133,8,FALSE)</f>
        <v>0.65325595933146974</v>
      </c>
      <c r="AE82" s="256">
        <f>VLOOKUP(A82,IR2016prnettnivå!$B$2:$K$133,9,FALSE)</f>
        <v>0.34674404066853026</v>
      </c>
      <c r="AF82" s="256">
        <f>VLOOKUP(A82,IR2016prnettnivå!$B$2:$K$133,10,FALSE)</f>
        <v>0</v>
      </c>
      <c r="AG82" s="277">
        <f t="shared" si="28"/>
        <v>141.75654317492894</v>
      </c>
      <c r="AH82" s="277">
        <f t="shared" si="29"/>
        <v>75.243456825071064</v>
      </c>
      <c r="AI82" s="277">
        <f t="shared" si="30"/>
        <v>0</v>
      </c>
      <c r="AJ82" s="277">
        <f t="shared" si="31"/>
        <v>1.8144837526390907</v>
      </c>
      <c r="AK82" s="277">
        <f t="shared" si="32"/>
        <v>0.96311624736090984</v>
      </c>
      <c r="AL82" s="277">
        <f t="shared" si="33"/>
        <v>0</v>
      </c>
    </row>
    <row r="83" spans="1:38" x14ac:dyDescent="0.2">
      <c r="A83">
        <v>6992014</v>
      </c>
      <c r="B83" s="1" t="s">
        <v>377</v>
      </c>
      <c r="C83" s="99">
        <f>VLOOKUP(A83,IRData!$A$3:$F$146,6,FALSE)</f>
        <v>253404.28515625</v>
      </c>
      <c r="D83" s="52">
        <f>C83*Forutsetninger!$C$23</f>
        <v>266588.56538633653</v>
      </c>
      <c r="E83" s="50">
        <f>VLOOKUP($A83,IRData!$A$2:$N$146,7,FALSE)</f>
        <v>107335</v>
      </c>
      <c r="F83" s="50">
        <f>VLOOKUP($A83,IRData!$A$2:$N$146,8,FALSE)</f>
        <v>1781132</v>
      </c>
      <c r="G83" s="50">
        <f>VLOOKUP($A83,IRData!$A$2:$N$146,9,FALSE)</f>
        <v>1798943.3199999998</v>
      </c>
      <c r="H83" s="50">
        <f>VLOOKUP($A83,IRData!$A$2:$N$146,10,FALSE)</f>
        <v>84251</v>
      </c>
      <c r="I83" s="50">
        <f>VLOOKUP($A83,IRData!$A$2:$N$146,11,FALSE)</f>
        <v>46392</v>
      </c>
      <c r="J83" s="52">
        <f>VLOOKUP(A83,IRData!$A$3:$AF$146,32,FALSE)</f>
        <v>23118.632231622934</v>
      </c>
      <c r="K83" s="52">
        <f>VLOOKUP(A83,IRData!$A$3:$AM$146,37,FALSE)</f>
        <v>12730.051708459854</v>
      </c>
      <c r="L83" s="145">
        <f>VLOOKUP($A83,IRData!$A$2:$N$146,13,FALSE)</f>
        <v>16300</v>
      </c>
      <c r="M83" s="51">
        <f>L83*Forutsetninger!$C$17</f>
        <v>17240.613586559532</v>
      </c>
      <c r="N83" s="145">
        <f>VLOOKUP(A83,IRData!$A$3:$E$146,5,FALSE)*Forutsetninger!$C$23</f>
        <v>1567.5226730310262</v>
      </c>
      <c r="O83" s="145">
        <f>VLOOKUP(A83,IRData!$A$3:$AG$146,19,FALSE)*Forutsetninger!$C$17</f>
        <v>0</v>
      </c>
      <c r="P83" s="52">
        <f t="shared" si="22"/>
        <v>428580.38558600988</v>
      </c>
      <c r="Q83" s="253">
        <f>ROUND(D83+E83+J83+K83+M83+G83*Forutsetninger!$B$5+N83,0)</f>
        <v>542274</v>
      </c>
      <c r="R83" s="53">
        <f>IFERROR((VLOOKUP(A83,'DEAnorm D-nett'!$A$4:$H$134,8,FALSE)+O83),0)</f>
        <v>495064.78637269657</v>
      </c>
      <c r="S83" s="26">
        <f>IFERROR((VLOOKUP(A83,'DEAnorm R-nett'!$A$4:$H$86,8,FALSE)+N83+K83),N83+K83)</f>
        <v>121627.84243436862</v>
      </c>
      <c r="T83" s="151">
        <f>IFERROR(VLOOKUP(A83,IRData!$A$3:$AN$146,40,FALSE),0)</f>
        <v>0</v>
      </c>
      <c r="U83" s="54">
        <f>(1-Forutsetninger!$B$3)*Q83+(R83+S83+T83)*Forutsetninger!$B$3</f>
        <v>586925.17728423909</v>
      </c>
      <c r="V83" s="47">
        <f t="shared" si="23"/>
        <v>158344.79169822921</v>
      </c>
      <c r="W83" s="208">
        <f t="shared" si="24"/>
        <v>8.802100096084696E-2</v>
      </c>
      <c r="X83" s="47">
        <f>(R83+S83+T83)-G83*($K$159+$K$153)/Forutsetninger!$B$3</f>
        <v>701955.90802063211</v>
      </c>
      <c r="Y83" s="278">
        <f>ROUND((1-Forutsetninger!$B$3)*Q83+Forutsetninger!$B$3*X83,0)</f>
        <v>638083</v>
      </c>
      <c r="Z83" s="47">
        <v>637312</v>
      </c>
      <c r="AA83" s="73">
        <f t="shared" si="25"/>
        <v>771</v>
      </c>
      <c r="AB83" s="269">
        <f t="shared" si="26"/>
        <v>1.2097685278168308E-3</v>
      </c>
      <c r="AC83" s="66">
        <f t="shared" si="27"/>
        <v>771</v>
      </c>
      <c r="AD83" s="256">
        <f>VLOOKUP(A83,IR2016prnettnivå!$B$2:$K$133,8,FALSE)</f>
        <v>0.78289754468768824</v>
      </c>
      <c r="AE83" s="256">
        <f>VLOOKUP(A83,IR2016prnettnivå!$B$2:$K$133,9,FALSE)</f>
        <v>0.2171024553123117</v>
      </c>
      <c r="AF83" s="256">
        <f>VLOOKUP(A83,IR2016prnettnivå!$B$2:$K$133,10,FALSE)</f>
        <v>0</v>
      </c>
      <c r="AG83" s="277">
        <f t="shared" si="28"/>
        <v>603.61400695420764</v>
      </c>
      <c r="AH83" s="277">
        <f t="shared" si="29"/>
        <v>167.38599304579233</v>
      </c>
      <c r="AI83" s="277">
        <f t="shared" si="30"/>
        <v>0</v>
      </c>
      <c r="AJ83" s="277">
        <f t="shared" si="31"/>
        <v>7.7262592890138588</v>
      </c>
      <c r="AK83" s="277">
        <f t="shared" si="32"/>
        <v>2.1425407109861423</v>
      </c>
      <c r="AL83" s="277">
        <f t="shared" si="33"/>
        <v>0</v>
      </c>
    </row>
    <row r="84" spans="1:38" x14ac:dyDescent="0.2">
      <c r="A84">
        <v>6132014</v>
      </c>
      <c r="B84" s="1" t="s">
        <v>127</v>
      </c>
      <c r="C84" s="99">
        <f>VLOOKUP(A84,IRData!$A$3:$F$146,6,FALSE)</f>
        <v>21322.811828613281</v>
      </c>
      <c r="D84" s="52">
        <f>C84*Forutsetninger!$C$23</f>
        <v>22432.208720889579</v>
      </c>
      <c r="E84" s="50">
        <f>VLOOKUP($A84,IRData!$A$2:$N$146,7,FALSE)</f>
        <v>9544</v>
      </c>
      <c r="F84" s="50">
        <f>VLOOKUP($A84,IRData!$A$2:$N$146,8,FALSE)</f>
        <v>121391</v>
      </c>
      <c r="G84" s="50">
        <f>VLOOKUP($A84,IRData!$A$2:$N$146,9,FALSE)</f>
        <v>122604.91</v>
      </c>
      <c r="H84" s="50">
        <f>VLOOKUP($A84,IRData!$A$2:$N$146,10,FALSE)</f>
        <v>17063</v>
      </c>
      <c r="I84" s="50">
        <f>VLOOKUP($A84,IRData!$A$2:$N$146,11,FALSE)</f>
        <v>0</v>
      </c>
      <c r="J84" s="52">
        <f>VLOOKUP(A84,IRData!$A$3:$AF$146,32,FALSE)</f>
        <v>4719.6258553266525</v>
      </c>
      <c r="K84" s="52">
        <f>VLOOKUP(A84,IRData!$A$3:$AM$146,37,FALSE)</f>
        <v>0</v>
      </c>
      <c r="L84" s="145">
        <f>VLOOKUP($A84,IRData!$A$2:$N$146,13,FALSE)</f>
        <v>1560</v>
      </c>
      <c r="M84" s="51">
        <f>L84*Forutsetninger!$C$17</f>
        <v>1650.0219138056975</v>
      </c>
      <c r="N84" s="145">
        <f>VLOOKUP(A84,IRData!$A$3:$E$146,5,FALSE)*Forutsetninger!$C$23</f>
        <v>0</v>
      </c>
      <c r="O84" s="145">
        <f>VLOOKUP(A84,IRData!$A$3:$AG$146,19,FALSE)*Forutsetninger!$C$17</f>
        <v>0</v>
      </c>
      <c r="P84" s="52">
        <f t="shared" si="22"/>
        <v>38345.856490021935</v>
      </c>
      <c r="Q84" s="253">
        <f>ROUND(D84+E84+J84+K84+M84+G84*Forutsetninger!$B$5+N84,0)</f>
        <v>46094</v>
      </c>
      <c r="R84" s="53">
        <f>IFERROR((VLOOKUP(A84,'DEAnorm D-nett'!$A$4:$H$134,8,FALSE)+O84),0)</f>
        <v>48379.523199834395</v>
      </c>
      <c r="S84" s="26">
        <f>IFERROR((VLOOKUP(A84,'DEAnorm R-nett'!$A$4:$H$86,8,FALSE)+N84+K84),N84+K84)</f>
        <v>0</v>
      </c>
      <c r="T84" s="151">
        <f>IFERROR(VLOOKUP(A84,IRData!$A$3:$AN$146,40,FALSE),0)</f>
        <v>0</v>
      </c>
      <c r="U84" s="54">
        <f>(1-Forutsetninger!$B$3)*Q84+(R84+S84+T84)*Forutsetninger!$B$3</f>
        <v>47465.31391990064</v>
      </c>
      <c r="V84" s="47">
        <f t="shared" si="23"/>
        <v>9119.4574298787047</v>
      </c>
      <c r="W84" s="208">
        <f t="shared" si="24"/>
        <v>7.4380850080789623E-2</v>
      </c>
      <c r="X84" s="47">
        <f>(R84+S84+T84)-G84*($K$159+$K$153)/Forutsetninger!$B$3</f>
        <v>54190.543790680051</v>
      </c>
      <c r="Y84" s="278">
        <f>ROUND((1-Forutsetninger!$B$3)*Q84+Forutsetninger!$B$3*X84,0)</f>
        <v>50952</v>
      </c>
      <c r="Z84" s="47">
        <v>50939</v>
      </c>
      <c r="AA84" s="73">
        <f t="shared" si="25"/>
        <v>13</v>
      </c>
      <c r="AB84" s="269">
        <f t="shared" si="26"/>
        <v>2.5520720862207737E-4</v>
      </c>
      <c r="AC84" s="66">
        <f t="shared" si="27"/>
        <v>13</v>
      </c>
      <c r="AD84" s="256">
        <f>VLOOKUP(A84,IR2016prnettnivå!$B$2:$K$133,8,FALSE)</f>
        <v>1</v>
      </c>
      <c r="AE84" s="256">
        <f>VLOOKUP(A84,IR2016prnettnivå!$B$2:$K$133,9,FALSE)</f>
        <v>0</v>
      </c>
      <c r="AF84" s="256">
        <f>VLOOKUP(A84,IR2016prnettnivå!$B$2:$K$133,10,FALSE)</f>
        <v>0</v>
      </c>
      <c r="AG84" s="277">
        <f t="shared" si="28"/>
        <v>13</v>
      </c>
      <c r="AH84" s="277">
        <f t="shared" si="29"/>
        <v>0</v>
      </c>
      <c r="AI84" s="277">
        <f t="shared" si="30"/>
        <v>0</v>
      </c>
      <c r="AJ84" s="277">
        <f t="shared" si="31"/>
        <v>0.16640000000000002</v>
      </c>
      <c r="AK84" s="277">
        <f t="shared" si="32"/>
        <v>0</v>
      </c>
      <c r="AL84" s="277">
        <f t="shared" si="33"/>
        <v>0</v>
      </c>
    </row>
    <row r="85" spans="1:38" x14ac:dyDescent="0.2">
      <c r="A85">
        <v>1352014</v>
      </c>
      <c r="B85" s="1" t="s">
        <v>38</v>
      </c>
      <c r="C85" s="99">
        <f>VLOOKUP(A85,IRData!$A$3:$F$146,6,FALSE)</f>
        <v>43029.62744140625</v>
      </c>
      <c r="D85" s="52">
        <f>C85*Forutsetninger!$C$23</f>
        <v>45268.400420457932</v>
      </c>
      <c r="E85" s="50">
        <f>VLOOKUP($A85,IRData!$A$2:$N$146,7,FALSE)</f>
        <v>12666</v>
      </c>
      <c r="F85" s="50">
        <f>VLOOKUP($A85,IRData!$A$2:$N$146,8,FALSE)</f>
        <v>179349</v>
      </c>
      <c r="G85" s="50">
        <f>VLOOKUP($A85,IRData!$A$2:$N$146,9,FALSE)</f>
        <v>181142.49</v>
      </c>
      <c r="H85" s="50">
        <f>VLOOKUP($A85,IRData!$A$2:$N$146,10,FALSE)</f>
        <v>14398</v>
      </c>
      <c r="I85" s="50">
        <f>VLOOKUP($A85,IRData!$A$2:$N$146,11,FALSE)</f>
        <v>0</v>
      </c>
      <c r="J85" s="52">
        <f>VLOOKUP(A85,IRData!$A$3:$AF$146,32,FALSE)</f>
        <v>3739.1606041193008</v>
      </c>
      <c r="K85" s="52">
        <f>VLOOKUP(A85,IRData!$A$3:$AM$146,37,FALSE)</f>
        <v>0</v>
      </c>
      <c r="L85" s="145">
        <f>VLOOKUP($A85,IRData!$A$2:$N$146,13,FALSE)</f>
        <v>2464</v>
      </c>
      <c r="M85" s="51">
        <f>L85*Forutsetninger!$C$17</f>
        <v>2606.1884587289992</v>
      </c>
      <c r="N85" s="145">
        <f>VLOOKUP(A85,IRData!$A$3:$E$146,5,FALSE)*Forutsetninger!$C$23</f>
        <v>0</v>
      </c>
      <c r="O85" s="145">
        <f>VLOOKUP(A85,IRData!$A$3:$AG$146,19,FALSE)*Forutsetninger!$C$17</f>
        <v>69.597081387103955</v>
      </c>
      <c r="P85" s="52">
        <f t="shared" si="22"/>
        <v>64279.74948330623</v>
      </c>
      <c r="Q85" s="253">
        <f>ROUND(D85+E85+J85+K85+M85+G85*Forutsetninger!$B$5+N85,0)</f>
        <v>75728</v>
      </c>
      <c r="R85" s="53">
        <f>IFERROR((VLOOKUP(A85,'DEAnorm D-nett'!$A$4:$H$134,8,FALSE)+O85),0)</f>
        <v>76581.512756075666</v>
      </c>
      <c r="S85" s="26">
        <f>IFERROR((VLOOKUP(A85,'DEAnorm R-nett'!$A$4:$H$86,8,FALSE)+N85+K85),N85+K85)</f>
        <v>113.40997556417847</v>
      </c>
      <c r="T85" s="151">
        <f>IFERROR(VLOOKUP(A85,IRData!$A$3:$AN$146,40,FALSE),0)</f>
        <v>0</v>
      </c>
      <c r="U85" s="54">
        <f>(1-Forutsetninger!$B$3)*Q85+(R85+S85+T85)*Forutsetninger!$B$3</f>
        <v>76308.153638983902</v>
      </c>
      <c r="V85" s="47">
        <f t="shared" si="23"/>
        <v>12028.404155677672</v>
      </c>
      <c r="W85" s="208">
        <f t="shared" si="24"/>
        <v>6.6402996644672779E-2</v>
      </c>
      <c r="X85" s="47">
        <f>(R85+S85+T85)-G85*($K$159+$K$153)/Forutsetninger!$B$3</f>
        <v>85280.408739231658</v>
      </c>
      <c r="Y85" s="278">
        <f>ROUND((1-Forutsetninger!$B$3)*Q85+Forutsetninger!$B$3*X85,0)</f>
        <v>81459</v>
      </c>
      <c r="Z85" s="47">
        <v>81579</v>
      </c>
      <c r="AA85" s="73">
        <f t="shared" si="25"/>
        <v>-120</v>
      </c>
      <c r="AB85" s="269">
        <f t="shared" si="26"/>
        <v>-1.4709667929246498E-3</v>
      </c>
      <c r="AC85" s="66">
        <f t="shared" si="27"/>
        <v>0</v>
      </c>
      <c r="AD85" s="256">
        <f>VLOOKUP(A85,IR2016prnettnivå!$B$2:$K$133,8,FALSE)</f>
        <v>0.99863935571654472</v>
      </c>
      <c r="AE85" s="256">
        <f>VLOOKUP(A85,IR2016prnettnivå!$B$2:$K$133,9,FALSE)</f>
        <v>1.3606442834553009E-3</v>
      </c>
      <c r="AF85" s="256">
        <f>VLOOKUP(A85,IR2016prnettnivå!$B$2:$K$133,10,FALSE)</f>
        <v>0</v>
      </c>
      <c r="AG85" s="277">
        <f t="shared" si="28"/>
        <v>0</v>
      </c>
      <c r="AH85" s="277">
        <f t="shared" si="29"/>
        <v>0</v>
      </c>
      <c r="AI85" s="277">
        <f t="shared" si="30"/>
        <v>0</v>
      </c>
      <c r="AJ85" s="277">
        <f t="shared" si="31"/>
        <v>0</v>
      </c>
      <c r="AK85" s="277">
        <f t="shared" si="32"/>
        <v>0</v>
      </c>
      <c r="AL85" s="277">
        <f t="shared" si="33"/>
        <v>0</v>
      </c>
    </row>
    <row r="86" spans="1:38" x14ac:dyDescent="0.2">
      <c r="A86">
        <v>3732014</v>
      </c>
      <c r="B86" s="1" t="s">
        <v>117</v>
      </c>
      <c r="C86" s="99">
        <f>VLOOKUP(A86,IRData!$A$3:$F$146,6,FALSE)</f>
        <v>10136.317138671875</v>
      </c>
      <c r="D86" s="52">
        <f>C86*Forutsetninger!$C$23</f>
        <v>10663.695930134994</v>
      </c>
      <c r="E86" s="50">
        <f>VLOOKUP($A86,IRData!$A$2:$N$146,7,FALSE)</f>
        <v>2340</v>
      </c>
      <c r="F86" s="50">
        <f>VLOOKUP($A86,IRData!$A$2:$N$146,8,FALSE)</f>
        <v>41644</v>
      </c>
      <c r="G86" s="50">
        <f>VLOOKUP($A86,IRData!$A$2:$N$146,9,FALSE)</f>
        <v>42060.44</v>
      </c>
      <c r="H86" s="50">
        <f>VLOOKUP($A86,IRData!$A$2:$N$146,10,FALSE)</f>
        <v>1765</v>
      </c>
      <c r="I86" s="50">
        <f>VLOOKUP($A86,IRData!$A$2:$N$146,11,FALSE)</f>
        <v>0</v>
      </c>
      <c r="J86" s="52">
        <f>VLOOKUP(A86,IRData!$A$3:$AF$146,32,FALSE)</f>
        <v>458.37050050497055</v>
      </c>
      <c r="K86" s="52">
        <f>VLOOKUP(A86,IRData!$A$3:$AM$146,37,FALSE)</f>
        <v>0</v>
      </c>
      <c r="L86" s="145">
        <f>VLOOKUP($A86,IRData!$A$2:$N$146,13,FALSE)</f>
        <v>236</v>
      </c>
      <c r="M86" s="51">
        <f>L86*Forutsetninger!$C$17</f>
        <v>249.61869978086193</v>
      </c>
      <c r="N86" s="145">
        <f>VLOOKUP(A86,IRData!$A$3:$E$146,5,FALSE)*Forutsetninger!$C$23</f>
        <v>0</v>
      </c>
      <c r="O86" s="145">
        <f>VLOOKUP(A86,IRData!$A$3:$AG$146,19,FALSE)*Forutsetninger!$C$17</f>
        <v>0</v>
      </c>
      <c r="P86" s="52">
        <f t="shared" si="22"/>
        <v>13711.685130420827</v>
      </c>
      <c r="Q86" s="253">
        <f>ROUND(D86+E86+J86+K86+M86+G86*Forutsetninger!$B$5+N86,0)</f>
        <v>16370</v>
      </c>
      <c r="R86" s="53">
        <f>IFERROR((VLOOKUP(A86,'DEAnorm D-nett'!$A$4:$H$134,8,FALSE)+O86),0)</f>
        <v>15754.197398567681</v>
      </c>
      <c r="S86" s="26">
        <f>IFERROR((VLOOKUP(A86,'DEAnorm R-nett'!$A$4:$H$86,8,FALSE)+N86+K86),N86+K86)</f>
        <v>0</v>
      </c>
      <c r="T86" s="151">
        <f>IFERROR(VLOOKUP(A86,IRData!$A$3:$AN$146,40,FALSE),0)</f>
        <v>0</v>
      </c>
      <c r="U86" s="54">
        <f>(1-Forutsetninger!$B$3)*Q86+(R86+S86+T86)*Forutsetninger!$B$3</f>
        <v>16000.518439140609</v>
      </c>
      <c r="V86" s="47">
        <f t="shared" si="23"/>
        <v>2288.8333087197825</v>
      </c>
      <c r="W86" s="208">
        <f t="shared" si="24"/>
        <v>5.4417721467483041E-2</v>
      </c>
      <c r="X86" s="47">
        <f>(R86+S86+T86)-G86*($K$159+$K$153)/Forutsetninger!$B$3</f>
        <v>17747.707143813841</v>
      </c>
      <c r="Y86" s="278">
        <f>ROUND((1-Forutsetninger!$B$3)*Q86+Forutsetninger!$B$3*X86,0)</f>
        <v>17197</v>
      </c>
      <c r="Z86" s="47">
        <v>17182</v>
      </c>
      <c r="AA86" s="73">
        <f t="shared" si="25"/>
        <v>15</v>
      </c>
      <c r="AB86" s="269">
        <f t="shared" si="26"/>
        <v>8.730066348504249E-4</v>
      </c>
      <c r="AC86" s="66">
        <f t="shared" si="27"/>
        <v>15</v>
      </c>
      <c r="AD86" s="256">
        <f>VLOOKUP(A86,IR2016prnettnivå!$B$2:$K$133,8,FALSE)</f>
        <v>1</v>
      </c>
      <c r="AE86" s="256">
        <f>VLOOKUP(A86,IR2016prnettnivå!$B$2:$K$133,9,FALSE)</f>
        <v>0</v>
      </c>
      <c r="AF86" s="256">
        <f>VLOOKUP(A86,IR2016prnettnivå!$B$2:$K$133,10,FALSE)</f>
        <v>0</v>
      </c>
      <c r="AG86" s="277">
        <f t="shared" si="28"/>
        <v>15</v>
      </c>
      <c r="AH86" s="277">
        <f t="shared" si="29"/>
        <v>0</v>
      </c>
      <c r="AI86" s="277">
        <f t="shared" si="30"/>
        <v>0</v>
      </c>
      <c r="AJ86" s="277">
        <f t="shared" si="31"/>
        <v>0.19200000000000003</v>
      </c>
      <c r="AK86" s="277">
        <f t="shared" si="32"/>
        <v>0</v>
      </c>
      <c r="AL86" s="277">
        <f t="shared" si="33"/>
        <v>0</v>
      </c>
    </row>
    <row r="87" spans="1:38" x14ac:dyDescent="0.2">
      <c r="A87">
        <v>1672014</v>
      </c>
      <c r="B87" s="1" t="s">
        <v>373</v>
      </c>
      <c r="C87" s="99">
        <f>VLOOKUP(A87,IRData!$A$3:$F$146,6,FALSE)</f>
        <v>89</v>
      </c>
      <c r="D87" s="52">
        <f>C87*Forutsetninger!$C$23</f>
        <v>93.630548926014313</v>
      </c>
      <c r="E87" s="50">
        <f>VLOOKUP($A87,IRData!$A$2:$N$146,7,FALSE)</f>
        <v>401</v>
      </c>
      <c r="F87" s="50">
        <f>VLOOKUP($A87,IRData!$A$2:$N$146,8,FALSE)</f>
        <v>11955</v>
      </c>
      <c r="G87" s="50">
        <f>VLOOKUP($A87,IRData!$A$2:$N$146,9,FALSE)</f>
        <v>12074.55</v>
      </c>
      <c r="H87" s="50">
        <f>VLOOKUP($A87,IRData!$A$2:$N$146,10,FALSE)</f>
        <v>832</v>
      </c>
      <c r="I87" s="50">
        <f>VLOOKUP($A87,IRData!$A$2:$N$146,11,FALSE)</f>
        <v>0</v>
      </c>
      <c r="J87" s="52">
        <f>VLOOKUP(A87,IRData!$A$3:$AF$146,32,FALSE)</f>
        <v>205.97255611419678</v>
      </c>
      <c r="K87" s="52">
        <f>VLOOKUP(A87,IRData!$A$3:$AM$146,37,FALSE)</f>
        <v>0</v>
      </c>
      <c r="L87" s="145">
        <f>VLOOKUP($A87,IRData!$A$2:$N$146,13,FALSE)</f>
        <v>0</v>
      </c>
      <c r="M87" s="51">
        <f>L87*Forutsetninger!$C$17</f>
        <v>0</v>
      </c>
      <c r="N87" s="145">
        <f>VLOOKUP(A87,IRData!$A$3:$E$146,5,FALSE)*Forutsetninger!$C$23</f>
        <v>0</v>
      </c>
      <c r="O87" s="145">
        <f>VLOOKUP(A87,IRData!$A$3:$AG$146,19,FALSE)*Forutsetninger!$C$17</f>
        <v>0</v>
      </c>
      <c r="P87" s="52">
        <f t="shared" si="22"/>
        <v>700.60310504021106</v>
      </c>
      <c r="Q87" s="253">
        <f>ROUND(D87+E87+J87+K87+M87+G87*Forutsetninger!$B$5+N87,0)</f>
        <v>1464</v>
      </c>
      <c r="R87" s="53">
        <f>IFERROR((VLOOKUP(A87,'DEAnorm D-nett'!$A$4:$H$134,8,FALSE)+O87),0)</f>
        <v>974.22771958513431</v>
      </c>
      <c r="S87" s="26">
        <f>IFERROR((VLOOKUP(A87,'DEAnorm R-nett'!$A$4:$H$86,8,FALSE)+N87+K87),N87+K87)</f>
        <v>0</v>
      </c>
      <c r="T87" s="151">
        <f>IFERROR(VLOOKUP(A87,IRData!$A$3:$AN$146,40,FALSE),0)</f>
        <v>0</v>
      </c>
      <c r="U87" s="54">
        <f>(1-Forutsetninger!$B$3)*Q87+(R87+S87+T87)*Forutsetninger!$B$3</f>
        <v>1170.1366317510806</v>
      </c>
      <c r="V87" s="47">
        <f t="shared" si="23"/>
        <v>469.53352671086952</v>
      </c>
      <c r="W87" s="208">
        <f t="shared" si="24"/>
        <v>3.8886213292492852E-2</v>
      </c>
      <c r="X87" s="47">
        <f>(R87+S87+T87)-G87*($K$159+$K$153)/Forutsetninger!$B$3</f>
        <v>1546.5168609840835</v>
      </c>
      <c r="Y87" s="278">
        <f>ROUND((1-Forutsetninger!$B$3)*Q87+Forutsetninger!$B$3*X87,0)</f>
        <v>1514</v>
      </c>
      <c r="Z87" s="47">
        <v>1514</v>
      </c>
      <c r="AA87" s="73">
        <f t="shared" si="25"/>
        <v>0</v>
      </c>
      <c r="AB87" s="269">
        <f t="shared" si="26"/>
        <v>0</v>
      </c>
      <c r="AC87" s="66">
        <f t="shared" si="27"/>
        <v>0</v>
      </c>
      <c r="AD87" s="256">
        <f>VLOOKUP(A87,IR2016prnettnivå!$B$2:$K$133,8,FALSE)</f>
        <v>1</v>
      </c>
      <c r="AE87" s="256">
        <f>VLOOKUP(A87,IR2016prnettnivå!$B$2:$K$133,9,FALSE)</f>
        <v>0</v>
      </c>
      <c r="AF87" s="256">
        <f>VLOOKUP(A87,IR2016prnettnivå!$B$2:$K$133,10,FALSE)</f>
        <v>0</v>
      </c>
      <c r="AG87" s="277">
        <f t="shared" si="28"/>
        <v>0</v>
      </c>
      <c r="AH87" s="277">
        <f t="shared" si="29"/>
        <v>0</v>
      </c>
      <c r="AI87" s="277">
        <f t="shared" si="30"/>
        <v>0</v>
      </c>
      <c r="AJ87" s="277">
        <f t="shared" si="31"/>
        <v>0</v>
      </c>
      <c r="AK87" s="277">
        <f t="shared" si="32"/>
        <v>0</v>
      </c>
      <c r="AL87" s="277">
        <f t="shared" si="33"/>
        <v>0</v>
      </c>
    </row>
    <row r="88" spans="1:38" x14ac:dyDescent="0.2">
      <c r="A88">
        <v>3492014</v>
      </c>
      <c r="B88" s="1" t="s">
        <v>115</v>
      </c>
      <c r="C88" s="99">
        <f>VLOOKUP(A88,IRData!$A$3:$F$146,6,FALSE)</f>
        <v>29821.720623016357</v>
      </c>
      <c r="D88" s="52">
        <f>C88*Forutsetninger!$C$23</f>
        <v>31373.304178104081</v>
      </c>
      <c r="E88" s="50">
        <f>VLOOKUP($A88,IRData!$A$2:$N$146,7,FALSE)</f>
        <v>9872</v>
      </c>
      <c r="F88" s="50">
        <f>VLOOKUP($A88,IRData!$A$2:$N$146,8,FALSE)</f>
        <v>187914</v>
      </c>
      <c r="G88" s="50">
        <f>VLOOKUP($A88,IRData!$A$2:$N$146,9,FALSE)</f>
        <v>189793.13999999998</v>
      </c>
      <c r="H88" s="50">
        <f>VLOOKUP($A88,IRData!$A$2:$N$146,10,FALSE)</f>
        <v>10500</v>
      </c>
      <c r="I88" s="50">
        <f>VLOOKUP($A88,IRData!$A$2:$N$146,11,FALSE)</f>
        <v>3000</v>
      </c>
      <c r="J88" s="52">
        <f>VLOOKUP(A88,IRData!$A$3:$AF$146,32,FALSE)</f>
        <v>2602.4250090122223</v>
      </c>
      <c r="K88" s="52">
        <f>VLOOKUP(A88,IRData!$A$3:$AM$146,37,FALSE)</f>
        <v>743.55000257492065</v>
      </c>
      <c r="L88" s="145">
        <f>VLOOKUP($A88,IRData!$A$2:$N$146,13,FALSE)</f>
        <v>417</v>
      </c>
      <c r="M88" s="51">
        <f>L88*Forutsetninger!$C$17</f>
        <v>441.063550036523</v>
      </c>
      <c r="N88" s="145">
        <f>VLOOKUP(A88,IRData!$A$3:$E$146,5,FALSE)*Forutsetninger!$C$23</f>
        <v>0</v>
      </c>
      <c r="O88" s="145">
        <f>VLOOKUP(A88,IRData!$A$3:$AG$146,19,FALSE)*Forutsetninger!$C$17</f>
        <v>0</v>
      </c>
      <c r="P88" s="52">
        <f t="shared" si="22"/>
        <v>45032.342739727748</v>
      </c>
      <c r="Q88" s="253">
        <f>ROUND(D88+E88+J88+K88+M88+G88*Forutsetninger!$B$5+N88,0)</f>
        <v>57027</v>
      </c>
      <c r="R88" s="53">
        <f>IFERROR((VLOOKUP(A88,'DEAnorm D-nett'!$A$4:$H$134,8,FALSE)+O88),0)</f>
        <v>47213.565424441418</v>
      </c>
      <c r="S88" s="26">
        <f>IFERROR((VLOOKUP(A88,'DEAnorm R-nett'!$A$4:$H$86,8,FALSE)+N88+K88),N88+K88)</f>
        <v>2019.0375456815316</v>
      </c>
      <c r="T88" s="151">
        <f>IFERROR(VLOOKUP(A88,IRData!$A$3:$AN$146,40,FALSE),0)</f>
        <v>0</v>
      </c>
      <c r="U88" s="54">
        <f>(1-Forutsetninger!$B$3)*Q88+(R88+S88+T88)*Forutsetninger!$B$3</f>
        <v>52350.361782073771</v>
      </c>
      <c r="V88" s="47">
        <f t="shared" si="23"/>
        <v>7318.0190423460226</v>
      </c>
      <c r="W88" s="208">
        <f t="shared" si="24"/>
        <v>3.8557869069166688E-2</v>
      </c>
      <c r="X88" s="47">
        <f>(R88+S88+T88)-G88*($K$159+$K$153)/Forutsetninger!$B$3</f>
        <v>58228.097885793555</v>
      </c>
      <c r="Y88" s="278">
        <f>ROUND((1-Forutsetninger!$B$3)*Q88+Forutsetninger!$B$3*X88,0)</f>
        <v>57748</v>
      </c>
      <c r="Z88" s="47">
        <v>57697</v>
      </c>
      <c r="AA88" s="73">
        <f t="shared" si="25"/>
        <v>51</v>
      </c>
      <c r="AB88" s="269">
        <f t="shared" si="26"/>
        <v>8.8392810718061602E-4</v>
      </c>
      <c r="AC88" s="66">
        <f t="shared" si="27"/>
        <v>51</v>
      </c>
      <c r="AD88" s="256">
        <f>VLOOKUP(A88,IR2016prnettnivå!$B$2:$K$133,8,FALSE)</f>
        <v>0.99722689221276672</v>
      </c>
      <c r="AE88" s="256">
        <f>VLOOKUP(A88,IR2016prnettnivå!$B$2:$K$133,9,FALSE)</f>
        <v>2.7731077872333049E-3</v>
      </c>
      <c r="AF88" s="256">
        <f>VLOOKUP(A88,IR2016prnettnivå!$B$2:$K$133,10,FALSE)</f>
        <v>0</v>
      </c>
      <c r="AG88" s="277">
        <f t="shared" si="28"/>
        <v>50.858571502851106</v>
      </c>
      <c r="AH88" s="277">
        <f t="shared" si="29"/>
        <v>0.14142849714889855</v>
      </c>
      <c r="AI88" s="277">
        <f t="shared" si="30"/>
        <v>0</v>
      </c>
      <c r="AJ88" s="277">
        <f t="shared" si="31"/>
        <v>0.65098971523649429</v>
      </c>
      <c r="AK88" s="277">
        <f t="shared" si="32"/>
        <v>1.8102847635059016E-3</v>
      </c>
      <c r="AL88" s="277">
        <f t="shared" si="33"/>
        <v>0</v>
      </c>
    </row>
    <row r="89" spans="1:38" x14ac:dyDescent="0.2">
      <c r="A89">
        <v>1462014</v>
      </c>
      <c r="B89" s="1" t="s">
        <v>174</v>
      </c>
      <c r="C89" s="99">
        <f>VLOOKUP(A89,IRData!$A$3:$F$146,6,FALSE)</f>
        <v>23295.5326179564</v>
      </c>
      <c r="D89" s="52">
        <f>C89*Forutsetninger!$C$23</f>
        <v>24507.567489248642</v>
      </c>
      <c r="E89" s="50">
        <f>VLOOKUP($A89,IRData!$A$2:$N$146,7,FALSE)</f>
        <v>8488</v>
      </c>
      <c r="F89" s="50">
        <f>VLOOKUP($A89,IRData!$A$2:$N$146,8,FALSE)</f>
        <v>183327</v>
      </c>
      <c r="G89" s="50">
        <f>VLOOKUP($A89,IRData!$A$2:$N$146,9,FALSE)</f>
        <v>185160.27000000002</v>
      </c>
      <c r="H89" s="50">
        <f>VLOOKUP($A89,IRData!$A$2:$N$146,10,FALSE)</f>
        <v>8905</v>
      </c>
      <c r="I89" s="50">
        <f>VLOOKUP($A89,IRData!$A$2:$N$146,11,FALSE)</f>
        <v>20971</v>
      </c>
      <c r="J89" s="52">
        <f>VLOOKUP(A89,IRData!$A$3:$AF$146,32,FALSE)</f>
        <v>2207.1042576432228</v>
      </c>
      <c r="K89" s="52">
        <f>VLOOKUP(A89,IRData!$A$3:$AM$146,37,FALSE)</f>
        <v>5197.6623679995537</v>
      </c>
      <c r="L89" s="145">
        <f>VLOOKUP($A89,IRData!$A$2:$N$146,13,FALSE)</f>
        <v>1175</v>
      </c>
      <c r="M89" s="51">
        <f>L89*Forutsetninger!$C$17</f>
        <v>1242.8049671292915</v>
      </c>
      <c r="N89" s="145">
        <f>VLOOKUP(A89,IRData!$A$3:$E$146,5,FALSE)*Forutsetninger!$C$23</f>
        <v>0</v>
      </c>
      <c r="O89" s="145">
        <f>VLOOKUP(A89,IRData!$A$3:$AG$146,19,FALSE)*Forutsetninger!$C$17</f>
        <v>2262.1906415494886</v>
      </c>
      <c r="P89" s="52">
        <f t="shared" si="22"/>
        <v>41643.139082020709</v>
      </c>
      <c r="Q89" s="253">
        <f>ROUND(D89+E89+J89+K89+M89+G89*Forutsetninger!$B$5+N89,0)</f>
        <v>53345</v>
      </c>
      <c r="R89" s="53">
        <f>IFERROR((VLOOKUP(A89,'DEAnorm D-nett'!$A$4:$H$134,8,FALSE)+O89),0)</f>
        <v>35500.914882070174</v>
      </c>
      <c r="S89" s="26">
        <f>IFERROR((VLOOKUP(A89,'DEAnorm R-nett'!$A$4:$H$86,8,FALSE)+N89+K89),N89+K89)</f>
        <v>21420.240500139102</v>
      </c>
      <c r="T89" s="151">
        <f>IFERROR(VLOOKUP(A89,IRData!$A$3:$AN$146,40,FALSE),0)</f>
        <v>2457.9200029830872</v>
      </c>
      <c r="U89" s="54">
        <f>(1-Forutsetninger!$B$3)*Q89+(R89+S89+T89)*Forutsetninger!$B$3</f>
        <v>56965.445231115416</v>
      </c>
      <c r="V89" s="47">
        <f t="shared" si="23"/>
        <v>15322.306149094708</v>
      </c>
      <c r="W89" s="208">
        <f t="shared" si="24"/>
        <v>8.2751586769098495E-2</v>
      </c>
      <c r="X89" s="47">
        <f>(R89+S89+T89)-G89*($K$159+$K$153)/Forutsetninger!$B$3</f>
        <v>68154.989347989947</v>
      </c>
      <c r="Y89" s="278">
        <f>ROUND((1-Forutsetninger!$B$3)*Q89+Forutsetninger!$B$3*X89,0)</f>
        <v>62231</v>
      </c>
      <c r="Z89" s="47">
        <v>63038</v>
      </c>
      <c r="AA89" s="73">
        <f t="shared" si="25"/>
        <v>-807</v>
      </c>
      <c r="AB89" s="269">
        <f t="shared" si="26"/>
        <v>-1.2801802087629684E-2</v>
      </c>
      <c r="AC89" s="66">
        <f t="shared" si="27"/>
        <v>0</v>
      </c>
      <c r="AD89" s="256">
        <f>VLOOKUP(A89,IR2016prnettnivå!$B$2:$K$133,8,FALSE)</f>
        <v>0.59101797357107733</v>
      </c>
      <c r="AE89" s="256">
        <f>VLOOKUP(A89,IR2016prnettnivå!$B$2:$K$133,9,FALSE)</f>
        <v>0.36058188048289103</v>
      </c>
      <c r="AF89" s="256">
        <f>VLOOKUP(A89,IR2016prnettnivå!$B$2:$K$133,10,FALSE)</f>
        <v>4.8400145946031696E-2</v>
      </c>
      <c r="AG89" s="277">
        <f t="shared" si="28"/>
        <v>0</v>
      </c>
      <c r="AH89" s="277">
        <f t="shared" si="29"/>
        <v>0</v>
      </c>
      <c r="AI89" s="277">
        <f t="shared" si="30"/>
        <v>0</v>
      </c>
      <c r="AJ89" s="277">
        <f t="shared" si="31"/>
        <v>0</v>
      </c>
      <c r="AK89" s="277">
        <f t="shared" si="32"/>
        <v>0</v>
      </c>
      <c r="AL89" s="277">
        <f t="shared" si="33"/>
        <v>0</v>
      </c>
    </row>
    <row r="90" spans="1:38" x14ac:dyDescent="0.2">
      <c r="A90">
        <v>1492014</v>
      </c>
      <c r="B90" s="1" t="s">
        <v>176</v>
      </c>
      <c r="C90" s="99">
        <f>VLOOKUP(A90,IRData!$A$3:$F$146,6,FALSE)</f>
        <v>16377.659790039063</v>
      </c>
      <c r="D90" s="52">
        <f>C90*Forutsetninger!$C$23</f>
        <v>17229.76714904348</v>
      </c>
      <c r="E90" s="50">
        <f>VLOOKUP($A90,IRData!$A$2:$N$146,7,FALSE)</f>
        <v>6327</v>
      </c>
      <c r="F90" s="50">
        <f>VLOOKUP($A90,IRData!$A$2:$N$146,8,FALSE)</f>
        <v>93064</v>
      </c>
      <c r="G90" s="50">
        <f>VLOOKUP($A90,IRData!$A$2:$N$146,9,FALSE)</f>
        <v>93994.64</v>
      </c>
      <c r="H90" s="50">
        <f>VLOOKUP($A90,IRData!$A$2:$N$146,10,FALSE)</f>
        <v>4293</v>
      </c>
      <c r="I90" s="50">
        <f>VLOOKUP($A90,IRData!$A$2:$N$146,11,FALSE)</f>
        <v>0</v>
      </c>
      <c r="J90" s="52">
        <f>VLOOKUP(A90,IRData!$A$3:$AF$146,32,FALSE)</f>
        <v>1187.4438139200211</v>
      </c>
      <c r="K90" s="52">
        <f>VLOOKUP(A90,IRData!$A$3:$AM$146,37,FALSE)</f>
        <v>0</v>
      </c>
      <c r="L90" s="145">
        <f>VLOOKUP($A90,IRData!$A$2:$N$146,13,FALSE)</f>
        <v>634</v>
      </c>
      <c r="M90" s="51">
        <f>L90*Forutsetninger!$C$17</f>
        <v>670.58582907231551</v>
      </c>
      <c r="N90" s="145">
        <f>VLOOKUP(A90,IRData!$A$3:$E$146,5,FALSE)*Forutsetninger!$C$23</f>
        <v>0</v>
      </c>
      <c r="O90" s="145">
        <f>VLOOKUP(A90,IRData!$A$3:$AG$146,19,FALSE)*Forutsetninger!$C$17</f>
        <v>0</v>
      </c>
      <c r="P90" s="52">
        <f t="shared" si="22"/>
        <v>25414.796792035817</v>
      </c>
      <c r="Q90" s="253">
        <f>ROUND(D90+E90+J90+K90+M90+G90*Forutsetninger!$B$5+N90,0)</f>
        <v>31355</v>
      </c>
      <c r="R90" s="53">
        <f>IFERROR((VLOOKUP(A90,'DEAnorm D-nett'!$A$4:$H$134,8,FALSE)+O90),0)</f>
        <v>30878.485333416167</v>
      </c>
      <c r="S90" s="26">
        <f>IFERROR((VLOOKUP(A90,'DEAnorm R-nett'!$A$4:$H$86,8,FALSE)+N90+K90),N90+K90)</f>
        <v>0</v>
      </c>
      <c r="T90" s="151">
        <f>IFERROR(VLOOKUP(A90,IRData!$A$3:$AN$146,40,FALSE),0)</f>
        <v>0</v>
      </c>
      <c r="U90" s="54">
        <f>(1-Forutsetninger!$B$3)*Q90+(R90+S90+T90)*Forutsetninger!$B$3</f>
        <v>31069.091200049701</v>
      </c>
      <c r="V90" s="47">
        <f t="shared" si="23"/>
        <v>5654.2944080138841</v>
      </c>
      <c r="W90" s="208">
        <f t="shared" si="24"/>
        <v>6.0155498313668565E-2</v>
      </c>
      <c r="X90" s="47">
        <f>(R90+S90+T90)-G90*($K$159+$K$153)/Forutsetninger!$B$3</f>
        <v>35333.484635394569</v>
      </c>
      <c r="Y90" s="278">
        <f>ROUND((1-Forutsetninger!$B$3)*Q90+Forutsetninger!$B$3*X90,0)</f>
        <v>33742</v>
      </c>
      <c r="Z90" s="47">
        <v>33724</v>
      </c>
      <c r="AA90" s="73">
        <f t="shared" si="25"/>
        <v>18</v>
      </c>
      <c r="AB90" s="269">
        <f t="shared" si="26"/>
        <v>5.3374451429249201E-4</v>
      </c>
      <c r="AC90" s="66">
        <f t="shared" si="27"/>
        <v>18</v>
      </c>
      <c r="AD90" s="256">
        <f>VLOOKUP(A90,IR2016prnettnivå!$B$2:$K$133,8,FALSE)</f>
        <v>1</v>
      </c>
      <c r="AE90" s="256">
        <f>VLOOKUP(A90,IR2016prnettnivå!$B$2:$K$133,9,FALSE)</f>
        <v>0</v>
      </c>
      <c r="AF90" s="256">
        <f>VLOOKUP(A90,IR2016prnettnivå!$B$2:$K$133,10,FALSE)</f>
        <v>0</v>
      </c>
      <c r="AG90" s="277">
        <f t="shared" si="28"/>
        <v>18</v>
      </c>
      <c r="AH90" s="277">
        <f t="shared" si="29"/>
        <v>0</v>
      </c>
      <c r="AI90" s="277">
        <f t="shared" si="30"/>
        <v>0</v>
      </c>
      <c r="AJ90" s="277">
        <f t="shared" si="31"/>
        <v>0.23040000000000005</v>
      </c>
      <c r="AK90" s="277">
        <f t="shared" si="32"/>
        <v>0</v>
      </c>
      <c r="AL90" s="277">
        <f t="shared" si="33"/>
        <v>0</v>
      </c>
    </row>
    <row r="91" spans="1:38" x14ac:dyDescent="0.2">
      <c r="A91">
        <v>1522014</v>
      </c>
      <c r="B91" s="1" t="s">
        <v>177</v>
      </c>
      <c r="C91" s="99">
        <f>VLOOKUP(A91,IRData!$A$3:$F$146,6,FALSE)</f>
        <v>1641</v>
      </c>
      <c r="D91" s="52">
        <f>C91*Forutsetninger!$C$23</f>
        <v>1726.3789976133651</v>
      </c>
      <c r="E91" s="50">
        <f>VLOOKUP($A91,IRData!$A$2:$N$146,7,FALSE)</f>
        <v>732</v>
      </c>
      <c r="F91" s="50">
        <f>VLOOKUP($A91,IRData!$A$2:$N$146,8,FALSE)</f>
        <v>14610</v>
      </c>
      <c r="G91" s="50">
        <f>VLOOKUP($A91,IRData!$A$2:$N$146,9,FALSE)</f>
        <v>14756.1</v>
      </c>
      <c r="H91" s="50">
        <f>VLOOKUP($A91,IRData!$A$2:$N$146,10,FALSE)</f>
        <v>0</v>
      </c>
      <c r="I91" s="50">
        <f>VLOOKUP($A91,IRData!$A$2:$N$146,11,FALSE)</f>
        <v>15018</v>
      </c>
      <c r="J91" s="52">
        <f>VLOOKUP(A91,IRData!$A$3:$AF$146,32,FALSE)</f>
        <v>0</v>
      </c>
      <c r="K91" s="52">
        <f>VLOOKUP(A91,IRData!$A$3:$AM$146,37,FALSE)</f>
        <v>4153.978848695755</v>
      </c>
      <c r="L91" s="145">
        <f>VLOOKUP($A91,IRData!$A$2:$N$146,13,FALSE)</f>
        <v>0</v>
      </c>
      <c r="M91" s="51">
        <f>L91*Forutsetninger!$C$17</f>
        <v>0</v>
      </c>
      <c r="N91" s="145">
        <f>VLOOKUP(A91,IRData!$A$3:$E$146,5,FALSE)*Forutsetninger!$C$23</f>
        <v>0</v>
      </c>
      <c r="O91" s="145">
        <f>VLOOKUP(A91,IRData!$A$3:$AG$146,19,FALSE)*Forutsetninger!$C$17</f>
        <v>0</v>
      </c>
      <c r="P91" s="52">
        <f t="shared" si="22"/>
        <v>6612.3578463091199</v>
      </c>
      <c r="Q91" s="253">
        <f>ROUND(D91+E91+J91+K91+M91+G91*Forutsetninger!$B$5+N91,0)</f>
        <v>7545</v>
      </c>
      <c r="R91" s="53">
        <f>IFERROR((VLOOKUP(A91,'DEAnorm D-nett'!$A$4:$H$134,8,FALSE)+O91),0)</f>
        <v>0</v>
      </c>
      <c r="S91" s="26">
        <f>IFERROR((VLOOKUP(A91,'DEAnorm R-nett'!$A$4:$H$86,8,FALSE)+N91+K91),N91+K91)</f>
        <v>7050.5938778491873</v>
      </c>
      <c r="T91" s="151">
        <f>IFERROR(VLOOKUP(A91,IRData!$A$3:$AN$146,40,FALSE),0)</f>
        <v>0</v>
      </c>
      <c r="U91" s="54">
        <f>(1-Forutsetninger!$B$3)*Q91+(R91+S91+T91)*Forutsetninger!$B$3</f>
        <v>7248.3563267095124</v>
      </c>
      <c r="V91" s="47">
        <f t="shared" si="23"/>
        <v>635.99848040039251</v>
      </c>
      <c r="W91" s="208">
        <f t="shared" si="24"/>
        <v>4.3100716341065222E-2</v>
      </c>
      <c r="X91" s="47">
        <f>(R91+S91+T91)-G91*($K$159+$K$153)/Forutsetninger!$B$3</f>
        <v>7749.978600211266</v>
      </c>
      <c r="Y91" s="278">
        <f>ROUND((1-Forutsetninger!$B$3)*Q91+Forutsetninger!$B$3*X91,0)</f>
        <v>7668</v>
      </c>
      <c r="Z91" s="47">
        <v>7650</v>
      </c>
      <c r="AA91" s="73">
        <f t="shared" si="25"/>
        <v>18</v>
      </c>
      <c r="AB91" s="269">
        <f t="shared" si="26"/>
        <v>2.352941176470588E-3</v>
      </c>
      <c r="AC91" s="66">
        <f t="shared" si="27"/>
        <v>18</v>
      </c>
      <c r="AD91" s="268">
        <f>AD36</f>
        <v>0.86529673575797228</v>
      </c>
      <c r="AE91" s="268">
        <f t="shared" ref="AE91:AF91" si="35">AE36</f>
        <v>0.13470326424202775</v>
      </c>
      <c r="AF91" s="268">
        <f t="shared" si="35"/>
        <v>0</v>
      </c>
      <c r="AG91" s="277">
        <f t="shared" si="28"/>
        <v>15.575341243643502</v>
      </c>
      <c r="AH91" s="277">
        <f t="shared" si="29"/>
        <v>2.4246587563564996</v>
      </c>
      <c r="AI91" s="277">
        <f t="shared" si="30"/>
        <v>0</v>
      </c>
      <c r="AJ91" s="277">
        <f t="shared" si="31"/>
        <v>0.19936436791863685</v>
      </c>
      <c r="AK91" s="277">
        <f t="shared" si="32"/>
        <v>3.1035632081363201E-2</v>
      </c>
      <c r="AL91" s="277">
        <f t="shared" si="33"/>
        <v>0</v>
      </c>
    </row>
    <row r="92" spans="1:38" x14ac:dyDescent="0.2">
      <c r="A92">
        <v>1532014</v>
      </c>
      <c r="B92" s="1" t="s">
        <v>178</v>
      </c>
      <c r="C92" s="99">
        <f>VLOOKUP(A92,IRData!$A$3:$F$146,6,FALSE)</f>
        <v>14367.915283203125</v>
      </c>
      <c r="D92" s="52">
        <f>C92*Forutsetninger!$C$23</f>
        <v>15115.458369536844</v>
      </c>
      <c r="E92" s="50">
        <f>VLOOKUP($A92,IRData!$A$2:$N$146,7,FALSE)</f>
        <v>8412</v>
      </c>
      <c r="F92" s="50">
        <f>VLOOKUP($A92,IRData!$A$2:$N$146,8,FALSE)</f>
        <v>108811</v>
      </c>
      <c r="G92" s="50">
        <f>VLOOKUP($A92,IRData!$A$2:$N$146,9,FALSE)</f>
        <v>109899.11</v>
      </c>
      <c r="H92" s="50">
        <f>VLOOKUP($A92,IRData!$A$2:$N$146,10,FALSE)</f>
        <v>8694</v>
      </c>
      <c r="I92" s="50">
        <f>VLOOKUP($A92,IRData!$A$2:$N$146,11,FALSE)</f>
        <v>0</v>
      </c>
      <c r="J92" s="52">
        <f>VLOOKUP(A92,IRData!$A$3:$AF$146,32,FALSE)</f>
        <v>2404.7604281902313</v>
      </c>
      <c r="K92" s="52">
        <f>VLOOKUP(A92,IRData!$A$3:$AM$146,37,FALSE)</f>
        <v>0</v>
      </c>
      <c r="L92" s="145">
        <f>VLOOKUP($A92,IRData!$A$2:$N$146,13,FALSE)</f>
        <v>602</v>
      </c>
      <c r="M92" s="51">
        <f>L92*Forutsetninger!$C$17</f>
        <v>636.73922571219873</v>
      </c>
      <c r="N92" s="145">
        <f>VLOOKUP(A92,IRData!$A$3:$E$146,5,FALSE)*Forutsetninger!$C$23</f>
        <v>0</v>
      </c>
      <c r="O92" s="145">
        <f>VLOOKUP(A92,IRData!$A$3:$AG$146,19,FALSE)*Forutsetninger!$C$17</f>
        <v>0</v>
      </c>
      <c r="P92" s="52">
        <f t="shared" si="22"/>
        <v>26568.958023439271</v>
      </c>
      <c r="Q92" s="253">
        <f>ROUND(D92+E92+J92+K92+M92+G92*Forutsetninger!$B$5+N92,0)</f>
        <v>33515</v>
      </c>
      <c r="R92" s="53">
        <f>IFERROR((VLOOKUP(A92,'DEAnorm D-nett'!$A$4:$H$134,8,FALSE)+O92),0)</f>
        <v>33169.828857474007</v>
      </c>
      <c r="S92" s="26">
        <f>IFERROR((VLOOKUP(A92,'DEAnorm R-nett'!$A$4:$H$86,8,FALSE)+N92+K92),N92+K92)</f>
        <v>0</v>
      </c>
      <c r="T92" s="151">
        <f>IFERROR(VLOOKUP(A92,IRData!$A$3:$AN$146,40,FALSE),0)</f>
        <v>0</v>
      </c>
      <c r="U92" s="54">
        <f>(1-Forutsetninger!$B$3)*Q92+(R92+S92+T92)*Forutsetninger!$B$3</f>
        <v>33307.897314484406</v>
      </c>
      <c r="V92" s="47">
        <f t="shared" si="23"/>
        <v>6738.9392910451352</v>
      </c>
      <c r="W92" s="208">
        <f t="shared" si="24"/>
        <v>6.1319325434438327E-2</v>
      </c>
      <c r="X92" s="47">
        <f>(R92+S92+T92)-G92*($K$159+$K$153)/Forutsetninger!$B$3</f>
        <v>38378.641384848415</v>
      </c>
      <c r="Y92" s="278">
        <f>ROUND((1-Forutsetninger!$B$3)*Q92+Forutsetninger!$B$3*X92,0)</f>
        <v>36433</v>
      </c>
      <c r="Z92" s="47">
        <v>36428</v>
      </c>
      <c r="AA92" s="73">
        <f t="shared" si="25"/>
        <v>5</v>
      </c>
      <c r="AB92" s="269">
        <f t="shared" si="26"/>
        <v>1.3725705501262765E-4</v>
      </c>
      <c r="AC92" s="66">
        <f t="shared" si="27"/>
        <v>5</v>
      </c>
      <c r="AD92" s="256">
        <f>VLOOKUP(A92,IR2016prnettnivå!$B$2:$K$133,8,FALSE)</f>
        <v>1</v>
      </c>
      <c r="AE92" s="256">
        <f>VLOOKUP(A92,IR2016prnettnivå!$B$2:$K$133,9,FALSE)</f>
        <v>0</v>
      </c>
      <c r="AF92" s="256">
        <f>VLOOKUP(A92,IR2016prnettnivå!$B$2:$K$133,10,FALSE)</f>
        <v>0</v>
      </c>
      <c r="AG92" s="277">
        <f t="shared" si="28"/>
        <v>5</v>
      </c>
      <c r="AH92" s="277">
        <f t="shared" si="29"/>
        <v>0</v>
      </c>
      <c r="AI92" s="277">
        <f t="shared" si="30"/>
        <v>0</v>
      </c>
      <c r="AJ92" s="277">
        <f t="shared" si="31"/>
        <v>6.4000000000000015E-2</v>
      </c>
      <c r="AK92" s="277">
        <f t="shared" si="32"/>
        <v>0</v>
      </c>
      <c r="AL92" s="277">
        <f t="shared" si="33"/>
        <v>0</v>
      </c>
    </row>
    <row r="93" spans="1:38" x14ac:dyDescent="0.2">
      <c r="A93">
        <v>1562014</v>
      </c>
      <c r="B93" s="1" t="s">
        <v>84</v>
      </c>
      <c r="C93" s="99">
        <f>VLOOKUP(A93,IRData!$A$3:$F$146,6,FALSE)</f>
        <v>215.07544946670532</v>
      </c>
      <c r="D93" s="52">
        <f>C93*Forutsetninger!$C$23</f>
        <v>226.26553251771767</v>
      </c>
      <c r="E93" s="50">
        <f>VLOOKUP($A93,IRData!$A$2:$N$146,7,FALSE)</f>
        <v>251</v>
      </c>
      <c r="F93" s="50">
        <f>VLOOKUP($A93,IRData!$A$2:$N$146,8,FALSE)</f>
        <v>1636</v>
      </c>
      <c r="G93" s="50">
        <f>VLOOKUP($A93,IRData!$A$2:$N$146,9,FALSE)</f>
        <v>1652.3600000000001</v>
      </c>
      <c r="H93" s="50">
        <f>VLOOKUP($A93,IRData!$A$2:$N$146,10,FALSE)</f>
        <v>0</v>
      </c>
      <c r="I93" s="50">
        <f>VLOOKUP($A93,IRData!$A$2:$N$146,11,FALSE)</f>
        <v>0</v>
      </c>
      <c r="J93" s="52">
        <f>VLOOKUP(A93,IRData!$A$3:$AF$146,32,FALSE)</f>
        <v>0</v>
      </c>
      <c r="K93" s="52">
        <f>VLOOKUP(A93,IRData!$A$3:$AM$146,37,FALSE)</f>
        <v>0</v>
      </c>
      <c r="L93" s="145">
        <f>VLOOKUP($A93,IRData!$A$2:$N$146,13,FALSE)</f>
        <v>0</v>
      </c>
      <c r="M93" s="51">
        <f>L93*Forutsetninger!$C$17</f>
        <v>0</v>
      </c>
      <c r="N93" s="145">
        <f>VLOOKUP(A93,IRData!$A$3:$E$146,5,FALSE)*Forutsetninger!$C$23</f>
        <v>0</v>
      </c>
      <c r="O93" s="145">
        <f>VLOOKUP(A93,IRData!$A$3:$AG$146,19,FALSE)*Forutsetninger!$C$17</f>
        <v>0</v>
      </c>
      <c r="P93" s="52">
        <f t="shared" si="22"/>
        <v>477.2655325177177</v>
      </c>
      <c r="Q93" s="253">
        <f>ROUND(D93+E93+J93+K93+M93+G93*Forutsetninger!$B$5+N93,0)</f>
        <v>582</v>
      </c>
      <c r="R93" s="53">
        <f>IFERROR((VLOOKUP(A93,'DEAnorm D-nett'!$A$4:$H$134,8,FALSE)+O93),0)</f>
        <v>0</v>
      </c>
      <c r="S93" s="26">
        <f>IFERROR((VLOOKUP(A93,'DEAnorm R-nett'!$A$4:$H$86,8,FALSE)+N93+K93),N93+K93)</f>
        <v>571.36386861276765</v>
      </c>
      <c r="T93" s="151">
        <f>IFERROR(VLOOKUP(A93,IRData!$A$3:$AN$146,40,FALSE),0)</f>
        <v>0</v>
      </c>
      <c r="U93" s="54">
        <f>(1-Forutsetninger!$B$3)*Q93+(R93+S93+T93)*Forutsetninger!$B$3</f>
        <v>575.61832116766061</v>
      </c>
      <c r="V93" s="47">
        <f t="shared" si="23"/>
        <v>98.352788649942909</v>
      </c>
      <c r="W93" s="208">
        <f t="shared" si="24"/>
        <v>5.9522615319871519E-2</v>
      </c>
      <c r="X93" s="47">
        <f>(R93+S93+T93)-G93*($K$159+$K$153)/Forutsetninger!$B$3</f>
        <v>649.6796390292194</v>
      </c>
      <c r="Y93" s="278">
        <f>ROUND((1-Forutsetninger!$B$3)*Q93+Forutsetninger!$B$3*X93,0)</f>
        <v>623</v>
      </c>
      <c r="Z93" s="47">
        <v>623</v>
      </c>
      <c r="AA93" s="73">
        <f t="shared" si="25"/>
        <v>0</v>
      </c>
      <c r="AB93" s="269">
        <f t="shared" si="26"/>
        <v>0</v>
      </c>
      <c r="AC93" s="66">
        <f t="shared" si="27"/>
        <v>0</v>
      </c>
      <c r="AD93" s="256">
        <f>VLOOKUP(A93,IR2016prnettnivå!$B$2:$K$133,8,FALSE)</f>
        <v>0</v>
      </c>
      <c r="AE93" s="256">
        <f>VLOOKUP(A93,IR2016prnettnivå!$B$2:$K$133,9,FALSE)</f>
        <v>1</v>
      </c>
      <c r="AF93" s="256">
        <f>VLOOKUP(A93,IR2016prnettnivå!$B$2:$K$133,10,FALSE)</f>
        <v>0</v>
      </c>
      <c r="AG93" s="277">
        <f t="shared" si="28"/>
        <v>0</v>
      </c>
      <c r="AH93" s="277">
        <f t="shared" si="29"/>
        <v>0</v>
      </c>
      <c r="AI93" s="277">
        <f t="shared" si="30"/>
        <v>0</v>
      </c>
      <c r="AJ93" s="277">
        <f t="shared" si="31"/>
        <v>0</v>
      </c>
      <c r="AK93" s="277">
        <f t="shared" si="32"/>
        <v>0</v>
      </c>
      <c r="AL93" s="277">
        <f t="shared" si="33"/>
        <v>0</v>
      </c>
    </row>
    <row r="94" spans="1:38" x14ac:dyDescent="0.2">
      <c r="A94">
        <v>1572014</v>
      </c>
      <c r="B94" s="1" t="s">
        <v>85</v>
      </c>
      <c r="C94" s="99">
        <f>VLOOKUP(A94,IRData!$A$3:$F$146,6,FALSE)</f>
        <v>13719.08056640625</v>
      </c>
      <c r="D94" s="52">
        <f>C94*Forutsetninger!$C$23</f>
        <v>14432.865665088008</v>
      </c>
      <c r="E94" s="50">
        <f>VLOOKUP($A94,IRData!$A$2:$N$146,7,FALSE)</f>
        <v>5313</v>
      </c>
      <c r="F94" s="50">
        <f>VLOOKUP($A94,IRData!$A$2:$N$146,8,FALSE)</f>
        <v>67023</v>
      </c>
      <c r="G94" s="50">
        <f>VLOOKUP($A94,IRData!$A$2:$N$146,9,FALSE)</f>
        <v>67693.23</v>
      </c>
      <c r="H94" s="50">
        <f>VLOOKUP($A94,IRData!$A$2:$N$146,10,FALSE)</f>
        <v>8260</v>
      </c>
      <c r="I94" s="50">
        <f>VLOOKUP($A94,IRData!$A$2:$N$146,11,FALSE)</f>
        <v>0</v>
      </c>
      <c r="J94" s="52">
        <f>VLOOKUP(A94,IRData!$A$3:$AF$146,32,FALSE)</f>
        <v>2145.122002363205</v>
      </c>
      <c r="K94" s="52">
        <f>VLOOKUP(A94,IRData!$A$3:$AM$146,37,FALSE)</f>
        <v>0</v>
      </c>
      <c r="L94" s="145">
        <f>VLOOKUP($A94,IRData!$A$2:$N$146,13,FALSE)</f>
        <v>1358</v>
      </c>
      <c r="M94" s="51">
        <f>L94*Forutsetninger!$C$17</f>
        <v>1436.3652300949598</v>
      </c>
      <c r="N94" s="145">
        <f>VLOOKUP(A94,IRData!$A$3:$E$146,5,FALSE)*Forutsetninger!$C$23</f>
        <v>0</v>
      </c>
      <c r="O94" s="145">
        <f>VLOOKUP(A94,IRData!$A$3:$AG$146,19,FALSE)*Forutsetninger!$C$17</f>
        <v>1183.2983972676222</v>
      </c>
      <c r="P94" s="52">
        <f t="shared" si="22"/>
        <v>23327.352897546174</v>
      </c>
      <c r="Q94" s="253">
        <f>ROUND(D94+E94+J94+K94+M94+G94*Forutsetninger!$B$5+N94,0)</f>
        <v>27606</v>
      </c>
      <c r="R94" s="53">
        <f>IFERROR((VLOOKUP(A94,'DEAnorm D-nett'!$A$4:$H$134,8,FALSE)+O94),0)</f>
        <v>25548.255578712291</v>
      </c>
      <c r="S94" s="26">
        <f>IFERROR((VLOOKUP(A94,'DEAnorm R-nett'!$A$4:$H$86,8,FALSE)+N94+K94),N94+K94)</f>
        <v>0</v>
      </c>
      <c r="T94" s="151">
        <f>IFERROR(VLOOKUP(A94,IRData!$A$3:$AN$146,40,FALSE),0)</f>
        <v>0</v>
      </c>
      <c r="U94" s="54">
        <f>(1-Forutsetninger!$B$3)*Q94+(R94+S94+T94)*Forutsetninger!$B$3</f>
        <v>26371.353347227378</v>
      </c>
      <c r="V94" s="47">
        <f t="shared" si="23"/>
        <v>3044.0004496812035</v>
      </c>
      <c r="W94" s="208">
        <f t="shared" si="24"/>
        <v>4.4967575777979621E-2</v>
      </c>
      <c r="X94" s="47">
        <f>(R94+S94+T94)-G94*($K$159+$K$153)/Forutsetninger!$B$3</f>
        <v>28756.665041195083</v>
      </c>
      <c r="Y94" s="278">
        <f>ROUND((1-Forutsetninger!$B$3)*Q94+Forutsetninger!$B$3*X94,0)</f>
        <v>28296</v>
      </c>
      <c r="Z94" s="47">
        <v>28292</v>
      </c>
      <c r="AA94" s="73">
        <f t="shared" si="25"/>
        <v>4</v>
      </c>
      <c r="AB94" s="269">
        <f t="shared" si="26"/>
        <v>1.4138272303124559E-4</v>
      </c>
      <c r="AC94" s="66">
        <f t="shared" si="27"/>
        <v>4</v>
      </c>
      <c r="AD94" s="256">
        <f>VLOOKUP(A94,IR2016prnettnivå!$B$2:$K$133,8,FALSE)</f>
        <v>1</v>
      </c>
      <c r="AE94" s="256">
        <f>VLOOKUP(A94,IR2016prnettnivå!$B$2:$K$133,9,FALSE)</f>
        <v>0</v>
      </c>
      <c r="AF94" s="256">
        <f>VLOOKUP(A94,IR2016prnettnivå!$B$2:$K$133,10,FALSE)</f>
        <v>0</v>
      </c>
      <c r="AG94" s="277">
        <f t="shared" si="28"/>
        <v>4</v>
      </c>
      <c r="AH94" s="277">
        <f t="shared" si="29"/>
        <v>0</v>
      </c>
      <c r="AI94" s="277">
        <f t="shared" si="30"/>
        <v>0</v>
      </c>
      <c r="AJ94" s="277">
        <f t="shared" si="31"/>
        <v>5.1200000000000009E-2</v>
      </c>
      <c r="AK94" s="277">
        <f t="shared" si="32"/>
        <v>0</v>
      </c>
      <c r="AL94" s="277">
        <f t="shared" si="33"/>
        <v>0</v>
      </c>
    </row>
    <row r="95" spans="1:38" x14ac:dyDescent="0.2">
      <c r="A95">
        <v>1612014</v>
      </c>
      <c r="B95" s="1" t="s">
        <v>39</v>
      </c>
      <c r="C95" s="99">
        <f>VLOOKUP(A95,IRData!$A$3:$F$146,6,FALSE)</f>
        <v>15134.894088745117</v>
      </c>
      <c r="D95" s="52">
        <f>C95*Forutsetninger!$C$23</f>
        <v>15922.34203894713</v>
      </c>
      <c r="E95" s="50">
        <f>VLOOKUP($A95,IRData!$A$2:$N$146,7,FALSE)</f>
        <v>3422</v>
      </c>
      <c r="F95" s="50">
        <f>VLOOKUP($A95,IRData!$A$2:$N$146,8,FALSE)</f>
        <v>41746</v>
      </c>
      <c r="G95" s="50">
        <f>VLOOKUP($A95,IRData!$A$2:$N$146,9,FALSE)</f>
        <v>42163.46</v>
      </c>
      <c r="H95" s="50">
        <f>VLOOKUP($A95,IRData!$A$2:$N$146,10,FALSE)</f>
        <v>7710</v>
      </c>
      <c r="I95" s="50">
        <f>VLOOKUP($A95,IRData!$A$2:$N$146,11,FALSE)</f>
        <v>705</v>
      </c>
      <c r="J95" s="52">
        <f>VLOOKUP(A95,IRData!$A$3:$AF$146,32,FALSE)</f>
        <v>1910.9235066175461</v>
      </c>
      <c r="K95" s="52">
        <f>VLOOKUP(A95,IRData!$A$3:$AM$146,37,FALSE)</f>
        <v>174.73425060510635</v>
      </c>
      <c r="L95" s="145">
        <f>VLOOKUP($A95,IRData!$A$2:$N$146,13,FALSE)</f>
        <v>739</v>
      </c>
      <c r="M95" s="51">
        <f>L95*Forutsetninger!$C$17</f>
        <v>781.64499634769902</v>
      </c>
      <c r="N95" s="145">
        <f>VLOOKUP(A95,IRData!$A$3:$E$146,5,FALSE)*Forutsetninger!$C$23</f>
        <v>0</v>
      </c>
      <c r="O95" s="145">
        <f>VLOOKUP(A95,IRData!$A$3:$AG$146,19,FALSE)*Forutsetninger!$C$17</f>
        <v>0</v>
      </c>
      <c r="P95" s="52">
        <f t="shared" si="22"/>
        <v>22211.64479251748</v>
      </c>
      <c r="Q95" s="253">
        <f>ROUND(D95+E95+J95+K95+M95+G95*Forutsetninger!$B$5+N95,0)</f>
        <v>24876</v>
      </c>
      <c r="R95" s="53">
        <f>IFERROR((VLOOKUP(A95,'DEAnorm D-nett'!$A$4:$H$134,8,FALSE)+O95),0)</f>
        <v>20029.759748595035</v>
      </c>
      <c r="S95" s="26">
        <f>IFERROR((VLOOKUP(A95,'DEAnorm R-nett'!$A$4:$H$86,8,FALSE)+N95+K95),N95+K95)</f>
        <v>2168.7631901626537</v>
      </c>
      <c r="T95" s="151">
        <f>IFERROR(VLOOKUP(A95,IRData!$A$3:$AN$146,40,FALSE),0)</f>
        <v>0</v>
      </c>
      <c r="U95" s="54">
        <f>(1-Forutsetninger!$B$3)*Q95+(R95+S95+T95)*Forutsetninger!$B$3</f>
        <v>23269.513763254618</v>
      </c>
      <c r="V95" s="47">
        <f t="shared" si="23"/>
        <v>1057.8689707371377</v>
      </c>
      <c r="W95" s="208">
        <f t="shared" si="24"/>
        <v>2.5089709685522436E-2</v>
      </c>
      <c r="X95" s="47">
        <f>(R95+S95+T95)-G95*($K$159+$K$153)/Forutsetninger!$B$3</f>
        <v>24196.91545208605</v>
      </c>
      <c r="Y95" s="278">
        <f>ROUND((1-Forutsetninger!$B$3)*Q95+Forutsetninger!$B$3*X95,0)</f>
        <v>24469</v>
      </c>
      <c r="Z95" s="47">
        <v>24480</v>
      </c>
      <c r="AA95" s="73">
        <f t="shared" si="25"/>
        <v>-11</v>
      </c>
      <c r="AB95" s="269">
        <f t="shared" si="26"/>
        <v>-4.4934640522875815E-4</v>
      </c>
      <c r="AC95" s="66">
        <f t="shared" si="27"/>
        <v>0</v>
      </c>
      <c r="AD95" s="256">
        <f>VLOOKUP(A95,IR2016prnettnivå!$B$2:$K$133,8,FALSE)</f>
        <v>0.90465686274509804</v>
      </c>
      <c r="AE95" s="256">
        <f>VLOOKUP(A95,IR2016prnettnivå!$B$2:$K$133,9,FALSE)</f>
        <v>9.5343137254901955E-2</v>
      </c>
      <c r="AF95" s="256">
        <f>VLOOKUP(A95,IR2016prnettnivå!$B$2:$K$133,10,FALSE)</f>
        <v>0</v>
      </c>
      <c r="AG95" s="277">
        <f t="shared" si="28"/>
        <v>0</v>
      </c>
      <c r="AH95" s="277">
        <f t="shared" si="29"/>
        <v>0</v>
      </c>
      <c r="AI95" s="277">
        <f t="shared" si="30"/>
        <v>0</v>
      </c>
      <c r="AJ95" s="277">
        <f t="shared" si="31"/>
        <v>0</v>
      </c>
      <c r="AK95" s="277">
        <f t="shared" si="32"/>
        <v>0</v>
      </c>
      <c r="AL95" s="277">
        <f t="shared" si="33"/>
        <v>0</v>
      </c>
    </row>
    <row r="96" spans="1:38" x14ac:dyDescent="0.2">
      <c r="A96">
        <v>1622014</v>
      </c>
      <c r="B96" s="1" t="s">
        <v>179</v>
      </c>
      <c r="C96" s="99">
        <f>VLOOKUP(A96,IRData!$A$3:$F$146,6,FALSE)</f>
        <v>23214.599475860596</v>
      </c>
      <c r="D96" s="52">
        <f>C96*Forutsetninger!$C$23</f>
        <v>24422.42350586957</v>
      </c>
      <c r="E96" s="50">
        <f>VLOOKUP($A96,IRData!$A$2:$N$146,7,FALSE)</f>
        <v>6456</v>
      </c>
      <c r="F96" s="50">
        <f>VLOOKUP($A96,IRData!$A$2:$N$146,8,FALSE)</f>
        <v>92837</v>
      </c>
      <c r="G96" s="50">
        <f>VLOOKUP($A96,IRData!$A$2:$N$146,9,FALSE)</f>
        <v>93765.37</v>
      </c>
      <c r="H96" s="50">
        <f>VLOOKUP($A96,IRData!$A$2:$N$146,10,FALSE)</f>
        <v>11128</v>
      </c>
      <c r="I96" s="50">
        <f>VLOOKUP($A96,IRData!$A$2:$N$146,11,FALSE)</f>
        <v>191</v>
      </c>
      <c r="J96" s="52">
        <f>VLOOKUP(A96,IRData!$A$3:$AF$146,32,FALSE)</f>
        <v>3078.0048360824585</v>
      </c>
      <c r="K96" s="52">
        <f>VLOOKUP(A96,IRData!$A$3:$AM$146,37,FALSE)</f>
        <v>52.830600619316101</v>
      </c>
      <c r="L96" s="145">
        <f>VLOOKUP($A96,IRData!$A$2:$N$146,13,FALSE)</f>
        <v>1106</v>
      </c>
      <c r="M96" s="51">
        <f>L96*Forutsetninger!$C$17</f>
        <v>1169.8232286340394</v>
      </c>
      <c r="N96" s="145">
        <f>VLOOKUP(A96,IRData!$A$3:$E$146,5,FALSE)*Forutsetninger!$C$23</f>
        <v>0</v>
      </c>
      <c r="O96" s="145">
        <f>VLOOKUP(A96,IRData!$A$3:$AG$146,19,FALSE)*Forutsetninger!$C$17</f>
        <v>0</v>
      </c>
      <c r="P96" s="52">
        <f t="shared" si="22"/>
        <v>35179.082171205388</v>
      </c>
      <c r="Q96" s="253">
        <f>ROUND(D96+E96+J96+K96+M96+G96*Forutsetninger!$B$5+N96,0)</f>
        <v>41105</v>
      </c>
      <c r="R96" s="53">
        <f>IFERROR((VLOOKUP(A96,'DEAnorm D-nett'!$A$4:$H$134,8,FALSE)+O96),0)</f>
        <v>37646.710905509681</v>
      </c>
      <c r="S96" s="26">
        <f>IFERROR((VLOOKUP(A96,'DEAnorm R-nett'!$A$4:$H$86,8,FALSE)+N96+K96),N96+K96)</f>
        <v>723.38143673665422</v>
      </c>
      <c r="T96" s="151">
        <f>IFERROR(VLOOKUP(A96,IRData!$A$3:$AN$146,40,FALSE),0)</f>
        <v>0</v>
      </c>
      <c r="U96" s="54">
        <f>(1-Forutsetninger!$B$3)*Q96+(R96+S96+T96)*Forutsetninger!$B$3</f>
        <v>39464.055405347797</v>
      </c>
      <c r="V96" s="47">
        <f t="shared" si="23"/>
        <v>4284.9732341424096</v>
      </c>
      <c r="W96" s="208">
        <f t="shared" si="24"/>
        <v>4.5698888983666461E-2</v>
      </c>
      <c r="X96" s="47">
        <f>(R96+S96+T96)-G96*($K$159+$K$153)/Forutsetninger!$B$3</f>
        <v>42814.225091728083</v>
      </c>
      <c r="Y96" s="278">
        <f>ROUND((1-Forutsetninger!$B$3)*Q96+Forutsetninger!$B$3*X96,0)</f>
        <v>42131</v>
      </c>
      <c r="Z96" s="47">
        <v>42136</v>
      </c>
      <c r="AA96" s="73">
        <f t="shared" si="25"/>
        <v>-5</v>
      </c>
      <c r="AB96" s="269">
        <f t="shared" si="26"/>
        <v>-1.1866337573571293E-4</v>
      </c>
      <c r="AC96" s="66">
        <f t="shared" si="27"/>
        <v>0</v>
      </c>
      <c r="AD96" s="256">
        <f>VLOOKUP(A96,IR2016prnettnivå!$B$2:$K$133,8,FALSE)</f>
        <v>0.97733529523447882</v>
      </c>
      <c r="AE96" s="256">
        <f>VLOOKUP(A96,IR2016prnettnivå!$B$2:$K$133,9,FALSE)</f>
        <v>2.2664704765521168E-2</v>
      </c>
      <c r="AF96" s="256">
        <f>VLOOKUP(A96,IR2016prnettnivå!$B$2:$K$133,10,FALSE)</f>
        <v>0</v>
      </c>
      <c r="AG96" s="277">
        <f t="shared" si="28"/>
        <v>0</v>
      </c>
      <c r="AH96" s="277">
        <f t="shared" si="29"/>
        <v>0</v>
      </c>
      <c r="AI96" s="277">
        <f t="shared" si="30"/>
        <v>0</v>
      </c>
      <c r="AJ96" s="277">
        <f t="shared" si="31"/>
        <v>0</v>
      </c>
      <c r="AK96" s="277">
        <f t="shared" si="32"/>
        <v>0</v>
      </c>
      <c r="AL96" s="277">
        <f t="shared" si="33"/>
        <v>0</v>
      </c>
    </row>
    <row r="97" spans="1:39" x14ac:dyDescent="0.2">
      <c r="A97">
        <v>1642014</v>
      </c>
      <c r="B97" s="1" t="s">
        <v>40</v>
      </c>
      <c r="C97" s="99">
        <f>VLOOKUP(A97,IRData!$A$3:$F$146,6,FALSE)</f>
        <v>34550.607065200806</v>
      </c>
      <c r="D97" s="52">
        <f>C97*Forutsetninger!$C$23</f>
        <v>36348.228148784045</v>
      </c>
      <c r="E97" s="50">
        <f>VLOOKUP($A97,IRData!$A$2:$N$146,7,FALSE)</f>
        <v>10162</v>
      </c>
      <c r="F97" s="50">
        <f>VLOOKUP($A97,IRData!$A$2:$N$146,8,FALSE)</f>
        <v>171341</v>
      </c>
      <c r="G97" s="50">
        <f>VLOOKUP($A97,IRData!$A$2:$N$146,9,FALSE)</f>
        <v>173054.40999999997</v>
      </c>
      <c r="H97" s="50">
        <f>VLOOKUP($A97,IRData!$A$2:$N$146,10,FALSE)</f>
        <v>7754</v>
      </c>
      <c r="I97" s="50">
        <f>VLOOKUP($A97,IRData!$A$2:$N$146,11,FALSE)</f>
        <v>6050</v>
      </c>
      <c r="J97" s="52">
        <f>VLOOKUP(A97,IRData!$A$3:$AF$146,32,FALSE)</f>
        <v>1895.4653225541115</v>
      </c>
      <c r="K97" s="52">
        <f>VLOOKUP(A97,IRData!$A$3:$AM$146,37,FALSE)</f>
        <v>1478.9225175976753</v>
      </c>
      <c r="L97" s="145">
        <f>VLOOKUP($A97,IRData!$A$2:$N$146,13,FALSE)</f>
        <v>2737</v>
      </c>
      <c r="M97" s="51">
        <f>L97*Forutsetninger!$C$17</f>
        <v>2894.9422936449964</v>
      </c>
      <c r="N97" s="145">
        <f>VLOOKUP(A97,IRData!$A$3:$E$146,5,FALSE)*Forutsetninger!$C$23</f>
        <v>0</v>
      </c>
      <c r="O97" s="145">
        <f>VLOOKUP(A97,IRData!$A$3:$AG$146,19,FALSE)*Forutsetninger!$C$17</f>
        <v>0</v>
      </c>
      <c r="P97" s="52">
        <f t="shared" si="22"/>
        <v>52779.558282580831</v>
      </c>
      <c r="Q97" s="253">
        <f>ROUND(D97+E97+J97+K97+M97+G97*Forutsetninger!$B$5+N97,0)</f>
        <v>63717</v>
      </c>
      <c r="R97" s="53">
        <f>IFERROR((VLOOKUP(A97,'DEAnorm D-nett'!$A$4:$H$134,8,FALSE)+O97),0)</f>
        <v>44681.958608209352</v>
      </c>
      <c r="S97" s="26">
        <f>IFERROR((VLOOKUP(A97,'DEAnorm R-nett'!$A$4:$H$86,8,FALSE)+N97+K97),N97+K97)</f>
        <v>13016.412493853122</v>
      </c>
      <c r="T97" s="151">
        <f>IFERROR(VLOOKUP(A97,IRData!$A$3:$AN$146,40,FALSE),0)</f>
        <v>0</v>
      </c>
      <c r="U97" s="54">
        <f>(1-Forutsetninger!$B$3)*Q97+(R97+S97+T97)*Forutsetninger!$B$3</f>
        <v>60105.822661237486</v>
      </c>
      <c r="V97" s="47">
        <f t="shared" si="23"/>
        <v>7326.264378656655</v>
      </c>
      <c r="W97" s="208">
        <f t="shared" si="24"/>
        <v>4.2335034274230028E-2</v>
      </c>
      <c r="X97" s="47">
        <f>(R97+S97+T97)-G97*($K$159+$K$153)/Forutsetninger!$B$3</f>
        <v>65900.511944926329</v>
      </c>
      <c r="Y97" s="278">
        <f>ROUND((1-Forutsetninger!$B$3)*Q97+Forutsetninger!$B$3*X97,0)</f>
        <v>65027</v>
      </c>
      <c r="Z97" s="47">
        <v>65200</v>
      </c>
      <c r="AA97" s="73">
        <f t="shared" si="25"/>
        <v>-173</v>
      </c>
      <c r="AB97" s="269">
        <f t="shared" si="26"/>
        <v>-2.6533742331288344E-3</v>
      </c>
      <c r="AC97" s="66">
        <f t="shared" si="27"/>
        <v>0</v>
      </c>
      <c r="AD97" s="256">
        <f>VLOOKUP(A97,IR2016prnettnivå!$B$2:$K$133,8,FALSE)</f>
        <v>0.79857361963190188</v>
      </c>
      <c r="AE97" s="256">
        <f>VLOOKUP(A97,IR2016prnettnivå!$B$2:$K$133,9,FALSE)</f>
        <v>0.20142638036809815</v>
      </c>
      <c r="AF97" s="256">
        <f>VLOOKUP(A97,IR2016prnettnivå!$B$2:$K$133,10,FALSE)</f>
        <v>0</v>
      </c>
      <c r="AG97" s="277">
        <f t="shared" si="28"/>
        <v>0</v>
      </c>
      <c r="AH97" s="277">
        <f t="shared" si="29"/>
        <v>0</v>
      </c>
      <c r="AI97" s="277">
        <f t="shared" si="30"/>
        <v>0</v>
      </c>
      <c r="AJ97" s="277">
        <f t="shared" si="31"/>
        <v>0</v>
      </c>
      <c r="AK97" s="277">
        <f t="shared" si="32"/>
        <v>0</v>
      </c>
      <c r="AL97" s="277">
        <f t="shared" si="33"/>
        <v>0</v>
      </c>
    </row>
    <row r="98" spans="1:39" x14ac:dyDescent="0.2">
      <c r="A98">
        <v>6932014</v>
      </c>
      <c r="B98" s="1" t="s">
        <v>65</v>
      </c>
      <c r="C98" s="99">
        <f>VLOOKUP(A98,IRData!$A$3:$F$146,6,FALSE)</f>
        <v>56222.934387207031</v>
      </c>
      <c r="D98" s="52">
        <f>C98*Forutsetninger!$C$23</f>
        <v>59148.137178713267</v>
      </c>
      <c r="E98" s="50">
        <f>VLOOKUP($A98,IRData!$A$2:$N$146,7,FALSE)</f>
        <v>25711</v>
      </c>
      <c r="F98" s="50">
        <f>VLOOKUP($A98,IRData!$A$2:$N$146,8,FALSE)</f>
        <v>381046</v>
      </c>
      <c r="G98" s="50">
        <f>VLOOKUP($A98,IRData!$A$2:$N$146,9,FALSE)</f>
        <v>384856.46</v>
      </c>
      <c r="H98" s="50">
        <f>VLOOKUP($A98,IRData!$A$2:$N$146,10,FALSE)</f>
        <v>31716</v>
      </c>
      <c r="I98" s="50">
        <f>VLOOKUP($A98,IRData!$A$2:$N$146,11,FALSE)</f>
        <v>0</v>
      </c>
      <c r="J98" s="52">
        <f>VLOOKUP(A98,IRData!$A$3:$AF$146,32,FALSE)</f>
        <v>8236.6452090740204</v>
      </c>
      <c r="K98" s="52">
        <f>VLOOKUP(A98,IRData!$A$3:$AM$146,37,FALSE)</f>
        <v>0</v>
      </c>
      <c r="L98" s="145">
        <f>VLOOKUP($A98,IRData!$A$2:$N$146,13,FALSE)</f>
        <v>4526</v>
      </c>
      <c r="M98" s="51">
        <f>L98*Forutsetninger!$C$17</f>
        <v>4787.1789627465305</v>
      </c>
      <c r="N98" s="145">
        <f>VLOOKUP(A98,IRData!$A$3:$E$146,5,FALSE)*Forutsetninger!$C$23</f>
        <v>0</v>
      </c>
      <c r="O98" s="145">
        <f>VLOOKUP(A98,IRData!$A$3:$AG$146,19,FALSE)*Forutsetninger!$C$17</f>
        <v>0</v>
      </c>
      <c r="P98" s="52">
        <f t="shared" si="22"/>
        <v>97882.96135053382</v>
      </c>
      <c r="Q98" s="253">
        <f>ROUND(D98+E98+J98+K98+M98+G98*Forutsetninger!$B$5+N98,0)</f>
        <v>122206</v>
      </c>
      <c r="R98" s="53">
        <f>IFERROR((VLOOKUP(A98,'DEAnorm D-nett'!$A$4:$H$134,8,FALSE)+O98),0)</f>
        <v>114640.59603582825</v>
      </c>
      <c r="S98" s="26">
        <f>IFERROR((VLOOKUP(A98,'DEAnorm R-nett'!$A$4:$H$86,8,FALSE)+N98+K98),N98+K98)</f>
        <v>0</v>
      </c>
      <c r="T98" s="151">
        <f>IFERROR(VLOOKUP(A98,IRData!$A$3:$AN$146,40,FALSE),0)</f>
        <v>0</v>
      </c>
      <c r="U98" s="54">
        <f>(1-Forutsetninger!$B$3)*Q98+(R98+S98+T98)*Forutsetninger!$B$3</f>
        <v>117666.75762149694</v>
      </c>
      <c r="V98" s="47">
        <f t="shared" si="23"/>
        <v>19783.796270963125</v>
      </c>
      <c r="W98" s="208">
        <f t="shared" si="24"/>
        <v>5.140564944905205E-2</v>
      </c>
      <c r="X98" s="47">
        <f>(R98+S98+T98)-G98*($K$159+$K$153)/Forutsetninger!$B$3</f>
        <v>132881.37296376668</v>
      </c>
      <c r="Y98" s="278">
        <f>ROUND((1-Forutsetninger!$B$3)*Q98+Forutsetninger!$B$3*X98,0)</f>
        <v>128611</v>
      </c>
      <c r="Z98" s="47">
        <v>128518</v>
      </c>
      <c r="AA98" s="73">
        <f t="shared" si="25"/>
        <v>93</v>
      </c>
      <c r="AB98" s="269">
        <f t="shared" si="26"/>
        <v>7.2363404348029067E-4</v>
      </c>
      <c r="AC98" s="66">
        <f t="shared" si="27"/>
        <v>93</v>
      </c>
      <c r="AD98" s="256">
        <f>VLOOKUP(A98,IR2016prnettnivå!$B$2:$K$133,8,FALSE)</f>
        <v>1</v>
      </c>
      <c r="AE98" s="256">
        <f>VLOOKUP(A98,IR2016prnettnivå!$B$2:$K$133,9,FALSE)</f>
        <v>0</v>
      </c>
      <c r="AF98" s="256">
        <f>VLOOKUP(A98,IR2016prnettnivå!$B$2:$K$133,10,FALSE)</f>
        <v>0</v>
      </c>
      <c r="AG98" s="277">
        <f t="shared" si="28"/>
        <v>93</v>
      </c>
      <c r="AH98" s="277">
        <f t="shared" si="29"/>
        <v>0</v>
      </c>
      <c r="AI98" s="277">
        <f t="shared" si="30"/>
        <v>0</v>
      </c>
      <c r="AJ98" s="277">
        <f t="shared" si="31"/>
        <v>1.1904000000000001</v>
      </c>
      <c r="AK98" s="277">
        <f t="shared" si="32"/>
        <v>0</v>
      </c>
      <c r="AL98" s="277">
        <f t="shared" si="33"/>
        <v>0</v>
      </c>
    </row>
    <row r="99" spans="1:39" x14ac:dyDescent="0.2">
      <c r="A99">
        <v>1662014</v>
      </c>
      <c r="B99" s="1" t="s">
        <v>272</v>
      </c>
      <c r="C99" s="99">
        <f>VLOOKUP(A99,IRData!$A$3:$F$146,6,FALSE)</f>
        <v>9067.8121948242187</v>
      </c>
      <c r="D99" s="52">
        <f>C99*Forutsetninger!$C$23</f>
        <v>9539.5981276336879</v>
      </c>
      <c r="E99" s="50">
        <f>VLOOKUP($A99,IRData!$A$2:$N$146,7,FALSE)</f>
        <v>3656</v>
      </c>
      <c r="F99" s="50">
        <f>VLOOKUP($A99,IRData!$A$2:$N$146,8,FALSE)</f>
        <v>48027</v>
      </c>
      <c r="G99" s="50">
        <f>VLOOKUP($A99,IRData!$A$2:$N$146,9,FALSE)</f>
        <v>48507.27</v>
      </c>
      <c r="H99" s="50">
        <f>VLOOKUP($A99,IRData!$A$2:$N$146,10,FALSE)</f>
        <v>3961</v>
      </c>
      <c r="I99" s="50">
        <f>VLOOKUP($A99,IRData!$A$2:$N$146,11,FALSE)</f>
        <v>0</v>
      </c>
      <c r="J99" s="52">
        <f>VLOOKUP(A99,IRData!$A$3:$AF$146,32,FALSE)</f>
        <v>1095.6126128435135</v>
      </c>
      <c r="K99" s="52">
        <f>VLOOKUP(A99,IRData!$A$3:$AM$146,37,FALSE)</f>
        <v>0</v>
      </c>
      <c r="L99" s="145">
        <f>VLOOKUP($A99,IRData!$A$2:$N$146,13,FALSE)</f>
        <v>901</v>
      </c>
      <c r="M99" s="51">
        <f>L99*Forutsetninger!$C$17</f>
        <v>952.99342585829072</v>
      </c>
      <c r="N99" s="145">
        <f>VLOOKUP(A99,IRData!$A$3:$E$146,5,FALSE)*Forutsetninger!$C$23</f>
        <v>0</v>
      </c>
      <c r="O99" s="145">
        <f>VLOOKUP(A99,IRData!$A$3:$AG$146,19,FALSE)*Forutsetninger!$C$17</f>
        <v>0</v>
      </c>
      <c r="P99" s="52">
        <f t="shared" ref="P99:P130" si="36">D99+E99+K99+J99+M99+N99</f>
        <v>15244.204166335492</v>
      </c>
      <c r="Q99" s="253">
        <f>ROUND(D99+E99+J99+K99+M99+G99*Forutsetninger!$B$5+N99,0)</f>
        <v>18310</v>
      </c>
      <c r="R99" s="53">
        <f>IFERROR((VLOOKUP(A99,'DEAnorm D-nett'!$A$4:$H$134,8,FALSE)+O99),0)</f>
        <v>18294.795573591549</v>
      </c>
      <c r="S99" s="26">
        <f>IFERROR((VLOOKUP(A99,'DEAnorm R-nett'!$A$4:$H$86,8,FALSE)+N99+K99),N99+K99)</f>
        <v>0</v>
      </c>
      <c r="T99" s="151">
        <f>IFERROR(VLOOKUP(A99,IRData!$A$3:$AN$146,40,FALSE),0)</f>
        <v>0</v>
      </c>
      <c r="U99" s="54">
        <f>(1-Forutsetninger!$B$3)*Q99+(R99+S99+T99)*Forutsetninger!$B$3</f>
        <v>18300.877344154927</v>
      </c>
      <c r="V99" s="47">
        <f t="shared" ref="V99:V130" si="37">U99-P99</f>
        <v>3056.6731778194353</v>
      </c>
      <c r="W99" s="208">
        <f t="shared" ref="W99:W130" si="38">IF(G99=0,0,V99/G99)</f>
        <v>6.3014743518228E-2</v>
      </c>
      <c r="X99" s="47">
        <f>(R99+S99+T99)-G99*($K$159+$K$153)/Forutsetninger!$B$3</f>
        <v>20593.861286177693</v>
      </c>
      <c r="Y99" s="278">
        <f>ROUND((1-Forutsetninger!$B$3)*Q99+Forutsetninger!$B$3*X99,0)</f>
        <v>19680</v>
      </c>
      <c r="Z99" s="47">
        <v>19675</v>
      </c>
      <c r="AA99" s="73">
        <f t="shared" si="25"/>
        <v>5</v>
      </c>
      <c r="AB99" s="269">
        <f t="shared" si="26"/>
        <v>2.5412960609911054E-4</v>
      </c>
      <c r="AC99" s="66">
        <f t="shared" si="27"/>
        <v>5</v>
      </c>
      <c r="AD99" s="268">
        <f>AD31</f>
        <v>1</v>
      </c>
      <c r="AE99" s="268">
        <f t="shared" ref="AE99:AF99" si="39">AE31</f>
        <v>0</v>
      </c>
      <c r="AF99" s="268">
        <f t="shared" si="39"/>
        <v>0</v>
      </c>
      <c r="AG99" s="277">
        <f t="shared" si="28"/>
        <v>5</v>
      </c>
      <c r="AH99" s="277">
        <f t="shared" si="29"/>
        <v>0</v>
      </c>
      <c r="AI99" s="277">
        <f t="shared" si="30"/>
        <v>0</v>
      </c>
      <c r="AJ99" s="277">
        <f t="shared" si="31"/>
        <v>6.4000000000000015E-2</v>
      </c>
      <c r="AK99" s="277">
        <f t="shared" si="32"/>
        <v>0</v>
      </c>
      <c r="AL99" s="277">
        <f t="shared" si="33"/>
        <v>0</v>
      </c>
    </row>
    <row r="100" spans="1:39" x14ac:dyDescent="0.2">
      <c r="A100">
        <v>1682014</v>
      </c>
      <c r="B100" s="1" t="s">
        <v>43</v>
      </c>
      <c r="C100" s="99">
        <f>VLOOKUP(A100,IRData!$A$3:$F$146,6,FALSE)</f>
        <v>7729.6683044433594</v>
      </c>
      <c r="D100" s="52">
        <f>C100*Forutsetninger!$C$23</f>
        <v>8131.83243102299</v>
      </c>
      <c r="E100" s="50">
        <f>VLOOKUP($A100,IRData!$A$2:$N$146,7,FALSE)</f>
        <v>1365</v>
      </c>
      <c r="F100" s="50">
        <f>VLOOKUP($A100,IRData!$A$2:$N$146,8,FALSE)</f>
        <v>17335</v>
      </c>
      <c r="G100" s="50">
        <f>VLOOKUP($A100,IRData!$A$2:$N$146,9,FALSE)</f>
        <v>17508.349999999999</v>
      </c>
      <c r="H100" s="50">
        <f>VLOOKUP($A100,IRData!$A$2:$N$146,10,FALSE)</f>
        <v>2257</v>
      </c>
      <c r="I100" s="50">
        <f>VLOOKUP($A100,IRData!$A$2:$N$146,11,FALSE)</f>
        <v>0</v>
      </c>
      <c r="J100" s="52">
        <f>VLOOKUP(A100,IRData!$A$3:$AF$146,32,FALSE)</f>
        <v>586.14290064573288</v>
      </c>
      <c r="K100" s="52">
        <f>VLOOKUP(A100,IRData!$A$3:$AM$146,37,FALSE)</f>
        <v>0</v>
      </c>
      <c r="L100" s="145">
        <f>VLOOKUP($A100,IRData!$A$2:$N$146,13,FALSE)</f>
        <v>229</v>
      </c>
      <c r="M100" s="51">
        <f>L100*Forutsetninger!$C$17</f>
        <v>242.21475529583637</v>
      </c>
      <c r="N100" s="145">
        <f>VLOOKUP(A100,IRData!$A$3:$E$146,5,FALSE)*Forutsetninger!$C$23</f>
        <v>0</v>
      </c>
      <c r="O100" s="145">
        <f>VLOOKUP(A100,IRData!$A$3:$AG$146,19,FALSE)*Forutsetninger!$C$17</f>
        <v>0</v>
      </c>
      <c r="P100" s="52">
        <f t="shared" si="36"/>
        <v>10325.19008696456</v>
      </c>
      <c r="Q100" s="253">
        <f>ROUND(D100+E100+J100+K100+M100+G100*Forutsetninger!$B$5+N100,0)</f>
        <v>11432</v>
      </c>
      <c r="R100" s="53">
        <f>IFERROR((VLOOKUP(A100,'DEAnorm D-nett'!$A$4:$H$134,8,FALSE)+O100),0)</f>
        <v>10987.166398420579</v>
      </c>
      <c r="S100" s="26">
        <f>IFERROR((VLOOKUP(A100,'DEAnorm R-nett'!$A$4:$H$86,8,FALSE)+N100+K100),N100+K100)</f>
        <v>0</v>
      </c>
      <c r="T100" s="151">
        <f>IFERROR(VLOOKUP(A100,IRData!$A$3:$AN$146,40,FALSE),0)</f>
        <v>0</v>
      </c>
      <c r="U100" s="54">
        <f>(1-Forutsetninger!$B$3)*Q100+(R100+S100+T100)*Forutsetninger!$B$3</f>
        <v>11165.099839052347</v>
      </c>
      <c r="V100" s="47">
        <f t="shared" si="37"/>
        <v>839.90975208778764</v>
      </c>
      <c r="W100" s="208">
        <f t="shared" si="38"/>
        <v>4.7971953501488585E-2</v>
      </c>
      <c r="X100" s="47">
        <f>(R100+S100+T100)-G100*($K$159+$K$153)/Forutsetninger!$B$3</f>
        <v>11816.997621017885</v>
      </c>
      <c r="Y100" s="278">
        <f>ROUND((1-Forutsetninger!$B$3)*Q100+Forutsetninger!$B$3*X100,0)</f>
        <v>11663</v>
      </c>
      <c r="Z100" s="47">
        <v>11654</v>
      </c>
      <c r="AA100" s="73">
        <f t="shared" si="25"/>
        <v>9</v>
      </c>
      <c r="AB100" s="269">
        <f t="shared" si="26"/>
        <v>7.722670327784452E-4</v>
      </c>
      <c r="AC100" s="66">
        <f t="shared" si="27"/>
        <v>9</v>
      </c>
      <c r="AD100" s="256">
        <f>VLOOKUP(A100,IR2016prnettnivå!$B$2:$K$133,8,FALSE)</f>
        <v>1</v>
      </c>
      <c r="AE100" s="256">
        <f>VLOOKUP(A100,IR2016prnettnivå!$B$2:$K$133,9,FALSE)</f>
        <v>0</v>
      </c>
      <c r="AF100" s="256">
        <f>VLOOKUP(A100,IR2016prnettnivå!$B$2:$K$133,10,FALSE)</f>
        <v>0</v>
      </c>
      <c r="AG100" s="277">
        <f t="shared" si="28"/>
        <v>9</v>
      </c>
      <c r="AH100" s="277">
        <f t="shared" si="29"/>
        <v>0</v>
      </c>
      <c r="AI100" s="277">
        <f t="shared" si="30"/>
        <v>0</v>
      </c>
      <c r="AJ100" s="277">
        <f t="shared" si="31"/>
        <v>0.11520000000000002</v>
      </c>
      <c r="AK100" s="277">
        <f t="shared" si="32"/>
        <v>0</v>
      </c>
      <c r="AL100" s="277">
        <f t="shared" si="33"/>
        <v>0</v>
      </c>
    </row>
    <row r="101" spans="1:39" x14ac:dyDescent="0.2">
      <c r="A101">
        <v>1712014</v>
      </c>
      <c r="B101" s="1" t="s">
        <v>180</v>
      </c>
      <c r="C101" s="99">
        <f>VLOOKUP(A101,IRData!$A$3:$F$146,6,FALSE)</f>
        <v>28471.283935546875</v>
      </c>
      <c r="D101" s="52">
        <f>C101*Forutsetninger!$C$23</f>
        <v>29952.606106895139</v>
      </c>
      <c r="E101" s="50">
        <f>VLOOKUP($A101,IRData!$A$2:$N$146,7,FALSE)</f>
        <v>6332</v>
      </c>
      <c r="F101" s="50">
        <f>VLOOKUP($A101,IRData!$A$2:$N$146,8,FALSE)</f>
        <v>114421</v>
      </c>
      <c r="G101" s="50">
        <f>VLOOKUP($A101,IRData!$A$2:$N$146,9,FALSE)</f>
        <v>115565.21</v>
      </c>
      <c r="H101" s="50">
        <f>VLOOKUP($A101,IRData!$A$2:$N$146,10,FALSE)</f>
        <v>10069</v>
      </c>
      <c r="I101" s="50">
        <f>VLOOKUP($A101,IRData!$A$2:$N$146,11,FALSE)</f>
        <v>0</v>
      </c>
      <c r="J101" s="52">
        <f>VLOOKUP(A101,IRData!$A$3:$AF$146,32,FALSE)</f>
        <v>2461.3670792877674</v>
      </c>
      <c r="K101" s="52">
        <f>VLOOKUP(A101,IRData!$A$3:$AM$146,37,FALSE)</f>
        <v>0</v>
      </c>
      <c r="L101" s="145">
        <f>VLOOKUP($A101,IRData!$A$2:$N$146,13,FALSE)</f>
        <v>3055</v>
      </c>
      <c r="M101" s="51">
        <f>L101*Forutsetninger!$C$17</f>
        <v>3231.2929145361577</v>
      </c>
      <c r="N101" s="145">
        <f>VLOOKUP(A101,IRData!$A$3:$E$146,5,FALSE)*Forutsetninger!$C$23</f>
        <v>0</v>
      </c>
      <c r="O101" s="145">
        <f>VLOOKUP(A101,IRData!$A$3:$AG$146,19,FALSE)*Forutsetninger!$C$17</f>
        <v>0</v>
      </c>
      <c r="P101" s="52">
        <f t="shared" si="36"/>
        <v>41977.266100719062</v>
      </c>
      <c r="Q101" s="253">
        <f>ROUND(D101+E101+J101+K101+M101+G101*Forutsetninger!$B$5+N101,0)</f>
        <v>49281</v>
      </c>
      <c r="R101" s="53">
        <f>IFERROR((VLOOKUP(A101,'DEAnorm D-nett'!$A$4:$H$134,8,FALSE)+O101),0)</f>
        <v>51253.624245527411</v>
      </c>
      <c r="S101" s="26">
        <f>IFERROR((VLOOKUP(A101,'DEAnorm R-nett'!$A$4:$H$86,8,FALSE)+N101+K101),N101+K101)</f>
        <v>0</v>
      </c>
      <c r="T101" s="151">
        <f>IFERROR(VLOOKUP(A101,IRData!$A$3:$AN$146,40,FALSE),0)</f>
        <v>0</v>
      </c>
      <c r="U101" s="54">
        <f>(1-Forutsetninger!$B$3)*Q101+(R101+S101+T101)*Forutsetninger!$B$3</f>
        <v>50464.574547316442</v>
      </c>
      <c r="V101" s="47">
        <f t="shared" si="37"/>
        <v>8487.3084465973807</v>
      </c>
      <c r="W101" s="208">
        <f t="shared" si="38"/>
        <v>7.3441725642149402E-2</v>
      </c>
      <c r="X101" s="47">
        <f>(R101+S101+T101)-G101*($K$159+$K$153)/Forutsetninger!$B$3</f>
        <v>56730.989017422784</v>
      </c>
      <c r="Y101" s="278">
        <f>ROUND((1-Forutsetninger!$B$3)*Q101+Forutsetninger!$B$3*X101,0)</f>
        <v>53751</v>
      </c>
      <c r="Z101" s="47">
        <v>53860</v>
      </c>
      <c r="AA101" s="73">
        <f t="shared" si="25"/>
        <v>-109</v>
      </c>
      <c r="AB101" s="269">
        <f t="shared" si="26"/>
        <v>-2.0237653174897882E-3</v>
      </c>
      <c r="AC101" s="66">
        <f t="shared" si="27"/>
        <v>0</v>
      </c>
      <c r="AD101" s="268">
        <f>AD80</f>
        <v>0.73751624642578628</v>
      </c>
      <c r="AE101" s="268">
        <f t="shared" ref="AE101:AF101" si="40">AE80</f>
        <v>0.26248375357421366</v>
      </c>
      <c r="AF101" s="268">
        <f t="shared" si="40"/>
        <v>0</v>
      </c>
      <c r="AG101" s="277">
        <f t="shared" si="28"/>
        <v>0</v>
      </c>
      <c r="AH101" s="277">
        <f t="shared" si="29"/>
        <v>0</v>
      </c>
      <c r="AI101" s="277">
        <f t="shared" si="30"/>
        <v>0</v>
      </c>
      <c r="AJ101" s="277">
        <f t="shared" si="31"/>
        <v>0</v>
      </c>
      <c r="AK101" s="277">
        <f t="shared" si="32"/>
        <v>0</v>
      </c>
      <c r="AL101" s="277">
        <f t="shared" si="33"/>
        <v>0</v>
      </c>
    </row>
    <row r="102" spans="1:39" x14ac:dyDescent="0.2">
      <c r="A102">
        <v>1732014</v>
      </c>
      <c r="B102" s="1" t="s">
        <v>224</v>
      </c>
      <c r="C102" s="99">
        <f>VLOOKUP(A102,IRData!$A$3:$F$146,6,FALSE)</f>
        <v>18579.6930809021</v>
      </c>
      <c r="D102" s="52">
        <f>C102*Forutsetninger!$C$23</f>
        <v>19546.369236423976</v>
      </c>
      <c r="E102" s="50">
        <f>VLOOKUP($A102,IRData!$A$2:$N$146,7,FALSE)</f>
        <v>5410</v>
      </c>
      <c r="F102" s="50">
        <f>VLOOKUP($A102,IRData!$A$2:$N$146,8,FALSE)</f>
        <v>61866</v>
      </c>
      <c r="G102" s="50">
        <f>VLOOKUP($A102,IRData!$A$2:$N$146,9,FALSE)</f>
        <v>62484.659999999996</v>
      </c>
      <c r="H102" s="50">
        <f>VLOOKUP($A102,IRData!$A$2:$N$146,10,FALSE)</f>
        <v>6841</v>
      </c>
      <c r="I102" s="50">
        <f>VLOOKUP($A102,IRData!$A$2:$N$146,11,FALSE)</f>
        <v>785</v>
      </c>
      <c r="J102" s="52">
        <f>VLOOKUP(A102,IRData!$A$3:$AF$146,32,FALSE)</f>
        <v>1892.2206221818924</v>
      </c>
      <c r="K102" s="52">
        <f>VLOOKUP(A102,IRData!$A$3:$AM$146,37,FALSE)</f>
        <v>217.13100254535675</v>
      </c>
      <c r="L102" s="145">
        <f>VLOOKUP($A102,IRData!$A$2:$N$146,13,FALSE)</f>
        <v>941</v>
      </c>
      <c r="M102" s="51">
        <f>L102*Forutsetninger!$C$17</f>
        <v>995.30168005843677</v>
      </c>
      <c r="N102" s="145">
        <f>VLOOKUP(A102,IRData!$A$3:$E$146,5,FALSE)*Forutsetninger!$C$23</f>
        <v>0</v>
      </c>
      <c r="O102" s="145">
        <f>VLOOKUP(A102,IRData!$A$3:$AG$146,19,FALSE)*Forutsetninger!$C$17</f>
        <v>382.82624071231282</v>
      </c>
      <c r="P102" s="52">
        <f t="shared" si="36"/>
        <v>28061.022541209662</v>
      </c>
      <c r="Q102" s="253">
        <f>ROUND(D102+E102+J102+K102+M102+G102*Forutsetninger!$B$5+N102,0)</f>
        <v>32010</v>
      </c>
      <c r="R102" s="53">
        <f>IFERROR((VLOOKUP(A102,'DEAnorm D-nett'!$A$4:$H$134,8,FALSE)+O102),0)</f>
        <v>28637.583507613832</v>
      </c>
      <c r="S102" s="26">
        <f>IFERROR((VLOOKUP(A102,'DEAnorm R-nett'!$A$4:$H$86,8,FALSE)+N102+K102),N102+K102)</f>
        <v>1820.11508671706</v>
      </c>
      <c r="T102" s="151">
        <f>IFERROR(VLOOKUP(A102,IRData!$A$3:$AN$146,40,FALSE),0)</f>
        <v>0</v>
      </c>
      <c r="U102" s="54">
        <f>(1-Forutsetninger!$B$3)*Q102+(R102+S102+T102)*Forutsetninger!$B$3</f>
        <v>31078.619156598532</v>
      </c>
      <c r="V102" s="47">
        <f t="shared" si="37"/>
        <v>3017.5966153888694</v>
      </c>
      <c r="W102" s="208">
        <f t="shared" si="38"/>
        <v>4.8293398978067087E-2</v>
      </c>
      <c r="X102" s="47">
        <f>(R102+S102+T102)-G102*($K$159+$K$153)/Forutsetninger!$B$3</f>
        <v>33419.241047010721</v>
      </c>
      <c r="Y102" s="278">
        <f>ROUND((1-Forutsetninger!$B$3)*Q102+Forutsetninger!$B$3*X102,0)</f>
        <v>32856</v>
      </c>
      <c r="Z102" s="47">
        <v>32855</v>
      </c>
      <c r="AA102" s="73">
        <f t="shared" si="25"/>
        <v>1</v>
      </c>
      <c r="AB102" s="269">
        <f t="shared" si="26"/>
        <v>3.0436767615279257E-5</v>
      </c>
      <c r="AC102" s="66">
        <f t="shared" si="27"/>
        <v>1</v>
      </c>
      <c r="AD102" s="256">
        <f>VLOOKUP(A102,IR2016prnettnivå!$B$2:$K$133,8,FALSE)</f>
        <v>0.96709785420788308</v>
      </c>
      <c r="AE102" s="256">
        <f>VLOOKUP(A102,IR2016prnettnivå!$B$2:$K$133,9,FALSE)</f>
        <v>3.290214579211688E-2</v>
      </c>
      <c r="AF102" s="256">
        <f>VLOOKUP(A102,IR2016prnettnivå!$B$2:$K$133,10,FALSE)</f>
        <v>0</v>
      </c>
      <c r="AG102" s="277">
        <f t="shared" si="28"/>
        <v>0.96709785420788308</v>
      </c>
      <c r="AH102" s="277">
        <f t="shared" si="29"/>
        <v>3.290214579211688E-2</v>
      </c>
      <c r="AI102" s="277">
        <f t="shared" si="30"/>
        <v>0</v>
      </c>
      <c r="AJ102" s="277">
        <f t="shared" si="31"/>
        <v>1.2378852533860906E-2</v>
      </c>
      <c r="AK102" s="277">
        <f t="shared" si="32"/>
        <v>4.2114746613909615E-4</v>
      </c>
      <c r="AL102" s="277">
        <f t="shared" si="33"/>
        <v>0</v>
      </c>
    </row>
    <row r="103" spans="1:39" x14ac:dyDescent="0.2">
      <c r="A103">
        <v>1812014</v>
      </c>
      <c r="B103" s="1" t="s">
        <v>225</v>
      </c>
      <c r="C103" s="99">
        <f>VLOOKUP(A103,IRData!$A$3:$F$146,6,FALSE)</f>
        <v>6698.3523254394531</v>
      </c>
      <c r="D103" s="52">
        <f>C103*Forutsetninger!$C$23</f>
        <v>7046.8584846150616</v>
      </c>
      <c r="E103" s="50">
        <f>VLOOKUP($A103,IRData!$A$2:$N$146,7,FALSE)</f>
        <v>1236</v>
      </c>
      <c r="F103" s="50">
        <f>VLOOKUP($A103,IRData!$A$2:$N$146,8,FALSE)</f>
        <v>21191</v>
      </c>
      <c r="G103" s="50">
        <f>VLOOKUP($A103,IRData!$A$2:$N$146,9,FALSE)</f>
        <v>21402.91</v>
      </c>
      <c r="H103" s="50">
        <f>VLOOKUP($A103,IRData!$A$2:$N$146,10,FALSE)</f>
        <v>1594</v>
      </c>
      <c r="I103" s="50">
        <f>VLOOKUP($A103,IRData!$A$2:$N$146,11,FALSE)</f>
        <v>0</v>
      </c>
      <c r="J103" s="52">
        <f>VLOOKUP(A103,IRData!$A$3:$AF$146,32,FALSE)</f>
        <v>440.90040516853333</v>
      </c>
      <c r="K103" s="52">
        <f>VLOOKUP(A103,IRData!$A$3:$AM$146,37,FALSE)</f>
        <v>0</v>
      </c>
      <c r="L103" s="145">
        <f>VLOOKUP($A103,IRData!$A$2:$N$146,13,FALSE)</f>
        <v>0</v>
      </c>
      <c r="M103" s="51">
        <f>L103*Forutsetninger!$C$17</f>
        <v>0</v>
      </c>
      <c r="N103" s="145">
        <f>VLOOKUP(A103,IRData!$A$3:$E$146,5,FALSE)*Forutsetninger!$C$23</f>
        <v>0</v>
      </c>
      <c r="O103" s="145">
        <f>VLOOKUP(A103,IRData!$A$3:$AG$146,19,FALSE)*Forutsetninger!$C$17</f>
        <v>0</v>
      </c>
      <c r="P103" s="52">
        <f t="shared" si="36"/>
        <v>8723.7588897835958</v>
      </c>
      <c r="Q103" s="253">
        <f>ROUND(D103+E103+J103+K103+M103+G103*Forutsetninger!$B$5+N103,0)</f>
        <v>10076</v>
      </c>
      <c r="R103" s="53">
        <f>IFERROR((VLOOKUP(A103,'DEAnorm D-nett'!$A$4:$H$134,8,FALSE)+O103),0)</f>
        <v>11890.577966813786</v>
      </c>
      <c r="S103" s="26">
        <f>IFERROR((VLOOKUP(A103,'DEAnorm R-nett'!$A$4:$H$86,8,FALSE)+N103+K103),N103+K103)</f>
        <v>0</v>
      </c>
      <c r="T103" s="151">
        <f>IFERROR(VLOOKUP(A103,IRData!$A$3:$AN$146,40,FALSE),0)</f>
        <v>0</v>
      </c>
      <c r="U103" s="54">
        <f>(1-Forutsetninger!$B$3)*Q103+(R103+S103+T103)*Forutsetninger!$B$3</f>
        <v>11164.746780088271</v>
      </c>
      <c r="V103" s="47">
        <f t="shared" si="37"/>
        <v>2440.9878903046756</v>
      </c>
      <c r="W103" s="208">
        <f t="shared" si="38"/>
        <v>0.11404934610782719</v>
      </c>
      <c r="X103" s="47">
        <f>(R103+S103+T103)-G103*($K$159+$K$153)/Forutsetninger!$B$3</f>
        <v>12904.996971028351</v>
      </c>
      <c r="Y103" s="278">
        <f>ROUND((1-Forutsetninger!$B$3)*Q103+Forutsetninger!$B$3*X103,0)</f>
        <v>11773</v>
      </c>
      <c r="Z103" s="47">
        <v>11684</v>
      </c>
      <c r="AA103" s="73">
        <f t="shared" si="25"/>
        <v>89</v>
      </c>
      <c r="AB103" s="269">
        <f t="shared" si="26"/>
        <v>7.6172543649435124E-3</v>
      </c>
      <c r="AC103" s="66">
        <f t="shared" si="27"/>
        <v>89</v>
      </c>
      <c r="AD103" s="256">
        <f>VLOOKUP(A103,IR2016prnettnivå!$B$2:$K$133,8,FALSE)</f>
        <v>1</v>
      </c>
      <c r="AE103" s="256">
        <f>VLOOKUP(A103,IR2016prnettnivå!$B$2:$K$133,9,FALSE)</f>
        <v>0</v>
      </c>
      <c r="AF103" s="256">
        <f>VLOOKUP(A103,IR2016prnettnivå!$B$2:$K$133,10,FALSE)</f>
        <v>0</v>
      </c>
      <c r="AG103" s="277">
        <f t="shared" si="28"/>
        <v>89</v>
      </c>
      <c r="AH103" s="277">
        <f t="shared" si="29"/>
        <v>0</v>
      </c>
      <c r="AI103" s="277">
        <f t="shared" si="30"/>
        <v>0</v>
      </c>
      <c r="AJ103" s="277">
        <f t="shared" si="31"/>
        <v>1.1392000000000002</v>
      </c>
      <c r="AK103" s="277">
        <f t="shared" si="32"/>
        <v>0</v>
      </c>
      <c r="AL103" s="277">
        <f t="shared" si="33"/>
        <v>0</v>
      </c>
    </row>
    <row r="104" spans="1:39" x14ac:dyDescent="0.2">
      <c r="A104">
        <v>1842014</v>
      </c>
      <c r="B104" s="1" t="s">
        <v>226</v>
      </c>
      <c r="C104" s="99">
        <f>VLOOKUP(A104,IRData!$A$3:$F$146,6,FALSE)</f>
        <v>13290.574414253235</v>
      </c>
      <c r="D104" s="52">
        <f>C104*Forutsetninger!$C$23</f>
        <v>13982.064920770468</v>
      </c>
      <c r="E104" s="50">
        <f>VLOOKUP($A104,IRData!$A$2:$N$146,7,FALSE)</f>
        <v>4654</v>
      </c>
      <c r="F104" s="50">
        <f>VLOOKUP($A104,IRData!$A$2:$N$146,8,FALSE)</f>
        <v>71214</v>
      </c>
      <c r="G104" s="50">
        <f>VLOOKUP($A104,IRData!$A$2:$N$146,9,FALSE)</f>
        <v>71926.14</v>
      </c>
      <c r="H104" s="50">
        <f>VLOOKUP($A104,IRData!$A$2:$N$146,10,FALSE)</f>
        <v>4203</v>
      </c>
      <c r="I104" s="50">
        <f>VLOOKUP($A104,IRData!$A$2:$N$146,11,FALSE)</f>
        <v>139</v>
      </c>
      <c r="J104" s="52">
        <f>VLOOKUP(A104,IRData!$A$3:$AF$146,32,FALSE)</f>
        <v>1162.5498136281967</v>
      </c>
      <c r="K104" s="52">
        <f>VLOOKUP(A104,IRData!$A$3:$AM$146,37,FALSE)</f>
        <v>38.447400450706482</v>
      </c>
      <c r="L104" s="145">
        <f>VLOOKUP($A104,IRData!$A$2:$N$146,13,FALSE)</f>
        <v>1561</v>
      </c>
      <c r="M104" s="51">
        <f>L104*Forutsetninger!$C$17</f>
        <v>1651.0796201607013</v>
      </c>
      <c r="N104" s="145">
        <f>VLOOKUP(A104,IRData!$A$3:$E$146,5,FALSE)*Forutsetninger!$C$23</f>
        <v>0</v>
      </c>
      <c r="O104" s="145">
        <f>VLOOKUP(A104,IRData!$A$3:$AG$146,19,FALSE)*Forutsetninger!$C$17</f>
        <v>278.42005544792045</v>
      </c>
      <c r="P104" s="52">
        <f t="shared" si="36"/>
        <v>21488.141755010074</v>
      </c>
      <c r="Q104" s="253">
        <f>ROUND(D104+E104+J104+K104+M104+G104*Forutsetninger!$B$5+N104,0)</f>
        <v>26034</v>
      </c>
      <c r="R104" s="53">
        <f>IFERROR((VLOOKUP(A104,'DEAnorm D-nett'!$A$4:$H$134,8,FALSE)+O104),0)</f>
        <v>21366.035280167638</v>
      </c>
      <c r="S104" s="26">
        <f>IFERROR((VLOOKUP(A104,'DEAnorm R-nett'!$A$4:$H$86,8,FALSE)+N104+K104),N104+K104)</f>
        <v>2025.0360882747034</v>
      </c>
      <c r="T104" s="151">
        <f>IFERROR(VLOOKUP(A104,IRData!$A$3:$AN$146,40,FALSE),0)</f>
        <v>0</v>
      </c>
      <c r="U104" s="54">
        <f>(1-Forutsetninger!$B$3)*Q104+(R104+S104+T104)*Forutsetninger!$B$3</f>
        <v>24448.242821065403</v>
      </c>
      <c r="V104" s="47">
        <f t="shared" si="37"/>
        <v>2960.1010660553293</v>
      </c>
      <c r="W104" s="208">
        <f t="shared" si="38"/>
        <v>4.1154732702955131E-2</v>
      </c>
      <c r="X104" s="47">
        <f>(R104+S104+T104)-G104*($K$159+$K$153)/Forutsetninger!$B$3</f>
        <v>26800.105154773148</v>
      </c>
      <c r="Y104" s="278">
        <f>ROUND((1-Forutsetninger!$B$3)*Q104+Forutsetninger!$B$3*X104,0)</f>
        <v>26494</v>
      </c>
      <c r="Z104" s="47">
        <v>26554</v>
      </c>
      <c r="AA104" s="73">
        <f t="shared" si="25"/>
        <v>-60</v>
      </c>
      <c r="AB104" s="269">
        <f t="shared" si="26"/>
        <v>-2.2595465843187469E-3</v>
      </c>
      <c r="AC104" s="66">
        <f t="shared" si="27"/>
        <v>0</v>
      </c>
      <c r="AD104" s="256">
        <f>VLOOKUP(A104,IR2016prnettnivå!$B$2:$K$133,8,FALSE)</f>
        <v>0.91500338931987646</v>
      </c>
      <c r="AE104" s="256">
        <f>VLOOKUP(A104,IR2016prnettnivå!$B$2:$K$133,9,FALSE)</f>
        <v>8.4996610680123527E-2</v>
      </c>
      <c r="AF104" s="256">
        <f>VLOOKUP(A104,IR2016prnettnivå!$B$2:$K$133,10,FALSE)</f>
        <v>0</v>
      </c>
      <c r="AG104" s="277">
        <f t="shared" si="28"/>
        <v>0</v>
      </c>
      <c r="AH104" s="277">
        <f t="shared" si="29"/>
        <v>0</v>
      </c>
      <c r="AI104" s="277">
        <f t="shared" si="30"/>
        <v>0</v>
      </c>
      <c r="AJ104" s="277">
        <f t="shared" si="31"/>
        <v>0</v>
      </c>
      <c r="AK104" s="277">
        <f t="shared" si="32"/>
        <v>0</v>
      </c>
      <c r="AL104" s="277">
        <f t="shared" si="33"/>
        <v>0</v>
      </c>
    </row>
    <row r="105" spans="1:39" x14ac:dyDescent="0.2">
      <c r="A105">
        <v>2692014</v>
      </c>
      <c r="B105" s="1" t="s">
        <v>238</v>
      </c>
      <c r="C105" s="99">
        <f>VLOOKUP(A105,IRData!$A$3:$F$146,6,FALSE)</f>
        <v>142063.49340820312</v>
      </c>
      <c r="D105" s="52">
        <f>C105*Forutsetninger!$C$23</f>
        <v>149454.86370963231</v>
      </c>
      <c r="E105" s="50">
        <f>VLOOKUP($A105,IRData!$A$2:$N$146,7,FALSE)</f>
        <v>52085</v>
      </c>
      <c r="F105" s="50">
        <f>VLOOKUP($A105,IRData!$A$2:$N$146,8,FALSE)</f>
        <v>998238</v>
      </c>
      <c r="G105" s="50">
        <f>VLOOKUP($A105,IRData!$A$2:$N$146,9,FALSE)</f>
        <v>1008220.38</v>
      </c>
      <c r="H105" s="50">
        <f>VLOOKUP($A105,IRData!$A$2:$N$146,10,FALSE)</f>
        <v>34567</v>
      </c>
      <c r="I105" s="50">
        <f>VLOOKUP($A105,IRData!$A$2:$N$146,11,FALSE)</f>
        <v>25632</v>
      </c>
      <c r="J105" s="52">
        <f>VLOOKUP(A105,IRData!$A$3:$AF$146,32,FALSE)</f>
        <v>9298.4228585660458</v>
      </c>
      <c r="K105" s="52">
        <f>VLOOKUP(A105,IRData!$A$3:$AM$146,37,FALSE)</f>
        <v>6894.9337434768677</v>
      </c>
      <c r="L105" s="145">
        <f>VLOOKUP($A105,IRData!$A$2:$N$146,13,FALSE)</f>
        <v>12729</v>
      </c>
      <c r="M105" s="51">
        <f>L105*Forutsetninger!$C$17</f>
        <v>13463.544192841489</v>
      </c>
      <c r="N105" s="145">
        <f>VLOOKUP(A105,IRData!$A$3:$E$146,5,FALSE)*Forutsetninger!$C$23</f>
        <v>1712.7026252983294</v>
      </c>
      <c r="O105" s="145">
        <f>VLOOKUP(A105,IRData!$A$3:$AG$146,19,FALSE)*Forutsetninger!$C$17</f>
        <v>2018.5690541681884</v>
      </c>
      <c r="P105" s="52">
        <f t="shared" si="36"/>
        <v>232909.46712981502</v>
      </c>
      <c r="Q105" s="253">
        <f>ROUND(D105+E105+J105+K105+M105+G105*Forutsetninger!$B$5+N105,0)</f>
        <v>296629</v>
      </c>
      <c r="R105" s="53">
        <f>IFERROR((VLOOKUP(A105,'DEAnorm D-nett'!$A$4:$H$134,8,FALSE)+O105),0)</f>
        <v>183999.20567604896</v>
      </c>
      <c r="S105" s="26">
        <f>IFERROR((VLOOKUP(A105,'DEAnorm R-nett'!$A$4:$H$86,8,FALSE)+N105+K105),N105+K105)</f>
        <v>61518.040603064052</v>
      </c>
      <c r="T105" s="232">
        <f>IFERROR(VLOOKUP(A105,IRData!$A$3:$AN$146,40,FALSE),0)</f>
        <v>31890.576753541296</v>
      </c>
      <c r="U105" s="54">
        <f>(1-Forutsetninger!$B$3)*Q105+(R105+S105+T105)*Forutsetninger!$B$3</f>
        <v>285096.29381959257</v>
      </c>
      <c r="V105" s="47">
        <f t="shared" si="37"/>
        <v>52186.826689777547</v>
      </c>
      <c r="W105" s="208">
        <f t="shared" si="38"/>
        <v>5.1761328896939719E-2</v>
      </c>
      <c r="X105" s="47">
        <f>(R105+S105+T105)-G105*($K$159+$K$153)/Forutsetninger!$B$3</f>
        <v>325193.75092322764</v>
      </c>
      <c r="Y105" s="278">
        <f>ROUND((1-Forutsetninger!$B$3)*Q105+Forutsetninger!$B$3*X105,0)</f>
        <v>313768</v>
      </c>
      <c r="Z105" s="47">
        <v>313164</v>
      </c>
      <c r="AA105" s="73">
        <f t="shared" si="25"/>
        <v>604</v>
      </c>
      <c r="AB105" s="269">
        <f t="shared" si="26"/>
        <v>1.9287018942151716E-3</v>
      </c>
      <c r="AC105" s="66">
        <f t="shared" si="27"/>
        <v>604</v>
      </c>
      <c r="AD105" s="256">
        <f>VLOOKUP(A105,IR2016prnettnivå!$B$2:$K$133,8,FALSE)</f>
        <v>0.67451135670561335</v>
      </c>
      <c r="AE105" s="256">
        <f>VLOOKUP(A105,IR2016prnettnivå!$B$2:$K$133,9,FALSE)</f>
        <v>0.21098597216146225</v>
      </c>
      <c r="AF105" s="256">
        <f>VLOOKUP(A105,IR2016prnettnivå!$B$2:$K$133,10,FALSE)</f>
        <v>0.11450267113292439</v>
      </c>
      <c r="AG105" s="277">
        <f t="shared" si="28"/>
        <v>407.40485945019049</v>
      </c>
      <c r="AH105" s="277">
        <f t="shared" si="29"/>
        <v>127.4355271855232</v>
      </c>
      <c r="AI105" s="277">
        <f t="shared" si="30"/>
        <v>69.159613364286329</v>
      </c>
      <c r="AJ105" s="277">
        <f t="shared" si="31"/>
        <v>5.2147822009624392</v>
      </c>
      <c r="AK105" s="277">
        <f t="shared" si="32"/>
        <v>1.6311747479746972</v>
      </c>
      <c r="AL105" s="277">
        <f t="shared" si="33"/>
        <v>0.88524305106286516</v>
      </c>
    </row>
    <row r="106" spans="1:39" x14ac:dyDescent="0.2">
      <c r="A106">
        <v>1872014</v>
      </c>
      <c r="B106" s="1" t="s">
        <v>273</v>
      </c>
      <c r="C106" s="99">
        <f>VLOOKUP(A106,IRData!$A$3:$F$146,6,FALSE)</f>
        <v>5300.3492126464844</v>
      </c>
      <c r="D106" s="52">
        <f>C106*Forutsetninger!$C$23</f>
        <v>5576.119171681552</v>
      </c>
      <c r="E106" s="50">
        <f>VLOOKUP($A106,IRData!$A$2:$N$146,7,FALSE)</f>
        <v>2340</v>
      </c>
      <c r="F106" s="50">
        <f>VLOOKUP($A106,IRData!$A$2:$N$146,8,FALSE)</f>
        <v>13158</v>
      </c>
      <c r="G106" s="50">
        <f>VLOOKUP($A106,IRData!$A$2:$N$146,9,FALSE)</f>
        <v>13289.58</v>
      </c>
      <c r="H106" s="50">
        <f>VLOOKUP($A106,IRData!$A$2:$N$146,10,FALSE)</f>
        <v>737</v>
      </c>
      <c r="I106" s="50">
        <f>VLOOKUP($A106,IRData!$A$2:$N$146,11,FALSE)</f>
        <v>0</v>
      </c>
      <c r="J106" s="52">
        <f>VLOOKUP(A106,IRData!$A$3:$AF$146,32,FALSE)</f>
        <v>182.66545063257217</v>
      </c>
      <c r="K106" s="52">
        <f>VLOOKUP(A106,IRData!$A$3:$AM$146,37,FALSE)</f>
        <v>0</v>
      </c>
      <c r="L106" s="145">
        <f>VLOOKUP($A106,IRData!$A$2:$N$146,13,FALSE)</f>
        <v>0</v>
      </c>
      <c r="M106" s="51">
        <f>L106*Forutsetninger!$C$17</f>
        <v>0</v>
      </c>
      <c r="N106" s="145">
        <f>VLOOKUP(A106,IRData!$A$3:$E$146,5,FALSE)*Forutsetninger!$C$23</f>
        <v>0</v>
      </c>
      <c r="O106" s="145">
        <f>VLOOKUP(A106,IRData!$A$3:$AG$146,19,FALSE)*Forutsetninger!$C$17</f>
        <v>0</v>
      </c>
      <c r="P106" s="52">
        <f t="shared" si="36"/>
        <v>8098.7846223141241</v>
      </c>
      <c r="Q106" s="253">
        <f>ROUND(D106+E106+J106+K106+M106+G106*Forutsetninger!$B$5+N106,0)</f>
        <v>8939</v>
      </c>
      <c r="R106" s="53">
        <f>IFERROR((VLOOKUP(A106,'DEAnorm D-nett'!$A$4:$H$134,8,FALSE)+O106),0)</f>
        <v>3047.8063749036232</v>
      </c>
      <c r="S106" s="26">
        <f>IFERROR((VLOOKUP(A106,'DEAnorm R-nett'!$A$4:$H$86,8,FALSE)+N106+K106),N106+K106)</f>
        <v>0</v>
      </c>
      <c r="T106" s="151">
        <f>IFERROR(VLOOKUP(A106,IRData!$A$3:$AN$146,40,FALSE),0)</f>
        <v>5890.8797034105019</v>
      </c>
      <c r="U106" s="54">
        <f>(1-Forutsetninger!$B$3)*Q106+(R106+S106+T106)*Forutsetninger!$B$3</f>
        <v>8938.8116469884753</v>
      </c>
      <c r="V106" s="47">
        <f t="shared" si="37"/>
        <v>840.0270246743512</v>
      </c>
      <c r="W106" s="208">
        <f t="shared" si="38"/>
        <v>6.3209448656342121E-2</v>
      </c>
      <c r="X106" s="47">
        <f>(R106+S106+T106)-G106*($K$159+$K$153)/Forutsetninger!$B$3</f>
        <v>9568.5631609178381</v>
      </c>
      <c r="Y106" s="278">
        <f>ROUND((1-Forutsetninger!$B$3)*Q106+Forutsetninger!$B$3*X106,0)</f>
        <v>9317</v>
      </c>
      <c r="Z106" s="47">
        <v>9317</v>
      </c>
      <c r="AA106" s="73">
        <f t="shared" si="25"/>
        <v>0</v>
      </c>
      <c r="AB106" s="269">
        <f t="shared" si="26"/>
        <v>0</v>
      </c>
      <c r="AC106" s="66">
        <f t="shared" si="27"/>
        <v>0</v>
      </c>
      <c r="AD106" s="256">
        <f>VLOOKUP(A106,IR2016prnettnivå!$B$2:$K$133,8,FALSE)</f>
        <v>0.34946871310507677</v>
      </c>
      <c r="AE106" s="256">
        <f>VLOOKUP(A106,IR2016prnettnivå!$B$2:$K$133,9,FALSE)</f>
        <v>0</v>
      </c>
      <c r="AF106" s="256">
        <f>VLOOKUP(A106,IR2016prnettnivå!$B$2:$K$133,10,FALSE)</f>
        <v>0.65053128689492323</v>
      </c>
      <c r="AG106" s="277">
        <f t="shared" si="28"/>
        <v>0</v>
      </c>
      <c r="AH106" s="277">
        <f t="shared" si="29"/>
        <v>0</v>
      </c>
      <c r="AI106" s="277">
        <f t="shared" si="30"/>
        <v>0</v>
      </c>
      <c r="AJ106" s="277">
        <f t="shared" si="31"/>
        <v>0</v>
      </c>
      <c r="AK106" s="277">
        <f t="shared" si="32"/>
        <v>0</v>
      </c>
      <c r="AL106" s="277">
        <f t="shared" si="33"/>
        <v>0</v>
      </c>
    </row>
    <row r="107" spans="1:39" x14ac:dyDescent="0.2">
      <c r="A107">
        <v>6112014</v>
      </c>
      <c r="B107" s="1" t="s">
        <v>126</v>
      </c>
      <c r="C107" s="99">
        <f>VLOOKUP(A107,IRData!$A$3:$F$146,6,FALSE)</f>
        <v>412681.599609375</v>
      </c>
      <c r="D107" s="52">
        <f>C107*Forutsetninger!$C$23</f>
        <v>434152.86183248804</v>
      </c>
      <c r="E107" s="50">
        <f>VLOOKUP($A107,IRData!$A$2:$N$146,7,FALSE)</f>
        <v>222211</v>
      </c>
      <c r="F107" s="50">
        <f>VLOOKUP($A107,IRData!$A$2:$N$146,8,FALSE)</f>
        <v>2915209</v>
      </c>
      <c r="G107" s="50">
        <f>VLOOKUP($A107,IRData!$A$2:$N$146,9,FALSE)</f>
        <v>2944361.09</v>
      </c>
      <c r="H107" s="50">
        <f>VLOOKUP($A107,IRData!$A$2:$N$146,10,FALSE)</f>
        <v>226897</v>
      </c>
      <c r="I107" s="50">
        <f>VLOOKUP($A107,IRData!$A$2:$N$146,11,FALSE)</f>
        <v>204551</v>
      </c>
      <c r="J107" s="52">
        <f>VLOOKUP(A107,IRData!$A$3:$AF$146,32,FALSE)</f>
        <v>56236.421644747257</v>
      </c>
      <c r="K107" s="52">
        <f>VLOOKUP(A107,IRData!$A$3:$AM$146,37,FALSE)</f>
        <v>50697.965525567532</v>
      </c>
      <c r="L107" s="145">
        <f>VLOOKUP($A107,IRData!$A$2:$N$146,13,FALSE)</f>
        <v>44818</v>
      </c>
      <c r="M107" s="51">
        <f>L107*Forutsetninger!$C$17</f>
        <v>47404.283418553685</v>
      </c>
      <c r="N107" s="145">
        <f>VLOOKUP(A107,IRData!$A$3:$E$146,5,FALSE)*Forutsetninger!$C$23</f>
        <v>1075.1732696897375</v>
      </c>
      <c r="O107" s="145">
        <f>VLOOKUP(A107,IRData!$A$3:$AG$146,19,FALSE)*Forutsetninger!$C$17</f>
        <v>0</v>
      </c>
      <c r="P107" s="52">
        <f t="shared" si="36"/>
        <v>811777.70569104631</v>
      </c>
      <c r="Q107" s="253">
        <f>ROUND(D107+E107+J107+K107+M107+G107*Forutsetninger!$B$5+N107,0)</f>
        <v>997861</v>
      </c>
      <c r="R107" s="53">
        <f>IFERROR((VLOOKUP(A107,'DEAnorm D-nett'!$A$4:$H$134,8,FALSE)+O107),0)</f>
        <v>752226.35875679576</v>
      </c>
      <c r="S107" s="26">
        <f>IFERROR((VLOOKUP(A107,'DEAnorm R-nett'!$A$4:$H$86,8,FALSE)+N107+K107),N107+K107)</f>
        <v>322202.37029075698</v>
      </c>
      <c r="T107" s="151">
        <f>IFERROR(VLOOKUP(A107,IRData!$A$3:$AN$146,40,FALSE),0)</f>
        <v>0</v>
      </c>
      <c r="U107" s="54">
        <f>(1-Forutsetninger!$B$3)*Q107+(R107+S107+T107)*Forutsetninger!$B$3</f>
        <v>1043801.6374285317</v>
      </c>
      <c r="V107" s="47">
        <f t="shared" si="37"/>
        <v>232023.93173748534</v>
      </c>
      <c r="W107" s="208">
        <f t="shared" si="38"/>
        <v>7.880281142333849E-2</v>
      </c>
      <c r="X107" s="47">
        <f>(R107+S107+T107)-G107*($K$159+$K$153)/Forutsetninger!$B$3</f>
        <v>1213980.5864802995</v>
      </c>
      <c r="Y107" s="278">
        <f>ROUND((1-Forutsetninger!$B$3)*Q107+Forutsetninger!$B$3*X107,0)</f>
        <v>1127533</v>
      </c>
      <c r="Z107" s="47">
        <v>1126074</v>
      </c>
      <c r="AA107" s="73">
        <f t="shared" si="25"/>
        <v>1459</v>
      </c>
      <c r="AB107" s="269">
        <f t="shared" si="26"/>
        <v>1.2956519731385327E-3</v>
      </c>
      <c r="AC107" s="66">
        <f t="shared" si="27"/>
        <v>1459</v>
      </c>
      <c r="AD107" s="256">
        <f>VLOOKUP(A107,IR2016prnettnivå!$B$2:$K$133,8,FALSE)</f>
        <v>0.70460449561238636</v>
      </c>
      <c r="AE107" s="256">
        <f>VLOOKUP(A107,IR2016prnettnivå!$B$2:$K$133,9,FALSE)</f>
        <v>0.29539550438761369</v>
      </c>
      <c r="AF107" s="256">
        <f>VLOOKUP(A107,IR2016prnettnivå!$B$2:$K$133,10,FALSE)</f>
        <v>0</v>
      </c>
      <c r="AG107" s="277">
        <f t="shared" si="28"/>
        <v>1028.0179590984717</v>
      </c>
      <c r="AH107" s="277">
        <f t="shared" si="29"/>
        <v>430.98204090152836</v>
      </c>
      <c r="AI107" s="277">
        <f t="shared" si="30"/>
        <v>0</v>
      </c>
      <c r="AJ107" s="277">
        <f t="shared" si="31"/>
        <v>13.15862987646044</v>
      </c>
      <c r="AK107" s="277">
        <f t="shared" si="32"/>
        <v>5.5165701235395641</v>
      </c>
      <c r="AL107" s="277">
        <f t="shared" si="33"/>
        <v>0</v>
      </c>
    </row>
    <row r="108" spans="1:39" x14ac:dyDescent="0.2">
      <c r="A108">
        <v>1942014</v>
      </c>
      <c r="B108" s="1" t="s">
        <v>86</v>
      </c>
      <c r="C108" s="99">
        <f>VLOOKUP(A108,IRData!$A$3:$F$146,6,FALSE)</f>
        <v>12614.712005615234</v>
      </c>
      <c r="D108" s="52">
        <f>C108*Forutsetninger!$C$23</f>
        <v>13271.038310441994</v>
      </c>
      <c r="E108" s="50">
        <f>VLOOKUP($A108,IRData!$A$2:$N$146,7,FALSE)</f>
        <v>3076</v>
      </c>
      <c r="F108" s="50">
        <f>VLOOKUP($A108,IRData!$A$2:$N$146,8,FALSE)</f>
        <v>32267</v>
      </c>
      <c r="G108" s="50">
        <f>VLOOKUP($A108,IRData!$A$2:$N$146,9,FALSE)</f>
        <v>32589.670000000002</v>
      </c>
      <c r="H108" s="50">
        <f>VLOOKUP($A108,IRData!$A$2:$N$146,10,FALSE)</f>
        <v>1740</v>
      </c>
      <c r="I108" s="50">
        <f>VLOOKUP($A108,IRData!$A$2:$N$146,11,FALSE)</f>
        <v>0</v>
      </c>
      <c r="J108" s="52">
        <f>VLOOKUP(A108,IRData!$A$3:$AF$146,32,FALSE)</f>
        <v>451.87800049781799</v>
      </c>
      <c r="K108" s="52">
        <f>VLOOKUP(A108,IRData!$A$3:$AM$146,37,FALSE)</f>
        <v>0</v>
      </c>
      <c r="L108" s="145">
        <f>VLOOKUP($A108,IRData!$A$2:$N$146,13,FALSE)</f>
        <v>430</v>
      </c>
      <c r="M108" s="51">
        <f>L108*Forutsetninger!$C$17</f>
        <v>454.81373265157049</v>
      </c>
      <c r="N108" s="145">
        <f>VLOOKUP(A108,IRData!$A$3:$E$146,5,FALSE)*Forutsetninger!$C$23</f>
        <v>0</v>
      </c>
      <c r="O108" s="145">
        <f>VLOOKUP(A108,IRData!$A$3:$AG$146,19,FALSE)*Forutsetninger!$C$17</f>
        <v>104.40619333405142</v>
      </c>
      <c r="P108" s="52">
        <f t="shared" si="36"/>
        <v>17253.730043591386</v>
      </c>
      <c r="Q108" s="253">
        <f>ROUND(D108+E108+J108+K108+M108+G108*Forutsetninger!$B$5+N108,0)</f>
        <v>19313</v>
      </c>
      <c r="R108" s="53">
        <f>IFERROR((VLOOKUP(A108,'DEAnorm D-nett'!$A$4:$H$134,8,FALSE)+O108),0)</f>
        <v>15462.262065109364</v>
      </c>
      <c r="S108" s="26">
        <f>IFERROR((VLOOKUP(A108,'DEAnorm R-nett'!$A$4:$H$86,8,FALSE)+N108+K108),N108+K108)</f>
        <v>0</v>
      </c>
      <c r="T108" s="151">
        <f>IFERROR(VLOOKUP(A108,IRData!$A$3:$AN$146,40,FALSE),0)</f>
        <v>0</v>
      </c>
      <c r="U108" s="54">
        <f>(1-Forutsetninger!$B$3)*Q108+(R108+S108+T108)*Forutsetninger!$B$3</f>
        <v>17002.557239065616</v>
      </c>
      <c r="V108" s="47">
        <f t="shared" si="37"/>
        <v>-251.17280452576961</v>
      </c>
      <c r="W108" s="208">
        <f t="shared" si="38"/>
        <v>-7.7071294224755754E-3</v>
      </c>
      <c r="X108" s="47">
        <f>(R108+S108+T108)-G108*($K$159+$K$153)/Forutsetninger!$B$3</f>
        <v>17006.892238720397</v>
      </c>
      <c r="Y108" s="278">
        <f>ROUND((1-Forutsetninger!$B$3)*Q108+Forutsetninger!$B$3*X108,0)</f>
        <v>17929</v>
      </c>
      <c r="Z108" s="47">
        <v>17919</v>
      </c>
      <c r="AA108" s="73">
        <f t="shared" si="25"/>
        <v>10</v>
      </c>
      <c r="AB108" s="269">
        <f t="shared" si="26"/>
        <v>5.580668564093979E-4</v>
      </c>
      <c r="AC108" s="66">
        <f t="shared" si="27"/>
        <v>10</v>
      </c>
      <c r="AD108" s="256">
        <f>VLOOKUP(A108,IR2016prnettnivå!$B$2:$K$133,8,FALSE)</f>
        <v>1</v>
      </c>
      <c r="AE108" s="256">
        <f>VLOOKUP(A108,IR2016prnettnivå!$B$2:$K$133,9,FALSE)</f>
        <v>0</v>
      </c>
      <c r="AF108" s="256">
        <f>VLOOKUP(A108,IR2016prnettnivå!$B$2:$K$133,10,FALSE)</f>
        <v>0</v>
      </c>
      <c r="AG108" s="277">
        <f t="shared" si="28"/>
        <v>10</v>
      </c>
      <c r="AH108" s="277">
        <f t="shared" si="29"/>
        <v>0</v>
      </c>
      <c r="AI108" s="277">
        <f t="shared" si="30"/>
        <v>0</v>
      </c>
      <c r="AJ108" s="277">
        <f t="shared" si="31"/>
        <v>0.12800000000000003</v>
      </c>
      <c r="AK108" s="277">
        <f t="shared" si="32"/>
        <v>0</v>
      </c>
      <c r="AL108" s="277">
        <f t="shared" si="33"/>
        <v>0</v>
      </c>
    </row>
    <row r="109" spans="1:39" x14ac:dyDescent="0.2">
      <c r="A109">
        <v>2102014</v>
      </c>
      <c r="B109" s="1" t="s">
        <v>103</v>
      </c>
      <c r="C109" s="99">
        <f>VLOOKUP(A109,IRData!$A$3:$F$146,6,FALSE)</f>
        <v>65395.440063476563</v>
      </c>
      <c r="D109" s="52">
        <f>C109*Forutsetninger!$C$23</f>
        <v>68797.87584720875</v>
      </c>
      <c r="E109" s="50">
        <f>VLOOKUP($A109,IRData!$A$2:$N$146,7,FALSE)</f>
        <v>36629</v>
      </c>
      <c r="F109" s="50">
        <f>VLOOKUP($A109,IRData!$A$2:$N$146,8,FALSE)</f>
        <v>573196</v>
      </c>
      <c r="G109" s="50">
        <f>VLOOKUP($A109,IRData!$A$2:$N$146,9,FALSE)</f>
        <v>578927.96</v>
      </c>
      <c r="H109" s="50">
        <f>VLOOKUP($A109,IRData!$A$2:$N$146,10,FALSE)</f>
        <v>12129</v>
      </c>
      <c r="I109" s="50">
        <f>VLOOKUP($A109,IRData!$A$2:$N$146,11,FALSE)</f>
        <v>33313</v>
      </c>
      <c r="J109" s="52">
        <f>VLOOKUP(A109,IRData!$A$3:$AF$146,32,FALSE)</f>
        <v>2992.1030714213848</v>
      </c>
      <c r="K109" s="52">
        <f>VLOOKUP(A109,IRData!$A$3:$AM$146,37,FALSE)</f>
        <v>8217.9841386973858</v>
      </c>
      <c r="L109" s="145">
        <f>VLOOKUP($A109,IRData!$A$2:$N$146,13,FALSE)</f>
        <v>3481</v>
      </c>
      <c r="M109" s="51">
        <f>L109*Forutsetninger!$C$17</f>
        <v>3681.8758217677137</v>
      </c>
      <c r="N109" s="145">
        <f>VLOOKUP(A109,IRData!$A$3:$E$146,5,FALSE)*Forutsetninger!$C$23</f>
        <v>462.89260143198089</v>
      </c>
      <c r="O109" s="145">
        <f>VLOOKUP(A109,IRData!$A$3:$AG$146,19,FALSE)*Forutsetninger!$C$17</f>
        <v>0</v>
      </c>
      <c r="P109" s="52">
        <f t="shared" si="36"/>
        <v>120781.73148052722</v>
      </c>
      <c r="Q109" s="253">
        <f>ROUND(D109+E109+J109+K109+M109+G109*Forutsetninger!$B$5+N109,0)</f>
        <v>157370</v>
      </c>
      <c r="R109" s="53">
        <f>IFERROR((VLOOKUP(A109,'DEAnorm D-nett'!$A$4:$H$134,8,FALSE)+O109),0)</f>
        <v>43691.249468117712</v>
      </c>
      <c r="S109" s="26">
        <f>IFERROR((VLOOKUP(A109,'DEAnorm R-nett'!$A$4:$H$86,8,FALSE)+N109+K109),N109+K109)</f>
        <v>73758.535566780542</v>
      </c>
      <c r="T109" s="151">
        <f>IFERROR(VLOOKUP(A109,IRData!$A$3:$AN$146,40,FALSE),0)</f>
        <v>32393.840958725388</v>
      </c>
      <c r="U109" s="54">
        <f>(1-Forutsetninger!$B$3)*Q109+(R109+S109+T109)*Forutsetninger!$B$3</f>
        <v>152854.1755961742</v>
      </c>
      <c r="V109" s="47">
        <f t="shared" si="37"/>
        <v>32072.444115646984</v>
      </c>
      <c r="W109" s="208">
        <f t="shared" si="38"/>
        <v>5.5399715217843315E-2</v>
      </c>
      <c r="X109" s="47">
        <f>(R109+S109+T109)-G109*($K$159+$K$153)/Forutsetninger!$B$3</f>
        <v>177282.6763234699</v>
      </c>
      <c r="Y109" s="278">
        <f>ROUND((1-Forutsetninger!$B$3)*Q109+Forutsetninger!$B$3*X109,0)</f>
        <v>169318</v>
      </c>
      <c r="Z109" s="47">
        <v>166706</v>
      </c>
      <c r="AA109" s="73">
        <f t="shared" si="25"/>
        <v>2612</v>
      </c>
      <c r="AB109" s="269">
        <f t="shared" si="26"/>
        <v>1.5668302280661763E-2</v>
      </c>
      <c r="AC109" s="66">
        <f t="shared" si="27"/>
        <v>2612</v>
      </c>
      <c r="AD109" s="268">
        <f>AD42</f>
        <v>0.64851116673913978</v>
      </c>
      <c r="AE109" s="268">
        <f t="shared" ref="AE109:AF109" si="41">AE42</f>
        <v>0.27085561392581103</v>
      </c>
      <c r="AF109" s="268">
        <f t="shared" si="41"/>
        <v>8.0633219335049189E-2</v>
      </c>
      <c r="AG109" s="277">
        <f t="shared" si="28"/>
        <v>1693.9111675226331</v>
      </c>
      <c r="AH109" s="277">
        <f t="shared" si="29"/>
        <v>707.47486357421838</v>
      </c>
      <c r="AI109" s="277">
        <f t="shared" si="30"/>
        <v>210.61396890314847</v>
      </c>
      <c r="AJ109" s="277">
        <f t="shared" si="31"/>
        <v>21.682062944289708</v>
      </c>
      <c r="AK109" s="277">
        <f t="shared" si="32"/>
        <v>9.0556782537499974</v>
      </c>
      <c r="AL109" s="277">
        <f t="shared" si="33"/>
        <v>2.6958588019603011</v>
      </c>
      <c r="AM109" s="275"/>
    </row>
    <row r="110" spans="1:39" x14ac:dyDescent="0.2">
      <c r="A110">
        <v>1962014</v>
      </c>
      <c r="B110" s="1" t="s">
        <v>378</v>
      </c>
      <c r="C110" s="99">
        <f>VLOOKUP(A110,IRData!$A$3:$F$146,6,FALSE)</f>
        <v>13890.942535400391</v>
      </c>
      <c r="D110" s="52">
        <f>C110*Forutsetninger!$C$23</f>
        <v>14613.669378531007</v>
      </c>
      <c r="E110" s="50">
        <f>VLOOKUP($A110,IRData!$A$2:$N$146,7,FALSE)</f>
        <v>5806</v>
      </c>
      <c r="F110" s="50">
        <f>VLOOKUP($A110,IRData!$A$2:$N$146,8,FALSE)</f>
        <v>101194</v>
      </c>
      <c r="G110" s="50">
        <f>VLOOKUP($A110,IRData!$A$2:$N$146,9,FALSE)</f>
        <v>102205.94</v>
      </c>
      <c r="H110" s="50">
        <f>VLOOKUP($A110,IRData!$A$2:$N$146,10,FALSE)</f>
        <v>4089</v>
      </c>
      <c r="I110" s="50">
        <f>VLOOKUP($A110,IRData!$A$2:$N$146,11,FALSE)</f>
        <v>0</v>
      </c>
      <c r="J110" s="52">
        <f>VLOOKUP(A110,IRData!$A$3:$AF$146,32,FALSE)</f>
        <v>1013.4586535096169</v>
      </c>
      <c r="K110" s="52">
        <f>VLOOKUP(A110,IRData!$A$3:$AM$146,37,FALSE)</f>
        <v>0</v>
      </c>
      <c r="L110" s="145">
        <f>VLOOKUP($A110,IRData!$A$2:$N$146,13,FALSE)</f>
        <v>1946</v>
      </c>
      <c r="M110" s="51">
        <f>L110*Forutsetninger!$C$17</f>
        <v>2058.2965668371075</v>
      </c>
      <c r="N110" s="145">
        <f>VLOOKUP(A110,IRData!$A$3:$E$146,5,FALSE)*Forutsetninger!$C$23</f>
        <v>0</v>
      </c>
      <c r="O110" s="145">
        <f>VLOOKUP(A110,IRData!$A$3:$AG$146,19,FALSE)*Forutsetninger!$C$17</f>
        <v>0</v>
      </c>
      <c r="P110" s="52">
        <f t="shared" si="36"/>
        <v>23491.424598877729</v>
      </c>
      <c r="Q110" s="253">
        <f>ROUND(D110+E110+J110+K110+M110+G110*Forutsetninger!$B$5+N110,0)</f>
        <v>29951</v>
      </c>
      <c r="R110" s="53">
        <f>IFERROR((VLOOKUP(A110,'DEAnorm D-nett'!$A$4:$H$134,8,FALSE)+O110),0)</f>
        <v>26368.522578309421</v>
      </c>
      <c r="S110" s="26">
        <f>IFERROR((VLOOKUP(A110,'DEAnorm R-nett'!$A$4:$H$86,8,FALSE)+N110+K110),N110+K110)</f>
        <v>0</v>
      </c>
      <c r="T110" s="151">
        <f>IFERROR(VLOOKUP(A110,IRData!$A$3:$AN$146,40,FALSE),0)</f>
        <v>0</v>
      </c>
      <c r="U110" s="54">
        <f>(1-Forutsetninger!$B$3)*Q110+(R110+S110+T110)*Forutsetninger!$B$3</f>
        <v>27801.513546985654</v>
      </c>
      <c r="V110" s="47">
        <f t="shared" si="37"/>
        <v>4310.0889481079248</v>
      </c>
      <c r="W110" s="208">
        <f t="shared" si="38"/>
        <v>4.2170630670858508E-2</v>
      </c>
      <c r="X110" s="47">
        <f>(R110+S110+T110)-G110*($K$159+$K$153)/Forutsetninger!$B$3</f>
        <v>31212.707218604301</v>
      </c>
      <c r="Y110" s="278">
        <f>ROUND((1-Forutsetninger!$B$3)*Q110+Forutsetninger!$B$3*X110,0)</f>
        <v>30708</v>
      </c>
      <c r="Z110" s="47">
        <v>30708</v>
      </c>
      <c r="AA110" s="73">
        <f t="shared" si="25"/>
        <v>0</v>
      </c>
      <c r="AB110" s="269">
        <f t="shared" si="26"/>
        <v>0</v>
      </c>
      <c r="AC110" s="66">
        <f t="shared" si="27"/>
        <v>0</v>
      </c>
      <c r="AD110" s="256">
        <f>VLOOKUP(A110,IR2016prnettnivå!$B$2:$K$133,8,FALSE)</f>
        <v>1</v>
      </c>
      <c r="AE110" s="256">
        <f>VLOOKUP(A110,IR2016prnettnivå!$B$2:$K$133,9,FALSE)</f>
        <v>0</v>
      </c>
      <c r="AF110" s="256">
        <f>VLOOKUP(A110,IR2016prnettnivå!$B$2:$K$133,10,FALSE)</f>
        <v>0</v>
      </c>
      <c r="AG110" s="277">
        <f t="shared" si="28"/>
        <v>0</v>
      </c>
      <c r="AH110" s="277">
        <f t="shared" si="29"/>
        <v>0</v>
      </c>
      <c r="AI110" s="277">
        <f t="shared" si="30"/>
        <v>0</v>
      </c>
      <c r="AJ110" s="277">
        <f t="shared" si="31"/>
        <v>0</v>
      </c>
      <c r="AK110" s="277">
        <f t="shared" si="32"/>
        <v>0</v>
      </c>
      <c r="AL110" s="277">
        <f t="shared" si="33"/>
        <v>0</v>
      </c>
    </row>
    <row r="111" spans="1:39" x14ac:dyDescent="0.2">
      <c r="A111">
        <v>1972014</v>
      </c>
      <c r="B111" s="1" t="s">
        <v>227</v>
      </c>
      <c r="C111" s="99">
        <f>VLOOKUP(A111,IRData!$A$3:$F$146,6,FALSE)</f>
        <v>40190.550476074219</v>
      </c>
      <c r="D111" s="52">
        <f>C111*Forutsetninger!$C$23</f>
        <v>42281.610142848484</v>
      </c>
      <c r="E111" s="50">
        <f>VLOOKUP($A111,IRData!$A$2:$N$146,7,FALSE)</f>
        <v>12740</v>
      </c>
      <c r="F111" s="50">
        <f>VLOOKUP($A111,IRData!$A$2:$N$146,8,FALSE)</f>
        <v>204763</v>
      </c>
      <c r="G111" s="50">
        <f>VLOOKUP($A111,IRData!$A$2:$N$146,9,FALSE)</f>
        <v>206810.63</v>
      </c>
      <c r="H111" s="50">
        <f>VLOOKUP($A111,IRData!$A$2:$N$146,10,FALSE)</f>
        <v>11701</v>
      </c>
      <c r="I111" s="50">
        <f>VLOOKUP($A111,IRData!$A$2:$N$146,11,FALSE)</f>
        <v>5964</v>
      </c>
      <c r="J111" s="52">
        <f>VLOOKUP(A111,IRData!$A$3:$AF$146,32,FALSE)</f>
        <v>2886.5197492539883</v>
      </c>
      <c r="K111" s="52">
        <f>VLOOKUP(A111,IRData!$A$3:$AM$146,37,FALSE)</f>
        <v>1471.2591902017593</v>
      </c>
      <c r="L111" s="145">
        <f>VLOOKUP($A111,IRData!$A$2:$N$146,13,FALSE)</f>
        <v>2613</v>
      </c>
      <c r="M111" s="51">
        <f>L111*Forutsetninger!$C$17</f>
        <v>2763.7867056245436</v>
      </c>
      <c r="N111" s="145">
        <f>VLOOKUP(A111,IRData!$A$3:$E$146,5,FALSE)*Forutsetninger!$C$23</f>
        <v>0</v>
      </c>
      <c r="O111" s="145">
        <f>VLOOKUP(A111,IRData!$A$3:$AG$146,19,FALSE)*Forutsetninger!$C$17</f>
        <v>0</v>
      </c>
      <c r="P111" s="52">
        <f t="shared" si="36"/>
        <v>62143.175787928776</v>
      </c>
      <c r="Q111" s="253">
        <f>ROUND(D111+E111+J111+K111+M111+G111*Forutsetninger!$B$5+N111,0)</f>
        <v>75214</v>
      </c>
      <c r="R111" s="53">
        <f>IFERROR((VLOOKUP(A111,'DEAnorm D-nett'!$A$4:$H$134,8,FALSE)+O111),0)</f>
        <v>58687.478308498779</v>
      </c>
      <c r="S111" s="26">
        <f>IFERROR((VLOOKUP(A111,'DEAnorm R-nett'!$A$4:$H$86,8,FALSE)+N111+K111),N111+K111)</f>
        <v>14650.207985488234</v>
      </c>
      <c r="T111" s="151">
        <f>IFERROR(VLOOKUP(A111,IRData!$A$3:$AN$146,40,FALSE),0)</f>
        <v>0</v>
      </c>
      <c r="U111" s="54">
        <f>(1-Forutsetninger!$B$3)*Q111+(R111+S111+T111)*Forutsetninger!$B$3</f>
        <v>74088.211776392214</v>
      </c>
      <c r="V111" s="47">
        <f t="shared" si="37"/>
        <v>11945.035988463438</v>
      </c>
      <c r="W111" s="208">
        <f t="shared" si="38"/>
        <v>5.7758326970250212E-2</v>
      </c>
      <c r="X111" s="47">
        <f>(R111+S111+T111)-G111*($K$159+$K$153)/Forutsetninger!$B$3</f>
        <v>83139.747478451507</v>
      </c>
      <c r="Y111" s="278">
        <f>ROUND((1-Forutsetninger!$B$3)*Q111+Forutsetninger!$B$3*X111,0)</f>
        <v>79969</v>
      </c>
      <c r="Z111" s="47">
        <v>79980</v>
      </c>
      <c r="AA111" s="73">
        <f t="shared" si="25"/>
        <v>-11</v>
      </c>
      <c r="AB111" s="269">
        <f t="shared" si="26"/>
        <v>-1.3753438359589897E-4</v>
      </c>
      <c r="AC111" s="66">
        <f t="shared" si="27"/>
        <v>0</v>
      </c>
      <c r="AD111" s="256">
        <f>VLOOKUP(A111,IR2016prnettnivå!$B$2:$K$133,8,FALSE)</f>
        <v>0.88705926481620401</v>
      </c>
      <c r="AE111" s="256">
        <f>VLOOKUP(A111,IR2016prnettnivå!$B$2:$K$133,9,FALSE)</f>
        <v>9.481120280070017E-2</v>
      </c>
      <c r="AF111" s="256">
        <f>VLOOKUP(A111,IR2016prnettnivå!$B$2:$K$133,10,FALSE)</f>
        <v>1.8129532383095774E-2</v>
      </c>
      <c r="AG111" s="277">
        <f t="shared" si="28"/>
        <v>0</v>
      </c>
      <c r="AH111" s="277">
        <f t="shared" si="29"/>
        <v>0</v>
      </c>
      <c r="AI111" s="277">
        <f t="shared" si="30"/>
        <v>0</v>
      </c>
      <c r="AJ111" s="277">
        <f t="shared" si="31"/>
        <v>0</v>
      </c>
      <c r="AK111" s="277">
        <f t="shared" si="32"/>
        <v>0</v>
      </c>
      <c r="AL111" s="277">
        <f t="shared" si="33"/>
        <v>0</v>
      </c>
    </row>
    <row r="112" spans="1:39" x14ac:dyDescent="0.2">
      <c r="A112">
        <v>6692014</v>
      </c>
      <c r="B112" s="1" t="s">
        <v>133</v>
      </c>
      <c r="C112" s="99">
        <f>VLOOKUP(A112,IRData!$A$3:$F$146,6,FALSE)</f>
        <v>29529.657457351685</v>
      </c>
      <c r="D112" s="52">
        <f>C112*Forutsetninger!$C$23</f>
        <v>31066.045363247307</v>
      </c>
      <c r="E112" s="50">
        <f>VLOOKUP($A112,IRData!$A$2:$N$146,7,FALSE)</f>
        <v>14872</v>
      </c>
      <c r="F112" s="50">
        <f>VLOOKUP($A112,IRData!$A$2:$N$146,8,FALSE)</f>
        <v>280286</v>
      </c>
      <c r="G112" s="50">
        <f>VLOOKUP($A112,IRData!$A$2:$N$146,9,FALSE)</f>
        <v>283088.86000000004</v>
      </c>
      <c r="H112" s="50">
        <f>VLOOKUP($A112,IRData!$A$2:$N$146,10,FALSE)</f>
        <v>13234</v>
      </c>
      <c r="I112" s="50">
        <f>VLOOKUP($A112,IRData!$A$2:$N$146,11,FALSE)</f>
        <v>1111</v>
      </c>
      <c r="J112" s="52">
        <f>VLOOKUP(A112,IRData!$A$3:$AF$146,32,FALSE)</f>
        <v>3436.8698037862778</v>
      </c>
      <c r="K112" s="52">
        <f>VLOOKUP(A112,IRData!$A$3:$AM$146,37,FALSE)</f>
        <v>288.52670031785965</v>
      </c>
      <c r="L112" s="145">
        <f>VLOOKUP($A112,IRData!$A$2:$N$146,13,FALSE)</f>
        <v>1605</v>
      </c>
      <c r="M112" s="51">
        <f>L112*Forutsetninger!$C$17</f>
        <v>1697.618699780862</v>
      </c>
      <c r="N112" s="145">
        <f>VLOOKUP(A112,IRData!$A$3:$E$146,5,FALSE)*Forutsetninger!$C$23</f>
        <v>0</v>
      </c>
      <c r="O112" s="145">
        <f>VLOOKUP(A112,IRData!$A$3:$AG$146,19,FALSE)*Forutsetninger!$C$17</f>
        <v>0</v>
      </c>
      <c r="P112" s="52">
        <f t="shared" si="36"/>
        <v>51361.060567132306</v>
      </c>
      <c r="Q112" s="253">
        <f>ROUND(D112+E112+J112+K112+M112+G112*Forutsetninger!$B$5+N112,0)</f>
        <v>69252</v>
      </c>
      <c r="R112" s="53">
        <f>IFERROR((VLOOKUP(A112,'DEAnorm D-nett'!$A$4:$H$134,8,FALSE)+O112),0)</f>
        <v>62099.971191953446</v>
      </c>
      <c r="S112" s="26">
        <f>IFERROR((VLOOKUP(A112,'DEAnorm R-nett'!$A$4:$H$86,8,FALSE)+N112+K112),N112+K112)</f>
        <v>5841.7896924052784</v>
      </c>
      <c r="T112" s="151">
        <f>IFERROR(VLOOKUP(A112,IRData!$A$3:$AN$146,40,FALSE),0)</f>
        <v>0</v>
      </c>
      <c r="U112" s="54">
        <f>(1-Forutsetninger!$B$3)*Q112+(R112+S112+T112)*Forutsetninger!$B$3</f>
        <v>68465.856530615245</v>
      </c>
      <c r="V112" s="47">
        <f t="shared" si="37"/>
        <v>17104.795963482939</v>
      </c>
      <c r="W112" s="208">
        <f t="shared" si="38"/>
        <v>6.0422003054033759E-2</v>
      </c>
      <c r="X112" s="47">
        <f>(R112+S112+T112)-G112*($K$159+$K$153)/Forutsetninger!$B$3</f>
        <v>81359.128871489287</v>
      </c>
      <c r="Y112" s="278">
        <f>ROUND((1-Forutsetninger!$B$3)*Q112+Forutsetninger!$B$3*X112,0)</f>
        <v>76516</v>
      </c>
      <c r="Z112" s="47">
        <v>76470</v>
      </c>
      <c r="AA112" s="73">
        <f t="shared" si="25"/>
        <v>46</v>
      </c>
      <c r="AB112" s="269">
        <f t="shared" si="26"/>
        <v>6.0154308879299071E-4</v>
      </c>
      <c r="AC112" s="66">
        <f t="shared" si="27"/>
        <v>46</v>
      </c>
      <c r="AD112" s="256">
        <f>VLOOKUP(A112,IR2016prnettnivå!$B$2:$K$133,8,FALSE)</f>
        <v>0.93885183732182553</v>
      </c>
      <c r="AE112" s="256">
        <f>VLOOKUP(A112,IR2016prnettnivå!$B$2:$K$133,9,FALSE)</f>
        <v>6.1148162678174446E-2</v>
      </c>
      <c r="AF112" s="256">
        <f>VLOOKUP(A112,IR2016prnettnivå!$B$2:$K$133,10,FALSE)</f>
        <v>0</v>
      </c>
      <c r="AG112" s="277">
        <f t="shared" si="28"/>
        <v>43.187184516803974</v>
      </c>
      <c r="AH112" s="277">
        <f t="shared" si="29"/>
        <v>2.8128154831960246</v>
      </c>
      <c r="AI112" s="277">
        <f t="shared" si="30"/>
        <v>0</v>
      </c>
      <c r="AJ112" s="277">
        <f t="shared" si="31"/>
        <v>0.55279596181509094</v>
      </c>
      <c r="AK112" s="277">
        <f t="shared" si="32"/>
        <v>3.6004038184909125E-2</v>
      </c>
      <c r="AL112" s="277">
        <f t="shared" si="33"/>
        <v>0</v>
      </c>
    </row>
    <row r="113" spans="1:39" x14ac:dyDescent="0.2">
      <c r="A113">
        <v>6852014</v>
      </c>
      <c r="B113" s="1" t="s">
        <v>60</v>
      </c>
      <c r="C113" s="99">
        <f>VLOOKUP(A113,IRData!$A$3:$F$146,6,FALSE)</f>
        <v>273</v>
      </c>
      <c r="D113" s="52">
        <f>C113*Forutsetninger!$C$23</f>
        <v>287.2038186157518</v>
      </c>
      <c r="E113" s="50">
        <f>VLOOKUP($A113,IRData!$A$2:$N$146,7,FALSE)</f>
        <v>565</v>
      </c>
      <c r="F113" s="50">
        <f>VLOOKUP($A113,IRData!$A$2:$N$146,8,FALSE)</f>
        <v>6693</v>
      </c>
      <c r="G113" s="50">
        <f>VLOOKUP($A113,IRData!$A$2:$N$146,9,FALSE)</f>
        <v>6759.93</v>
      </c>
      <c r="H113" s="50">
        <f>VLOOKUP($A113,IRData!$A$2:$N$146,10,FALSE)</f>
        <v>0</v>
      </c>
      <c r="I113" s="50">
        <f>VLOOKUP($A113,IRData!$A$2:$N$146,11,FALSE)</f>
        <v>1266</v>
      </c>
      <c r="J113" s="52">
        <f>VLOOKUP(A113,IRData!$A$3:$AF$146,32,FALSE)</f>
        <v>0</v>
      </c>
      <c r="K113" s="52">
        <f>VLOOKUP(A113,IRData!$A$3:$AM$146,37,FALSE)</f>
        <v>309.47370368242264</v>
      </c>
      <c r="L113" s="145">
        <f>VLOOKUP($A113,IRData!$A$2:$N$146,13,FALSE)</f>
        <v>0</v>
      </c>
      <c r="M113" s="51">
        <f>L113*Forutsetninger!$C$17</f>
        <v>0</v>
      </c>
      <c r="N113" s="145">
        <f>VLOOKUP(A113,IRData!$A$3:$E$146,5,FALSE)*Forutsetninger!$C$23</f>
        <v>0</v>
      </c>
      <c r="O113" s="145">
        <f>VLOOKUP(A113,IRData!$A$3:$AG$146,19,FALSE)*Forutsetninger!$C$17</f>
        <v>0</v>
      </c>
      <c r="P113" s="52">
        <f t="shared" si="36"/>
        <v>1161.6775222981744</v>
      </c>
      <c r="Q113" s="253">
        <f>ROUND(D113+E113+J113+K113+M113+G113*Forutsetninger!$B$5+N113,0)</f>
        <v>1589</v>
      </c>
      <c r="R113" s="53">
        <f>IFERROR((VLOOKUP(A113,'DEAnorm D-nett'!$A$4:$H$134,8,FALSE)+O113),0)</f>
        <v>0</v>
      </c>
      <c r="S113" s="26">
        <f>IFERROR((VLOOKUP(A113,'DEAnorm R-nett'!$A$4:$H$86,8,FALSE)+N113+K113),N113+K113)</f>
        <v>948.07303817406944</v>
      </c>
      <c r="T113" s="151">
        <f>IFERROR(VLOOKUP(A113,IRData!$A$3:$AN$146,40,FALSE),0)</f>
        <v>640.83206012410506</v>
      </c>
      <c r="U113" s="54">
        <f>(1-Forutsetninger!$B$3)*Q113+(R113+S113+T113)*Forutsetninger!$B$3</f>
        <v>1588.9430589789044</v>
      </c>
      <c r="V113" s="47">
        <f t="shared" si="37"/>
        <v>427.26553668073007</v>
      </c>
      <c r="W113" s="208">
        <f t="shared" si="38"/>
        <v>6.3205615543464211E-2</v>
      </c>
      <c r="X113" s="47">
        <f>(R113+S113+T113)-G113*($K$159+$K$153)/Forutsetninger!$B$3</f>
        <v>1909.3008509860176</v>
      </c>
      <c r="Y113" s="278">
        <f>ROUND((1-Forutsetninger!$B$3)*Q113+Forutsetninger!$B$3*X113,0)</f>
        <v>1781</v>
      </c>
      <c r="Z113" s="47">
        <v>1782</v>
      </c>
      <c r="AA113" s="73">
        <f t="shared" si="25"/>
        <v>-1</v>
      </c>
      <c r="AB113" s="269">
        <f t="shared" si="26"/>
        <v>-5.6116722783389455E-4</v>
      </c>
      <c r="AC113" s="66">
        <f t="shared" si="27"/>
        <v>0</v>
      </c>
      <c r="AD113" s="256">
        <f>VLOOKUP(A113,IR2016prnettnivå!$B$2:$K$133,8,FALSE)</f>
        <v>0</v>
      </c>
      <c r="AE113" s="256">
        <f>VLOOKUP(A113,IR2016prnettnivå!$B$2:$K$133,9,FALSE)</f>
        <v>0.76487093153759822</v>
      </c>
      <c r="AF113" s="256">
        <f>VLOOKUP(A113,IR2016prnettnivå!$B$2:$K$133,10,FALSE)</f>
        <v>0.23512906846240181</v>
      </c>
      <c r="AG113" s="277">
        <f t="shared" si="28"/>
        <v>0</v>
      </c>
      <c r="AH113" s="277">
        <f t="shared" si="29"/>
        <v>0</v>
      </c>
      <c r="AI113" s="277">
        <f t="shared" si="30"/>
        <v>0</v>
      </c>
      <c r="AJ113" s="277">
        <f t="shared" si="31"/>
        <v>0</v>
      </c>
      <c r="AK113" s="277">
        <f t="shared" si="32"/>
        <v>0</v>
      </c>
      <c r="AL113" s="277">
        <f t="shared" si="33"/>
        <v>0</v>
      </c>
    </row>
    <row r="114" spans="1:39" x14ac:dyDescent="0.2">
      <c r="A114">
        <v>2042014</v>
      </c>
      <c r="B114" s="1" t="s">
        <v>379</v>
      </c>
      <c r="C114" s="99">
        <f>VLOOKUP(A114,IRData!$A$3:$F$146,6,FALSE)</f>
        <v>9945.8106689453125</v>
      </c>
      <c r="D114" s="52">
        <f>C114*Forutsetninger!$C$23</f>
        <v>10463.277667950104</v>
      </c>
      <c r="E114" s="50">
        <f>VLOOKUP($A114,IRData!$A$2:$N$146,7,FALSE)</f>
        <v>3258</v>
      </c>
      <c r="F114" s="50">
        <f>VLOOKUP($A114,IRData!$A$2:$N$146,8,FALSE)</f>
        <v>47426</v>
      </c>
      <c r="G114" s="50">
        <f>VLOOKUP($A114,IRData!$A$2:$N$146,9,FALSE)</f>
        <v>47900.26</v>
      </c>
      <c r="H114" s="50">
        <f>VLOOKUP($A114,IRData!$A$2:$N$146,10,FALSE)</f>
        <v>9817</v>
      </c>
      <c r="I114" s="50">
        <f>VLOOKUP($A114,IRData!$A$2:$N$146,11,FALSE)</f>
        <v>0</v>
      </c>
      <c r="J114" s="52">
        <f>VLOOKUP(A114,IRData!$A$3:$AF$146,32,FALSE)</f>
        <v>2715.3822318315506</v>
      </c>
      <c r="K114" s="52">
        <f>VLOOKUP(A114,IRData!$A$3:$AM$146,37,FALSE)</f>
        <v>0</v>
      </c>
      <c r="L114" s="145">
        <f>VLOOKUP($A114,IRData!$A$2:$N$146,13,FALSE)</f>
        <v>1998</v>
      </c>
      <c r="M114" s="51">
        <f>L114*Forutsetninger!$C$17</f>
        <v>2113.2972972972971</v>
      </c>
      <c r="N114" s="145">
        <f>VLOOKUP(A114,IRData!$A$3:$E$146,5,FALSE)*Forutsetninger!$C$23</f>
        <v>0</v>
      </c>
      <c r="O114" s="145">
        <f>VLOOKUP(A114,IRData!$A$3:$AG$146,19,FALSE)*Forutsetninger!$C$17</f>
        <v>0</v>
      </c>
      <c r="P114" s="52">
        <f t="shared" si="36"/>
        <v>18549.957197078951</v>
      </c>
      <c r="Q114" s="253">
        <f>ROUND(D114+E114+J114+K114+M114+G114*Forutsetninger!$B$5+N114,0)</f>
        <v>21577</v>
      </c>
      <c r="R114" s="53">
        <f>IFERROR((VLOOKUP(A114,'DEAnorm D-nett'!$A$4:$H$134,8,FALSE)+O114),0)</f>
        <v>22329.464142714307</v>
      </c>
      <c r="S114" s="26">
        <f>IFERROR((VLOOKUP(A114,'DEAnorm R-nett'!$A$4:$H$86,8,FALSE)+N114+K114),N114+K114)</f>
        <v>522.64185778101876</v>
      </c>
      <c r="T114" s="151">
        <f>IFERROR(VLOOKUP(A114,IRData!$A$3:$AN$146,40,FALSE),0)</f>
        <v>0</v>
      </c>
      <c r="U114" s="54">
        <f>(1-Forutsetninger!$B$3)*Q114+(R114+S114+T114)*Forutsetninger!$B$3</f>
        <v>22342.063600297195</v>
      </c>
      <c r="V114" s="47">
        <f t="shared" si="37"/>
        <v>3792.1064032182439</v>
      </c>
      <c r="W114" s="208">
        <f t="shared" si="38"/>
        <v>7.9166718577691308E-2</v>
      </c>
      <c r="X114" s="47">
        <f>(R114+S114+T114)-G114*($K$159+$K$153)/Forutsetninger!$B$3</f>
        <v>25122.401677616745</v>
      </c>
      <c r="Y114" s="278">
        <f>ROUND((1-Forutsetninger!$B$3)*Q114+Forutsetninger!$B$3*X114,0)</f>
        <v>23704</v>
      </c>
      <c r="Z114" s="47">
        <v>23710</v>
      </c>
      <c r="AA114" s="73">
        <f t="shared" si="25"/>
        <v>-6</v>
      </c>
      <c r="AB114" s="269">
        <f t="shared" si="26"/>
        <v>-2.5305778152678193E-4</v>
      </c>
      <c r="AC114" s="66">
        <f t="shared" si="27"/>
        <v>0</v>
      </c>
      <c r="AD114" s="256">
        <f>VLOOKUP(A114,IR2016prnettnivå!$B$2:$K$133,8,FALSE)</f>
        <v>0.99502319696330666</v>
      </c>
      <c r="AE114" s="256">
        <f>VLOOKUP(A114,IR2016prnettnivå!$B$2:$K$133,9,FALSE)</f>
        <v>4.9768030366933785E-3</v>
      </c>
      <c r="AF114" s="256">
        <f>VLOOKUP(A114,IR2016prnettnivå!$B$2:$K$133,10,FALSE)</f>
        <v>0</v>
      </c>
      <c r="AG114" s="277">
        <f t="shared" si="28"/>
        <v>0</v>
      </c>
      <c r="AH114" s="277">
        <f t="shared" si="29"/>
        <v>0</v>
      </c>
      <c r="AI114" s="277">
        <f t="shared" si="30"/>
        <v>0</v>
      </c>
      <c r="AJ114" s="277">
        <f t="shared" si="31"/>
        <v>0</v>
      </c>
      <c r="AK114" s="277">
        <f t="shared" si="32"/>
        <v>0</v>
      </c>
      <c r="AL114" s="277">
        <f t="shared" si="33"/>
        <v>0</v>
      </c>
    </row>
    <row r="115" spans="1:39" x14ac:dyDescent="0.2">
      <c r="A115">
        <v>2052014</v>
      </c>
      <c r="B115" s="1" t="s">
        <v>228</v>
      </c>
      <c r="C115" s="99">
        <f>VLOOKUP(A115,IRData!$A$3:$F$146,6,FALSE)</f>
        <v>16570.742492675781</v>
      </c>
      <c r="D115" s="52">
        <f>C115*Forutsetninger!$C$23</f>
        <v>17432.895682032184</v>
      </c>
      <c r="E115" s="50">
        <f>VLOOKUP($A115,IRData!$A$2:$N$146,7,FALSE)</f>
        <v>5622</v>
      </c>
      <c r="F115" s="50">
        <f>VLOOKUP($A115,IRData!$A$2:$N$146,8,FALSE)</f>
        <v>82383</v>
      </c>
      <c r="G115" s="50">
        <f>VLOOKUP($A115,IRData!$A$2:$N$146,9,FALSE)</f>
        <v>83206.83</v>
      </c>
      <c r="H115" s="50">
        <f>VLOOKUP($A115,IRData!$A$2:$N$146,10,FALSE)</f>
        <v>8989</v>
      </c>
      <c r="I115" s="50">
        <f>VLOOKUP($A115,IRData!$A$2:$N$146,11,FALSE)</f>
        <v>0</v>
      </c>
      <c r="J115" s="52">
        <f>VLOOKUP(A115,IRData!$A$3:$AF$146,32,FALSE)</f>
        <v>2334.4433025717735</v>
      </c>
      <c r="K115" s="52">
        <f>VLOOKUP(A115,IRData!$A$3:$AM$146,37,FALSE)</f>
        <v>0</v>
      </c>
      <c r="L115" s="145">
        <f>VLOOKUP($A115,IRData!$A$2:$N$146,13,FALSE)</f>
        <v>673</v>
      </c>
      <c r="M115" s="51">
        <f>L115*Forutsetninger!$C$17</f>
        <v>711.83637691745798</v>
      </c>
      <c r="N115" s="145">
        <f>VLOOKUP(A115,IRData!$A$3:$E$146,5,FALSE)*Forutsetninger!$C$23</f>
        <v>0</v>
      </c>
      <c r="O115" s="145">
        <f>VLOOKUP(A115,IRData!$A$3:$AG$146,19,FALSE)*Forutsetninger!$C$17</f>
        <v>208.81238666810285</v>
      </c>
      <c r="P115" s="52">
        <f t="shared" si="36"/>
        <v>26101.175361521415</v>
      </c>
      <c r="Q115" s="253">
        <f>ROUND(D115+E115+J115+K115+M115+G115*Forutsetninger!$B$5+N115,0)</f>
        <v>31360</v>
      </c>
      <c r="R115" s="53">
        <f>IFERROR((VLOOKUP(A115,'DEAnorm D-nett'!$A$4:$H$134,8,FALSE)+O115),0)</f>
        <v>30341.118644400445</v>
      </c>
      <c r="S115" s="26">
        <f>IFERROR((VLOOKUP(A115,'DEAnorm R-nett'!$A$4:$H$86,8,FALSE)+N115+K115),N115+K115)</f>
        <v>0</v>
      </c>
      <c r="T115" s="151">
        <f>IFERROR(VLOOKUP(A115,IRData!$A$3:$AN$146,40,FALSE),0)</f>
        <v>0</v>
      </c>
      <c r="U115" s="54">
        <f>(1-Forutsetninger!$B$3)*Q115+(R115+S115+T115)*Forutsetninger!$B$3</f>
        <v>30748.671186640266</v>
      </c>
      <c r="V115" s="47">
        <f t="shared" si="37"/>
        <v>4647.4958251188509</v>
      </c>
      <c r="W115" s="208">
        <f t="shared" si="38"/>
        <v>5.5854739630374704E-2</v>
      </c>
      <c r="X115" s="47">
        <f>(R115+S115+T115)-G115*($K$159+$K$153)/Forutsetninger!$B$3</f>
        <v>34284.815535732072</v>
      </c>
      <c r="Y115" s="278">
        <f>ROUND((1-Forutsetninger!$B$3)*Q115+Forutsetninger!$B$3*X115,0)</f>
        <v>33115</v>
      </c>
      <c r="Z115" s="47">
        <v>33128</v>
      </c>
      <c r="AA115" s="73">
        <f t="shared" si="25"/>
        <v>-13</v>
      </c>
      <c r="AB115" s="269">
        <f t="shared" si="26"/>
        <v>-3.9241729050953878E-4</v>
      </c>
      <c r="AC115" s="66">
        <f t="shared" si="27"/>
        <v>0</v>
      </c>
      <c r="AD115" s="256">
        <f>VLOOKUP(A115,IR2016prnettnivå!$B$2:$K$133,8,FALSE)</f>
        <v>1</v>
      </c>
      <c r="AE115" s="256">
        <f>VLOOKUP(A115,IR2016prnettnivå!$B$2:$K$133,9,FALSE)</f>
        <v>0</v>
      </c>
      <c r="AF115" s="256">
        <f>VLOOKUP(A115,IR2016prnettnivå!$B$2:$K$133,10,FALSE)</f>
        <v>0</v>
      </c>
      <c r="AG115" s="277">
        <f t="shared" si="28"/>
        <v>0</v>
      </c>
      <c r="AH115" s="277">
        <f t="shared" si="29"/>
        <v>0</v>
      </c>
      <c r="AI115" s="277">
        <f t="shared" si="30"/>
        <v>0</v>
      </c>
      <c r="AJ115" s="277">
        <f t="shared" si="31"/>
        <v>0</v>
      </c>
      <c r="AK115" s="277">
        <f t="shared" si="32"/>
        <v>0</v>
      </c>
      <c r="AL115" s="277">
        <f t="shared" si="33"/>
        <v>0</v>
      </c>
    </row>
    <row r="116" spans="1:39" x14ac:dyDescent="0.2">
      <c r="A116">
        <v>2062014</v>
      </c>
      <c r="B116" s="1" t="s">
        <v>110</v>
      </c>
      <c r="C116" s="99">
        <f>VLOOKUP(A116,IRData!$A$3:$F$146,6,FALSE)</f>
        <v>17132.427719116211</v>
      </c>
      <c r="D116" s="52">
        <f>C116*Forutsetninger!$C$23</f>
        <v>18023.804626697915</v>
      </c>
      <c r="E116" s="50">
        <f>VLOOKUP($A116,IRData!$A$2:$N$146,7,FALSE)</f>
        <v>6022</v>
      </c>
      <c r="F116" s="50">
        <f>VLOOKUP($A116,IRData!$A$2:$N$146,8,FALSE)</f>
        <v>86806</v>
      </c>
      <c r="G116" s="50">
        <f>VLOOKUP($A116,IRData!$A$2:$N$146,9,FALSE)</f>
        <v>87674.06</v>
      </c>
      <c r="H116" s="50">
        <f>VLOOKUP($A116,IRData!$A$2:$N$146,10,FALSE)</f>
        <v>4676</v>
      </c>
      <c r="I116" s="50">
        <f>VLOOKUP($A116,IRData!$A$2:$N$146,11,FALSE)</f>
        <v>3419</v>
      </c>
      <c r="J116" s="52">
        <f>VLOOKUP(A116,IRData!$A$3:$AF$146,32,FALSE)</f>
        <v>1158.946604013443</v>
      </c>
      <c r="K116" s="52">
        <f>VLOOKUP(A116,IRData!$A$3:$AM$146,37,FALSE)</f>
        <v>847.39915293455124</v>
      </c>
      <c r="L116" s="145">
        <f>VLOOKUP($A116,IRData!$A$2:$N$146,13,FALSE)</f>
        <v>2253</v>
      </c>
      <c r="M116" s="51">
        <f>L116*Forutsetninger!$C$17</f>
        <v>2383.0124178232286</v>
      </c>
      <c r="N116" s="145">
        <f>VLOOKUP(A116,IRData!$A$3:$E$146,5,FALSE)*Forutsetninger!$C$23</f>
        <v>0</v>
      </c>
      <c r="O116" s="145">
        <f>VLOOKUP(A116,IRData!$A$3:$AG$146,19,FALSE)*Forutsetninger!$C$17</f>
        <v>0</v>
      </c>
      <c r="P116" s="52">
        <f t="shared" si="36"/>
        <v>28435.162801469138</v>
      </c>
      <c r="Q116" s="253">
        <f>ROUND(D116+E116+J116+K116+M116+G116*Forutsetninger!$B$5+N116,0)</f>
        <v>33976</v>
      </c>
      <c r="R116" s="53">
        <f>IFERROR((VLOOKUP(A116,'DEAnorm D-nett'!$A$4:$H$134,8,FALSE)+O116),0)</f>
        <v>32823.138551148804</v>
      </c>
      <c r="S116" s="26">
        <f>IFERROR((VLOOKUP(A116,'DEAnorm R-nett'!$A$4:$H$86,8,FALSE)+N116+K116),N116+K116)</f>
        <v>4533.4233351077601</v>
      </c>
      <c r="T116" s="151">
        <f>IFERROR(VLOOKUP(A116,IRData!$A$3:$AN$146,40,FALSE),0)</f>
        <v>0</v>
      </c>
      <c r="U116" s="54">
        <f>(1-Forutsetninger!$B$3)*Q116+(R116+S116+T116)*Forutsetninger!$B$3</f>
        <v>36004.337131753942</v>
      </c>
      <c r="V116" s="47">
        <f t="shared" si="37"/>
        <v>7569.1743302848045</v>
      </c>
      <c r="W116" s="208">
        <f t="shared" si="38"/>
        <v>8.6333110731780918E-2</v>
      </c>
      <c r="X116" s="47">
        <f>(R116+S116+T116)-G116*($K$159+$K$153)/Forutsetninger!$B$3</f>
        <v>41511.989005309442</v>
      </c>
      <c r="Y116" s="278">
        <f>ROUND((1-Forutsetninger!$B$3)*Q116+Forutsetninger!$B$3*X116,0)</f>
        <v>38498</v>
      </c>
      <c r="Z116" s="47">
        <v>38526</v>
      </c>
      <c r="AA116" s="73">
        <f t="shared" si="25"/>
        <v>-28</v>
      </c>
      <c r="AB116" s="269">
        <f t="shared" si="26"/>
        <v>-7.2678191351295226E-4</v>
      </c>
      <c r="AC116" s="66">
        <f t="shared" si="27"/>
        <v>0</v>
      </c>
      <c r="AD116" s="256">
        <f>VLOOKUP(A116,IR2016prnettnivå!$B$2:$K$133,8,FALSE)</f>
        <v>0.88680371697035765</v>
      </c>
      <c r="AE116" s="256">
        <f>VLOOKUP(A116,IR2016prnettnivå!$B$2:$K$133,9,FALSE)</f>
        <v>0.11319628302964233</v>
      </c>
      <c r="AF116" s="256">
        <f>VLOOKUP(A116,IR2016prnettnivå!$B$2:$K$133,10,FALSE)</f>
        <v>0</v>
      </c>
      <c r="AG116" s="277">
        <f t="shared" si="28"/>
        <v>0</v>
      </c>
      <c r="AH116" s="277">
        <f t="shared" si="29"/>
        <v>0</v>
      </c>
      <c r="AI116" s="277">
        <f t="shared" si="30"/>
        <v>0</v>
      </c>
      <c r="AJ116" s="277">
        <f t="shared" si="31"/>
        <v>0</v>
      </c>
      <c r="AK116" s="277">
        <f t="shared" si="32"/>
        <v>0</v>
      </c>
      <c r="AL116" s="277">
        <f t="shared" si="33"/>
        <v>0</v>
      </c>
    </row>
    <row r="117" spans="1:39" x14ac:dyDescent="0.2">
      <c r="A117">
        <v>5992014</v>
      </c>
      <c r="B117" s="1" t="s">
        <v>125</v>
      </c>
      <c r="C117" s="99">
        <f>VLOOKUP(A117,IRData!$A$3:$F$146,6,FALSE)</f>
        <v>19476.229736328125</v>
      </c>
      <c r="D117" s="52">
        <f>C117*Forutsetninger!$C$23</f>
        <v>20489.551474399614</v>
      </c>
      <c r="E117" s="50">
        <f>VLOOKUP($A117,IRData!$A$2:$N$146,7,FALSE)</f>
        <v>6281</v>
      </c>
      <c r="F117" s="50">
        <f>VLOOKUP($A117,IRData!$A$2:$N$146,8,FALSE)</f>
        <v>75917</v>
      </c>
      <c r="G117" s="50">
        <f>VLOOKUP($A117,IRData!$A$2:$N$146,9,FALSE)</f>
        <v>76676.17</v>
      </c>
      <c r="H117" s="50">
        <f>VLOOKUP($A117,IRData!$A$2:$N$146,10,FALSE)</f>
        <v>4234</v>
      </c>
      <c r="I117" s="50">
        <f>VLOOKUP($A117,IRData!$A$2:$N$146,11,FALSE)</f>
        <v>0</v>
      </c>
      <c r="J117" s="52">
        <f>VLOOKUP(A117,IRData!$A$3:$AF$146,32,FALSE)</f>
        <v>1171.124413728714</v>
      </c>
      <c r="K117" s="52">
        <f>VLOOKUP(A117,IRData!$A$3:$AM$146,37,FALSE)</f>
        <v>0</v>
      </c>
      <c r="L117" s="145">
        <f>VLOOKUP($A117,IRData!$A$2:$N$146,13,FALSE)</f>
        <v>383</v>
      </c>
      <c r="M117" s="51">
        <f>L117*Forutsetninger!$C$17</f>
        <v>405.10153396639885</v>
      </c>
      <c r="N117" s="145">
        <f>VLOOKUP(A117,IRData!$A$3:$E$146,5,FALSE)*Forutsetninger!$C$23</f>
        <v>0</v>
      </c>
      <c r="O117" s="145">
        <f>VLOOKUP(A117,IRData!$A$3:$AG$146,19,FALSE)*Forutsetninger!$C$17</f>
        <v>452.43389335281228</v>
      </c>
      <c r="P117" s="52">
        <f t="shared" si="36"/>
        <v>28346.777422094725</v>
      </c>
      <c r="Q117" s="253">
        <f>ROUND(D117+E117+J117+K117+M117+G117*Forutsetninger!$B$5+N117,0)</f>
        <v>33193</v>
      </c>
      <c r="R117" s="53">
        <f>IFERROR((VLOOKUP(A117,'DEAnorm D-nett'!$A$4:$H$134,8,FALSE)+O117),0)</f>
        <v>29102.193841603399</v>
      </c>
      <c r="S117" s="26">
        <f>IFERROR((VLOOKUP(A117,'DEAnorm R-nett'!$A$4:$H$86,8,FALSE)+N117+K117),N117+K117)</f>
        <v>0</v>
      </c>
      <c r="T117" s="151">
        <f>IFERROR(VLOOKUP(A117,IRData!$A$3:$AN$146,40,FALSE),0)</f>
        <v>0</v>
      </c>
      <c r="U117" s="54">
        <f>(1-Forutsetninger!$B$3)*Q117+(R117+S117+T117)*Forutsetninger!$B$3</f>
        <v>30738.516304962039</v>
      </c>
      <c r="V117" s="47">
        <f t="shared" si="37"/>
        <v>2391.7388828673138</v>
      </c>
      <c r="W117" s="208">
        <f t="shared" si="38"/>
        <v>3.1192727582341605E-2</v>
      </c>
      <c r="X117" s="47">
        <f>(R117+S117+T117)-G117*($K$159+$K$153)/Forutsetninger!$B$3</f>
        <v>32736.361532743846</v>
      </c>
      <c r="Y117" s="278">
        <f>ROUND((1-Forutsetninger!$B$3)*Q117+Forutsetninger!$B$3*X117,0)</f>
        <v>32919</v>
      </c>
      <c r="Z117" s="47">
        <v>32923</v>
      </c>
      <c r="AA117" s="73">
        <f t="shared" si="25"/>
        <v>-4</v>
      </c>
      <c r="AB117" s="269">
        <f t="shared" si="26"/>
        <v>-1.2149561097105367E-4</v>
      </c>
      <c r="AC117" s="66">
        <f t="shared" si="27"/>
        <v>0</v>
      </c>
      <c r="AD117" s="256">
        <f>VLOOKUP(A117,IR2016prnettnivå!$B$2:$K$133,8,FALSE)</f>
        <v>1</v>
      </c>
      <c r="AE117" s="256">
        <f>VLOOKUP(A117,IR2016prnettnivå!$B$2:$K$133,9,FALSE)</f>
        <v>0</v>
      </c>
      <c r="AF117" s="256">
        <f>VLOOKUP(A117,IR2016prnettnivå!$B$2:$K$133,10,FALSE)</f>
        <v>0</v>
      </c>
      <c r="AG117" s="277">
        <f t="shared" si="28"/>
        <v>0</v>
      </c>
      <c r="AH117" s="277">
        <f t="shared" si="29"/>
        <v>0</v>
      </c>
      <c r="AI117" s="277">
        <f t="shared" si="30"/>
        <v>0</v>
      </c>
      <c r="AJ117" s="277">
        <f t="shared" si="31"/>
        <v>0</v>
      </c>
      <c r="AK117" s="277">
        <f t="shared" si="32"/>
        <v>0</v>
      </c>
      <c r="AL117" s="277">
        <f t="shared" si="33"/>
        <v>0</v>
      </c>
    </row>
    <row r="118" spans="1:39" x14ac:dyDescent="0.2">
      <c r="A118">
        <v>562014</v>
      </c>
      <c r="B118" s="1" t="s">
        <v>206</v>
      </c>
      <c r="C118" s="99">
        <f>VLOOKUP(A118,IRData!$A$3:$F$146,6,FALSE)</f>
        <v>78366.192565917969</v>
      </c>
      <c r="D118" s="52">
        <f>C118*Forutsetninger!$C$23</f>
        <v>82443.478957175757</v>
      </c>
      <c r="E118" s="50">
        <f>VLOOKUP($A118,IRData!$A$2:$N$146,7,FALSE)</f>
        <v>27458</v>
      </c>
      <c r="F118" s="50">
        <f>VLOOKUP($A118,IRData!$A$2:$N$146,8,FALSE)</f>
        <v>421996</v>
      </c>
      <c r="G118" s="50">
        <f>VLOOKUP($A118,IRData!$A$2:$N$146,9,FALSE)</f>
        <v>426215.96</v>
      </c>
      <c r="H118" s="50">
        <f>VLOOKUP($A118,IRData!$A$2:$N$146,10,FALSE)</f>
        <v>18826</v>
      </c>
      <c r="I118" s="50">
        <f>VLOOKUP($A118,IRData!$A$2:$N$146,11,FALSE)</f>
        <v>7675</v>
      </c>
      <c r="J118" s="52">
        <f>VLOOKUP(A118,IRData!$A$3:$AF$146,32,FALSE)</f>
        <v>4907.1031079292297</v>
      </c>
      <c r="K118" s="52">
        <f>VLOOKUP(A118,IRData!$A$3:$AM$146,37,FALSE)</f>
        <v>2000.5320489406586</v>
      </c>
      <c r="L118" s="145">
        <f>VLOOKUP($A118,IRData!$A$2:$N$146,13,FALSE)</f>
        <v>5585</v>
      </c>
      <c r="M118" s="51">
        <f>L118*Forutsetninger!$C$17</f>
        <v>5907.2899926953978</v>
      </c>
      <c r="N118" s="145">
        <f>VLOOKUP(A118,IRData!$A$3:$E$146,5,FALSE)*Forutsetninger!$C$23</f>
        <v>0</v>
      </c>
      <c r="O118" s="145">
        <f>VLOOKUP(A118,IRData!$A$3:$AG$146,19,FALSE)*Forutsetninger!$C$17</f>
        <v>0</v>
      </c>
      <c r="P118" s="52">
        <f t="shared" si="36"/>
        <v>122716.40410674104</v>
      </c>
      <c r="Q118" s="253">
        <f>ROUND(D118+E118+J118+K118+M118+G118*Forutsetninger!$B$5+N118,0)</f>
        <v>149653</v>
      </c>
      <c r="R118" s="53">
        <f>IFERROR((VLOOKUP(A118,'DEAnorm D-nett'!$A$4:$H$134,8,FALSE)+O118),0)</f>
        <v>116204.36416601816</v>
      </c>
      <c r="S118" s="26">
        <f>IFERROR((VLOOKUP(A118,'DEAnorm R-nett'!$A$4:$H$86,8,FALSE)+N118+K118),N118+K118)</f>
        <v>25058.639180338629</v>
      </c>
      <c r="T118" s="151">
        <f>IFERROR(VLOOKUP(A118,IRData!$A$3:$AN$146,40,FALSE),0)</f>
        <v>2006.72304884595</v>
      </c>
      <c r="U118" s="54">
        <f>(1-Forutsetninger!$B$3)*Q118+(R118+S118+T118)*Forutsetninger!$B$3</f>
        <v>145823.03583712166</v>
      </c>
      <c r="V118" s="47">
        <f t="shared" si="37"/>
        <v>23106.631730380614</v>
      </c>
      <c r="W118" s="208">
        <f t="shared" si="38"/>
        <v>5.4213436142514733E-2</v>
      </c>
      <c r="X118" s="47">
        <f>(R118+S118+T118)-G118*($K$159+$K$153)/Forutsetninger!$B$3</f>
        <v>163470.79109731826</v>
      </c>
      <c r="Y118" s="278">
        <f>ROUND((1-Forutsetninger!$B$3)*Q118+Forutsetninger!$B$3*X118,0)</f>
        <v>157944</v>
      </c>
      <c r="Z118" s="47">
        <v>159385</v>
      </c>
      <c r="AA118" s="73">
        <f t="shared" si="25"/>
        <v>-1441</v>
      </c>
      <c r="AB118" s="269">
        <f t="shared" si="26"/>
        <v>-9.0410013489349694E-3</v>
      </c>
      <c r="AC118" s="66">
        <f t="shared" si="27"/>
        <v>0</v>
      </c>
      <c r="AD118" s="256">
        <f>VLOOKUP(A118,IR2016prnettnivå!$B$2:$K$133,8,FALSE)</f>
        <v>0.79895849672177432</v>
      </c>
      <c r="AE118" s="256">
        <f>VLOOKUP(A118,IR2016prnettnivå!$B$2:$K$133,9,FALSE)</f>
        <v>0.18734510775794461</v>
      </c>
      <c r="AF118" s="256">
        <f>VLOOKUP(A118,IR2016prnettnivå!$B$2:$K$133,10,FALSE)</f>
        <v>1.369639552028108E-2</v>
      </c>
      <c r="AG118" s="277">
        <f t="shared" si="28"/>
        <v>0</v>
      </c>
      <c r="AH118" s="277">
        <f t="shared" si="29"/>
        <v>0</v>
      </c>
      <c r="AI118" s="277">
        <f t="shared" si="30"/>
        <v>0</v>
      </c>
      <c r="AJ118" s="277">
        <f t="shared" si="31"/>
        <v>0</v>
      </c>
      <c r="AK118" s="277">
        <f t="shared" si="32"/>
        <v>0</v>
      </c>
      <c r="AL118" s="277">
        <f t="shared" si="33"/>
        <v>0</v>
      </c>
    </row>
    <row r="119" spans="1:39" x14ac:dyDescent="0.2">
      <c r="A119">
        <v>2742014</v>
      </c>
      <c r="B119" s="1" t="s">
        <v>239</v>
      </c>
      <c r="C119" s="99">
        <f>VLOOKUP(A119,IRData!$A$3:$F$146,6,FALSE)</f>
        <v>26365.766899108887</v>
      </c>
      <c r="D119" s="52">
        <f>C119*Forutsetninger!$C$23</f>
        <v>27737.541883358466</v>
      </c>
      <c r="E119" s="50">
        <f>VLOOKUP($A119,IRData!$A$2:$N$146,7,FALSE)</f>
        <v>9901</v>
      </c>
      <c r="F119" s="50">
        <f>VLOOKUP($A119,IRData!$A$2:$N$146,8,FALSE)</f>
        <v>185103</v>
      </c>
      <c r="G119" s="50">
        <f>VLOOKUP($A119,IRData!$A$2:$N$146,9,FALSE)</f>
        <v>186954.03</v>
      </c>
      <c r="H119" s="50">
        <f>VLOOKUP($A119,IRData!$A$2:$N$146,10,FALSE)</f>
        <v>10002</v>
      </c>
      <c r="I119" s="50">
        <f>VLOOKUP($A119,IRData!$A$2:$N$146,11,FALSE)</f>
        <v>1517</v>
      </c>
      <c r="J119" s="52">
        <f>VLOOKUP(A119,IRData!$A$3:$AF$146,32,FALSE)</f>
        <v>2766.5532324314117</v>
      </c>
      <c r="K119" s="52">
        <f>VLOOKUP(A119,IRData!$A$3:$AM$146,37,FALSE)</f>
        <v>419.60220491886139</v>
      </c>
      <c r="L119" s="145">
        <f>VLOOKUP($A119,IRData!$A$2:$N$146,13,FALSE)</f>
        <v>1965</v>
      </c>
      <c r="M119" s="51">
        <f>L119*Forutsetninger!$C$17</f>
        <v>2078.3929875821768</v>
      </c>
      <c r="N119" s="145">
        <f>VLOOKUP(A119,IRData!$A$3:$E$146,5,FALSE)*Forutsetninger!$C$23</f>
        <v>0</v>
      </c>
      <c r="O119" s="145">
        <f>VLOOKUP(A119,IRData!$A$3:$AG$146,19,FALSE)*Forutsetninger!$C$17</f>
        <v>696.0554161768398</v>
      </c>
      <c r="P119" s="52">
        <f t="shared" si="36"/>
        <v>42903.090308290921</v>
      </c>
      <c r="Q119" s="253">
        <f>ROUND(D119+E119+J119+K119+M119+G119*Forutsetninger!$B$5+N119,0)</f>
        <v>54719</v>
      </c>
      <c r="R119" s="53">
        <f>IFERROR((VLOOKUP(A119,'DEAnorm D-nett'!$A$4:$H$134,8,FALSE)+O119),0)</f>
        <v>55110.672361652338</v>
      </c>
      <c r="S119" s="26">
        <f>IFERROR((VLOOKUP(A119,'DEAnorm R-nett'!$A$4:$H$86,8,FALSE)+N119+K119),N119+K119)</f>
        <v>3755.4507184104546</v>
      </c>
      <c r="T119" s="151">
        <f>IFERROR(VLOOKUP(A119,IRData!$A$3:$AN$146,40,FALSE),0)</f>
        <v>0</v>
      </c>
      <c r="U119" s="54">
        <f>(1-Forutsetninger!$B$3)*Q119+(R119+S119+T119)*Forutsetninger!$B$3</f>
        <v>57207.273848037672</v>
      </c>
      <c r="V119" s="47">
        <f t="shared" si="37"/>
        <v>14304.183539746751</v>
      </c>
      <c r="W119" s="208">
        <f t="shared" si="38"/>
        <v>7.6511768907825906E-2</v>
      </c>
      <c r="X119" s="47">
        <f>(R119+S119+T119)-G119*($K$159+$K$153)/Forutsetninger!$B$3</f>
        <v>67727.054651821018</v>
      </c>
      <c r="Y119" s="278">
        <f>ROUND((1-Forutsetninger!$B$3)*Q119+Forutsetninger!$B$3*X119,0)</f>
        <v>62524</v>
      </c>
      <c r="Z119" s="47">
        <v>65316</v>
      </c>
      <c r="AA119" s="73">
        <f t="shared" si="25"/>
        <v>-2792</v>
      </c>
      <c r="AB119" s="269">
        <f t="shared" si="26"/>
        <v>-4.2746034662257335E-2</v>
      </c>
      <c r="AC119" s="66">
        <f t="shared" si="27"/>
        <v>0</v>
      </c>
      <c r="AD119" s="256">
        <f>VLOOKUP(A119,IR2016prnettnivå!$B$2:$K$133,8,FALSE)</f>
        <v>0.94235715598015801</v>
      </c>
      <c r="AE119" s="256">
        <f>VLOOKUP(A119,IR2016prnettnivå!$B$2:$K$133,9,FALSE)</f>
        <v>5.7642844019842002E-2</v>
      </c>
      <c r="AF119" s="256">
        <f>VLOOKUP(A119,IR2016prnettnivå!$B$2:$K$133,10,FALSE)</f>
        <v>0</v>
      </c>
      <c r="AG119" s="277">
        <f t="shared" si="28"/>
        <v>0</v>
      </c>
      <c r="AH119" s="277">
        <f t="shared" si="29"/>
        <v>0</v>
      </c>
      <c r="AI119" s="277">
        <f t="shared" si="30"/>
        <v>0</v>
      </c>
      <c r="AJ119" s="277">
        <f t="shared" si="31"/>
        <v>0</v>
      </c>
      <c r="AK119" s="277">
        <f t="shared" si="32"/>
        <v>0</v>
      </c>
      <c r="AL119" s="277">
        <f t="shared" si="33"/>
        <v>0</v>
      </c>
      <c r="AM119" s="121"/>
    </row>
    <row r="120" spans="1:39" x14ac:dyDescent="0.2">
      <c r="A120">
        <v>6522014</v>
      </c>
      <c r="B120" s="1" t="s">
        <v>131</v>
      </c>
      <c r="C120" s="99">
        <f>VLOOKUP(A120,IRData!$A$3:$F$146,6,FALSE)</f>
        <v>452.24118423461914</v>
      </c>
      <c r="D120" s="52">
        <f>C120*Forutsetninger!$C$23</f>
        <v>475.7706778296423</v>
      </c>
      <c r="E120" s="50">
        <f>VLOOKUP($A120,IRData!$A$2:$N$146,7,FALSE)</f>
        <v>133</v>
      </c>
      <c r="F120" s="50">
        <f>VLOOKUP($A120,IRData!$A$2:$N$146,8,FALSE)</f>
        <v>2558</v>
      </c>
      <c r="G120" s="50">
        <f>VLOOKUP($A120,IRData!$A$2:$N$146,9,FALSE)</f>
        <v>2583.58</v>
      </c>
      <c r="H120" s="50">
        <f>VLOOKUP($A120,IRData!$A$2:$N$146,10,FALSE)</f>
        <v>0</v>
      </c>
      <c r="I120" s="50">
        <f>VLOOKUP($A120,IRData!$A$2:$N$146,11,FALSE)</f>
        <v>0</v>
      </c>
      <c r="J120" s="52">
        <f>VLOOKUP(A120,IRData!$A$3:$AF$146,32,FALSE)</f>
        <v>0</v>
      </c>
      <c r="K120" s="52">
        <f>VLOOKUP(A120,IRData!$A$3:$AM$146,37,FALSE)</f>
        <v>0</v>
      </c>
      <c r="L120" s="145">
        <f>VLOOKUP($A120,IRData!$A$2:$N$146,13,FALSE)</f>
        <v>0</v>
      </c>
      <c r="M120" s="51">
        <f>L120*Forutsetninger!$C$17</f>
        <v>0</v>
      </c>
      <c r="N120" s="145">
        <f>VLOOKUP(A120,IRData!$A$3:$E$146,5,FALSE)*Forutsetninger!$C$23</f>
        <v>0</v>
      </c>
      <c r="O120" s="145">
        <f>VLOOKUP(A120,IRData!$A$3:$AG$146,19,FALSE)*Forutsetninger!$C$17</f>
        <v>0</v>
      </c>
      <c r="P120" s="52">
        <f t="shared" si="36"/>
        <v>608.7706778296423</v>
      </c>
      <c r="Q120" s="253">
        <f>ROUND(D120+E120+J120+K120+M120+G120*Forutsetninger!$B$5+N120,0)</f>
        <v>772</v>
      </c>
      <c r="R120" s="53">
        <f>IFERROR((VLOOKUP(A120,'DEAnorm D-nett'!$A$4:$H$134,8,FALSE)+O120),0)</f>
        <v>772.05293382964237</v>
      </c>
      <c r="S120" s="26">
        <f>IFERROR((VLOOKUP(A120,'DEAnorm R-nett'!$A$4:$H$86,8,FALSE)+N120+K120),N120+K120)</f>
        <v>0</v>
      </c>
      <c r="T120" s="151">
        <f>IFERROR(VLOOKUP(A120,IRData!$A$3:$AN$146,40,FALSE),0)</f>
        <v>0</v>
      </c>
      <c r="U120" s="54">
        <f>(1-Forutsetninger!$B$3)*Q120+(R120+S120+T120)*Forutsetninger!$B$3</f>
        <v>772.03176029778547</v>
      </c>
      <c r="V120" s="47">
        <f t="shared" si="37"/>
        <v>163.26108246814317</v>
      </c>
      <c r="W120" s="208">
        <f t="shared" si="38"/>
        <v>6.319180457665069E-2</v>
      </c>
      <c r="X120" s="47">
        <f>(R120+S120+T120)-G120*($K$159+$K$153)/Forutsetninger!$B$3</f>
        <v>894.50509808715071</v>
      </c>
      <c r="Y120" s="278">
        <f>ROUND((1-Forutsetninger!$B$3)*Q120+Forutsetninger!$B$3*X120,0)</f>
        <v>846</v>
      </c>
      <c r="Z120" s="47">
        <v>846</v>
      </c>
      <c r="AA120" s="73">
        <f t="shared" si="25"/>
        <v>0</v>
      </c>
      <c r="AB120" s="269">
        <f t="shared" si="26"/>
        <v>0</v>
      </c>
      <c r="AC120" s="66">
        <f t="shared" si="27"/>
        <v>0</v>
      </c>
      <c r="AD120" s="256">
        <f>VLOOKUP(A120,IR2016prnettnivå!$B$2:$K$133,8,FALSE)</f>
        <v>1</v>
      </c>
      <c r="AE120" s="256">
        <f>VLOOKUP(A120,IR2016prnettnivå!$B$2:$K$133,9,FALSE)</f>
        <v>0</v>
      </c>
      <c r="AF120" s="256">
        <f>VLOOKUP(A120,IR2016prnettnivå!$B$2:$K$133,10,FALSE)</f>
        <v>0</v>
      </c>
      <c r="AG120" s="277">
        <f t="shared" si="28"/>
        <v>0</v>
      </c>
      <c r="AH120" s="277">
        <f t="shared" si="29"/>
        <v>0</v>
      </c>
      <c r="AI120" s="277">
        <f t="shared" si="30"/>
        <v>0</v>
      </c>
      <c r="AJ120" s="277">
        <f t="shared" si="31"/>
        <v>0</v>
      </c>
      <c r="AK120" s="277">
        <f t="shared" si="32"/>
        <v>0</v>
      </c>
      <c r="AL120" s="277">
        <f t="shared" si="33"/>
        <v>0</v>
      </c>
    </row>
    <row r="121" spans="1:39" x14ac:dyDescent="0.2">
      <c r="A121">
        <v>2132014</v>
      </c>
      <c r="B121" s="1" t="s">
        <v>274</v>
      </c>
      <c r="C121" s="99">
        <f>VLOOKUP(A121,IRData!$A$3:$F$146,6,FALSE)</f>
        <v>9167.9114379882812</v>
      </c>
      <c r="D121" s="52">
        <f>C121*Forutsetninger!$C$23</f>
        <v>9644.9053982463829</v>
      </c>
      <c r="E121" s="50">
        <f>VLOOKUP($A121,IRData!$A$2:$N$146,7,FALSE)</f>
        <v>5757</v>
      </c>
      <c r="F121" s="50">
        <f>VLOOKUP($A121,IRData!$A$2:$N$146,8,FALSE)</f>
        <v>59279</v>
      </c>
      <c r="G121" s="50">
        <f>VLOOKUP($A121,IRData!$A$2:$N$146,9,FALSE)</f>
        <v>59871.79</v>
      </c>
      <c r="H121" s="50">
        <f>VLOOKUP($A121,IRData!$A$2:$N$146,10,FALSE)</f>
        <v>5738</v>
      </c>
      <c r="I121" s="50">
        <f>VLOOKUP($A121,IRData!$A$2:$N$146,11,FALSE)</f>
        <v>0</v>
      </c>
      <c r="J121" s="52">
        <f>VLOOKUP(A121,IRData!$A$3:$AF$146,32,FALSE)</f>
        <v>1587.130818605423</v>
      </c>
      <c r="K121" s="52">
        <f>VLOOKUP(A121,IRData!$A$3:$AM$146,37,FALSE)</f>
        <v>0</v>
      </c>
      <c r="L121" s="145">
        <f>VLOOKUP($A121,IRData!$A$2:$N$146,13,FALSE)</f>
        <v>897</v>
      </c>
      <c r="M121" s="51">
        <f>L121*Forutsetninger!$C$17</f>
        <v>948.76260043827608</v>
      </c>
      <c r="N121" s="145">
        <f>VLOOKUP(A121,IRData!$A$3:$E$146,5,FALSE)*Forutsetninger!$C$23</f>
        <v>0</v>
      </c>
      <c r="O121" s="145">
        <f>VLOOKUP(A121,IRData!$A$3:$AG$146,19,FALSE)*Forutsetninger!$C$17</f>
        <v>348.0277080884199</v>
      </c>
      <c r="P121" s="52">
        <f t="shared" si="36"/>
        <v>17937.79881729008</v>
      </c>
      <c r="Q121" s="253">
        <f>ROUND(D121+E121+J121+K121+M121+G121*Forutsetninger!$B$5+N121,0)</f>
        <v>21722</v>
      </c>
      <c r="R121" s="53">
        <f>IFERROR((VLOOKUP(A121,'DEAnorm D-nett'!$A$4:$H$134,8,FALSE)+O121),0)</f>
        <v>23258.118625984975</v>
      </c>
      <c r="S121" s="26">
        <f>IFERROR((VLOOKUP(A121,'DEAnorm R-nett'!$A$4:$H$86,8,FALSE)+N121+K121),N121+K121)</f>
        <v>0</v>
      </c>
      <c r="T121" s="151">
        <f>IFERROR(VLOOKUP(A121,IRData!$A$3:$AN$146,40,FALSE),0)</f>
        <v>0</v>
      </c>
      <c r="U121" s="54">
        <f>(1-Forutsetninger!$B$3)*Q121+(R121+S121+T121)*Forutsetninger!$B$3</f>
        <v>22643.671175590986</v>
      </c>
      <c r="V121" s="47">
        <f t="shared" si="37"/>
        <v>4705.872358300905</v>
      </c>
      <c r="W121" s="208">
        <f t="shared" si="38"/>
        <v>7.8599159275192954E-2</v>
      </c>
      <c r="X121" s="47">
        <f>(R121+S121+T121)-G121*($K$159+$K$153)/Forutsetninger!$B$3</f>
        <v>26095.820676423144</v>
      </c>
      <c r="Y121" s="278">
        <f>ROUND((1-Forutsetninger!$B$3)*Q121+Forutsetninger!$B$3*X121,0)</f>
        <v>24346</v>
      </c>
      <c r="Z121" s="47">
        <v>24917</v>
      </c>
      <c r="AA121" s="73">
        <f t="shared" si="25"/>
        <v>-571</v>
      </c>
      <c r="AB121" s="269">
        <f t="shared" si="26"/>
        <v>-2.2916081390215514E-2</v>
      </c>
      <c r="AC121" s="66">
        <f t="shared" si="27"/>
        <v>0</v>
      </c>
      <c r="AD121" s="256">
        <f>VLOOKUP(A121,IR2016prnettnivå!$B$2:$K$133,8,FALSE)</f>
        <v>1</v>
      </c>
      <c r="AE121" s="256">
        <f>VLOOKUP(A121,IR2016prnettnivå!$B$2:$K$133,9,FALSE)</f>
        <v>0</v>
      </c>
      <c r="AF121" s="256">
        <f>VLOOKUP(A121,IR2016prnettnivå!$B$2:$K$133,10,FALSE)</f>
        <v>0</v>
      </c>
      <c r="AG121" s="277">
        <f t="shared" si="28"/>
        <v>0</v>
      </c>
      <c r="AH121" s="277">
        <f t="shared" si="29"/>
        <v>0</v>
      </c>
      <c r="AI121" s="277">
        <f t="shared" si="30"/>
        <v>0</v>
      </c>
      <c r="AJ121" s="277">
        <f t="shared" si="31"/>
        <v>0</v>
      </c>
      <c r="AK121" s="277">
        <f t="shared" si="32"/>
        <v>0</v>
      </c>
      <c r="AL121" s="277">
        <f t="shared" si="33"/>
        <v>0</v>
      </c>
    </row>
    <row r="122" spans="1:39" x14ac:dyDescent="0.2">
      <c r="A122">
        <v>2142014</v>
      </c>
      <c r="B122" s="1" t="s">
        <v>41</v>
      </c>
      <c r="C122" s="99">
        <f>VLOOKUP(A122,IRData!$A$3:$F$146,6,FALSE)</f>
        <v>11578.404663085938</v>
      </c>
      <c r="D122" s="52">
        <f>C122*Forutsetninger!$C$23</f>
        <v>12180.813306654609</v>
      </c>
      <c r="E122" s="50">
        <f>VLOOKUP($A122,IRData!$A$2:$N$146,7,FALSE)</f>
        <v>4730</v>
      </c>
      <c r="F122" s="50">
        <f>VLOOKUP($A122,IRData!$A$2:$N$146,8,FALSE)</f>
        <v>78983</v>
      </c>
      <c r="G122" s="50">
        <f>VLOOKUP($A122,IRData!$A$2:$N$146,9,FALSE)</f>
        <v>79772.83</v>
      </c>
      <c r="H122" s="50">
        <f>VLOOKUP($A122,IRData!$A$2:$N$146,10,FALSE)</f>
        <v>5602</v>
      </c>
      <c r="I122" s="50">
        <f>VLOOKUP($A122,IRData!$A$2:$N$146,11,FALSE)</f>
        <v>0</v>
      </c>
      <c r="J122" s="52">
        <f>VLOOKUP(A122,IRData!$A$3:$AF$146,32,FALSE)</f>
        <v>1454.8394016027451</v>
      </c>
      <c r="K122" s="52">
        <f>VLOOKUP(A122,IRData!$A$3:$AM$146,37,FALSE)</f>
        <v>0</v>
      </c>
      <c r="L122" s="145">
        <f>VLOOKUP($A122,IRData!$A$2:$N$146,13,FALSE)</f>
        <v>553</v>
      </c>
      <c r="M122" s="51">
        <f>L122*Forutsetninger!$C$17</f>
        <v>584.91161431701971</v>
      </c>
      <c r="N122" s="145">
        <f>VLOOKUP(A122,IRData!$A$3:$E$146,5,FALSE)*Forutsetninger!$C$23</f>
        <v>0</v>
      </c>
      <c r="O122" s="145">
        <f>VLOOKUP(A122,IRData!$A$3:$AG$146,19,FALSE)*Forutsetninger!$C$17</f>
        <v>62.637371634461743</v>
      </c>
      <c r="P122" s="52">
        <f t="shared" si="36"/>
        <v>18950.564322574373</v>
      </c>
      <c r="Q122" s="253">
        <f>ROUND(D122+E122+J122+K122+M122+G122*Forutsetninger!$B$5+N122,0)</f>
        <v>23992</v>
      </c>
      <c r="R122" s="53">
        <f>IFERROR((VLOOKUP(A122,'DEAnorm D-nett'!$A$4:$H$134,8,FALSE)+O122),0)</f>
        <v>24220.749984839054</v>
      </c>
      <c r="S122" s="26">
        <f>IFERROR((VLOOKUP(A122,'DEAnorm R-nett'!$A$4:$H$86,8,FALSE)+N122+K122),N122+K122)</f>
        <v>0</v>
      </c>
      <c r="T122" s="151">
        <f>IFERROR(VLOOKUP(A122,IRData!$A$3:$AN$146,40,FALSE),0)</f>
        <v>0</v>
      </c>
      <c r="U122" s="54">
        <f>(1-Forutsetninger!$B$3)*Q122+(R122+S122+T122)*Forutsetninger!$B$3</f>
        <v>24129.249990903434</v>
      </c>
      <c r="V122" s="47">
        <f t="shared" si="37"/>
        <v>5178.6856683290607</v>
      </c>
      <c r="W122" s="208">
        <f t="shared" si="38"/>
        <v>6.4917913383906026E-2</v>
      </c>
      <c r="X122" s="47">
        <f>(R122+S122+T122)-G122*($K$159+$K$153)/Forutsetninger!$B$3</f>
        <v>28001.687940097374</v>
      </c>
      <c r="Y122" s="278">
        <f>ROUND((1-Forutsetninger!$B$3)*Q122+Forutsetninger!$B$3*X122,0)</f>
        <v>26398</v>
      </c>
      <c r="Z122" s="47">
        <v>26375</v>
      </c>
      <c r="AA122" s="73">
        <f t="shared" si="25"/>
        <v>23</v>
      </c>
      <c r="AB122" s="269">
        <f t="shared" si="26"/>
        <v>8.7203791469194316E-4</v>
      </c>
      <c r="AC122" s="66">
        <f t="shared" si="27"/>
        <v>23</v>
      </c>
      <c r="AD122" s="256">
        <f>VLOOKUP(A122,IR2016prnettnivå!$B$2:$K$133,8,FALSE)</f>
        <v>1</v>
      </c>
      <c r="AE122" s="256">
        <f>VLOOKUP(A122,IR2016prnettnivå!$B$2:$K$133,9,FALSE)</f>
        <v>0</v>
      </c>
      <c r="AF122" s="256">
        <f>VLOOKUP(A122,IR2016prnettnivå!$B$2:$K$133,10,FALSE)</f>
        <v>0</v>
      </c>
      <c r="AG122" s="277">
        <f t="shared" si="28"/>
        <v>23</v>
      </c>
      <c r="AH122" s="277">
        <f t="shared" si="29"/>
        <v>0</v>
      </c>
      <c r="AI122" s="277">
        <f t="shared" si="30"/>
        <v>0</v>
      </c>
      <c r="AJ122" s="277">
        <f t="shared" si="31"/>
        <v>0.29440000000000005</v>
      </c>
      <c r="AK122" s="277">
        <f t="shared" si="32"/>
        <v>0</v>
      </c>
      <c r="AL122" s="277">
        <f t="shared" si="33"/>
        <v>0</v>
      </c>
    </row>
    <row r="123" spans="1:39" x14ac:dyDescent="0.2">
      <c r="A123">
        <v>2182014</v>
      </c>
      <c r="B123" s="1" t="s">
        <v>111</v>
      </c>
      <c r="C123" s="99">
        <f>VLOOKUP(A123,IRData!$A$3:$F$146,6,FALSE)</f>
        <v>14492.743896484375</v>
      </c>
      <c r="D123" s="52">
        <f>C123*Forutsetninger!$C$23</f>
        <v>15246.781645752535</v>
      </c>
      <c r="E123" s="50">
        <f>VLOOKUP($A123,IRData!$A$2:$N$146,7,FALSE)</f>
        <v>1938</v>
      </c>
      <c r="F123" s="50">
        <f>VLOOKUP($A123,IRData!$A$2:$N$146,8,FALSE)</f>
        <v>20962</v>
      </c>
      <c r="G123" s="50">
        <f>VLOOKUP($A123,IRData!$A$2:$N$146,9,FALSE)</f>
        <v>21171.62</v>
      </c>
      <c r="H123" s="50">
        <f>VLOOKUP($A123,IRData!$A$2:$N$146,10,FALSE)</f>
        <v>2621</v>
      </c>
      <c r="I123" s="50">
        <f>VLOOKUP($A123,IRData!$A$2:$N$146,11,FALSE)</f>
        <v>0</v>
      </c>
      <c r="J123" s="52">
        <f>VLOOKUP(A123,IRData!$A$3:$AF$146,32,FALSE)</f>
        <v>640.70345762372017</v>
      </c>
      <c r="K123" s="52">
        <f>VLOOKUP(A123,IRData!$A$3:$AM$146,37,FALSE)</f>
        <v>0</v>
      </c>
      <c r="L123" s="145">
        <f>VLOOKUP($A123,IRData!$A$2:$N$146,13,FALSE)</f>
        <v>600</v>
      </c>
      <c r="M123" s="51">
        <f>L123*Forutsetninger!$C$17</f>
        <v>634.62381300219135</v>
      </c>
      <c r="N123" s="145">
        <f>VLOOKUP(A123,IRData!$A$3:$E$146,5,FALSE)*Forutsetninger!$C$23</f>
        <v>0</v>
      </c>
      <c r="O123" s="145">
        <f>VLOOKUP(A123,IRData!$A$3:$AG$146,19,FALSE)*Forutsetninger!$C$17</f>
        <v>0</v>
      </c>
      <c r="P123" s="52">
        <f t="shared" si="36"/>
        <v>18460.108916378445</v>
      </c>
      <c r="Q123" s="253">
        <f>ROUND(D123+E123+J123+K123+M123+G123*Forutsetninger!$B$5+N123,0)</f>
        <v>19798</v>
      </c>
      <c r="R123" s="53">
        <f>IFERROR((VLOOKUP(A123,'DEAnorm D-nett'!$A$4:$H$134,8,FALSE)+O123),0)</f>
        <v>10355.370143203392</v>
      </c>
      <c r="S123" s="26">
        <f>IFERROR((VLOOKUP(A123,'DEAnorm R-nett'!$A$4:$H$86,8,FALSE)+N123+K123),N123+K123)</f>
        <v>0</v>
      </c>
      <c r="T123" s="151">
        <f>IFERROR(VLOOKUP(A123,IRData!$A$3:$AN$146,40,FALSE),0)</f>
        <v>0</v>
      </c>
      <c r="U123" s="54">
        <f>(1-Forutsetninger!$B$3)*Q123+(R123+S123+T123)*Forutsetninger!$B$3</f>
        <v>14132.422085922037</v>
      </c>
      <c r="V123" s="47">
        <f t="shared" si="37"/>
        <v>-4327.6868304564086</v>
      </c>
      <c r="W123" s="208">
        <f t="shared" si="38"/>
        <v>-0.20440981041868353</v>
      </c>
      <c r="X123" s="47">
        <f>(R123+S123+T123)-G123*($K$159+$K$153)/Forutsetninger!$B$3</f>
        <v>11358.826854370667</v>
      </c>
      <c r="Y123" s="278">
        <f>ROUND((1-Forutsetninger!$B$3)*Q123+Forutsetninger!$B$3*X123,0)</f>
        <v>14734</v>
      </c>
      <c r="Z123" s="47">
        <v>14809</v>
      </c>
      <c r="AA123" s="73">
        <f t="shared" si="25"/>
        <v>-75</v>
      </c>
      <c r="AB123" s="269">
        <f t="shared" si="26"/>
        <v>-5.0644878114660006E-3</v>
      </c>
      <c r="AC123" s="66">
        <f t="shared" si="27"/>
        <v>0</v>
      </c>
      <c r="AD123" s="268">
        <f>AD25</f>
        <v>1</v>
      </c>
      <c r="AE123" s="268">
        <f t="shared" ref="AE123:AF123" si="42">AE25</f>
        <v>0</v>
      </c>
      <c r="AF123" s="268">
        <f t="shared" si="42"/>
        <v>0</v>
      </c>
      <c r="AG123" s="277">
        <f t="shared" si="28"/>
        <v>0</v>
      </c>
      <c r="AH123" s="277">
        <f t="shared" si="29"/>
        <v>0</v>
      </c>
      <c r="AI123" s="277">
        <f t="shared" si="30"/>
        <v>0</v>
      </c>
      <c r="AJ123" s="277">
        <f t="shared" si="31"/>
        <v>0</v>
      </c>
      <c r="AK123" s="277">
        <f t="shared" si="32"/>
        <v>0</v>
      </c>
      <c r="AL123" s="277">
        <f t="shared" si="33"/>
        <v>0</v>
      </c>
    </row>
    <row r="124" spans="1:39" x14ac:dyDescent="0.2">
      <c r="A124">
        <v>2222014</v>
      </c>
      <c r="B124" s="1" t="s">
        <v>87</v>
      </c>
      <c r="C124" s="99">
        <f>VLOOKUP(A124,IRData!$A$3:$F$146,6,FALSE)</f>
        <v>512</v>
      </c>
      <c r="D124" s="52">
        <f>C124*Forutsetninger!$C$23</f>
        <v>538.63866348448687</v>
      </c>
      <c r="E124" s="50">
        <f>VLOOKUP($A124,IRData!$A$2:$N$146,7,FALSE)</f>
        <v>445</v>
      </c>
      <c r="F124" s="50">
        <f>VLOOKUP($A124,IRData!$A$2:$N$146,8,FALSE)</f>
        <v>4407</v>
      </c>
      <c r="G124" s="50">
        <f>VLOOKUP($A124,IRData!$A$2:$N$146,9,FALSE)</f>
        <v>4451.07</v>
      </c>
      <c r="H124" s="50">
        <f>VLOOKUP($A124,IRData!$A$2:$N$146,10,FALSE)</f>
        <v>186</v>
      </c>
      <c r="I124" s="50">
        <f>VLOOKUP($A124,IRData!$A$2:$N$146,11,FALSE)</f>
        <v>985</v>
      </c>
      <c r="J124" s="52">
        <f>VLOOKUP(A124,IRData!$A$3:$AF$146,32,FALSE)</f>
        <v>46.100100159645081</v>
      </c>
      <c r="K124" s="52">
        <f>VLOOKUP(A124,IRData!$A$3:$AM$146,37,FALSE)</f>
        <v>244.13225084543228</v>
      </c>
      <c r="L124" s="145">
        <f>VLOOKUP($A124,IRData!$A$2:$N$146,13,FALSE)</f>
        <v>0</v>
      </c>
      <c r="M124" s="51">
        <f>L124*Forutsetninger!$C$17</f>
        <v>0</v>
      </c>
      <c r="N124" s="145">
        <f>VLOOKUP(A124,IRData!$A$3:$E$146,5,FALSE)*Forutsetninger!$C$23</f>
        <v>0</v>
      </c>
      <c r="O124" s="145">
        <f>VLOOKUP(A124,IRData!$A$3:$AG$146,19,FALSE)*Forutsetninger!$C$17</f>
        <v>0</v>
      </c>
      <c r="P124" s="52">
        <f t="shared" si="36"/>
        <v>1273.8710144895642</v>
      </c>
      <c r="Q124" s="253">
        <f>ROUND(D124+E124+J124+K124+M124+G124*Forutsetninger!$B$5+N124,0)</f>
        <v>1555</v>
      </c>
      <c r="R124" s="53">
        <f>IFERROR((VLOOKUP(A124,'DEAnorm D-nett'!$A$4:$H$134,8,FALSE)+O124),0)</f>
        <v>973.44558970919547</v>
      </c>
      <c r="S124" s="26">
        <f>IFERROR((VLOOKUP(A124,'DEAnorm R-nett'!$A$4:$H$86,8,FALSE)+N124+K124),N124+K124)</f>
        <v>664.398741705985</v>
      </c>
      <c r="T124" s="151">
        <f>IFERROR(VLOOKUP(A124,IRData!$A$3:$AN$146,40,FALSE),0)</f>
        <v>0</v>
      </c>
      <c r="U124" s="54">
        <f>(1-Forutsetninger!$B$3)*Q124+(R124+S124+T124)*Forutsetninger!$B$3</f>
        <v>1604.7065988491081</v>
      </c>
      <c r="V124" s="47">
        <f t="shared" si="37"/>
        <v>330.83558435954387</v>
      </c>
      <c r="W124" s="208">
        <f t="shared" si="38"/>
        <v>7.4327203202722916E-2</v>
      </c>
      <c r="X124" s="47">
        <f>(R124+S124+T124)-G124*($K$159+$K$153)/Forutsetninger!$B$3</f>
        <v>1848.8086347313804</v>
      </c>
      <c r="Y124" s="278">
        <f>ROUND((1-Forutsetninger!$B$3)*Q124+Forutsetninger!$B$3*X124,0)</f>
        <v>1731</v>
      </c>
      <c r="Z124" s="47">
        <v>1731</v>
      </c>
      <c r="AA124" s="73">
        <f t="shared" si="25"/>
        <v>0</v>
      </c>
      <c r="AB124" s="269">
        <f t="shared" si="26"/>
        <v>0</v>
      </c>
      <c r="AC124" s="66">
        <f t="shared" si="27"/>
        <v>0</v>
      </c>
      <c r="AD124" s="256">
        <f>VLOOKUP(A124,IR2016prnettnivå!$B$2:$K$133,8,FALSE)</f>
        <v>0.57481224725592139</v>
      </c>
      <c r="AE124" s="256">
        <f>VLOOKUP(A124,IR2016prnettnivå!$B$2:$K$133,9,FALSE)</f>
        <v>0.42518775274407855</v>
      </c>
      <c r="AF124" s="256">
        <f>VLOOKUP(A124,IR2016prnettnivå!$B$2:$K$133,10,FALSE)</f>
        <v>0</v>
      </c>
      <c r="AG124" s="277">
        <f t="shared" si="28"/>
        <v>0</v>
      </c>
      <c r="AH124" s="277">
        <f t="shared" si="29"/>
        <v>0</v>
      </c>
      <c r="AI124" s="277">
        <f t="shared" si="30"/>
        <v>0</v>
      </c>
      <c r="AJ124" s="277">
        <f t="shared" si="31"/>
        <v>0</v>
      </c>
      <c r="AK124" s="277">
        <f t="shared" si="32"/>
        <v>0</v>
      </c>
      <c r="AL124" s="277">
        <f t="shared" si="33"/>
        <v>0</v>
      </c>
    </row>
    <row r="125" spans="1:39" x14ac:dyDescent="0.2">
      <c r="A125">
        <v>2232014</v>
      </c>
      <c r="B125" s="1" t="s">
        <v>230</v>
      </c>
      <c r="C125" s="99">
        <f>VLOOKUP(A125,IRData!$A$3:$F$146,6,FALSE)</f>
        <v>26204.679321289063</v>
      </c>
      <c r="D125" s="52">
        <f>C125*Forutsetninger!$C$23</f>
        <v>27568.073138005297</v>
      </c>
      <c r="E125" s="50">
        <f>VLOOKUP($A125,IRData!$A$2:$N$146,7,FALSE)</f>
        <v>9888</v>
      </c>
      <c r="F125" s="50">
        <f>VLOOKUP($A125,IRData!$A$2:$N$146,8,FALSE)</f>
        <v>152085</v>
      </c>
      <c r="G125" s="50">
        <f>VLOOKUP($A125,IRData!$A$2:$N$146,9,FALSE)</f>
        <v>153605.85</v>
      </c>
      <c r="H125" s="50">
        <f>VLOOKUP($A125,IRData!$A$2:$N$146,10,FALSE)</f>
        <v>12804</v>
      </c>
      <c r="I125" s="50">
        <f>VLOOKUP($A125,IRData!$A$2:$N$146,11,FALSE)</f>
        <v>0</v>
      </c>
      <c r="J125" s="52">
        <f>VLOOKUP(A125,IRData!$A$3:$AF$146,32,FALSE)</f>
        <v>3173.4714109897614</v>
      </c>
      <c r="K125" s="52">
        <f>VLOOKUP(A125,IRData!$A$3:$AM$146,37,FALSE)</f>
        <v>0</v>
      </c>
      <c r="L125" s="145">
        <f>VLOOKUP($A125,IRData!$A$2:$N$146,13,FALSE)</f>
        <v>2798</v>
      </c>
      <c r="M125" s="51">
        <f>L125*Forutsetninger!$C$17</f>
        <v>2959.462381300219</v>
      </c>
      <c r="N125" s="145">
        <f>VLOOKUP(A125,IRData!$A$3:$E$146,5,FALSE)*Forutsetninger!$C$23</f>
        <v>0</v>
      </c>
      <c r="O125" s="145">
        <f>VLOOKUP(A125,IRData!$A$3:$AG$146,19,FALSE)*Forutsetninger!$C$17</f>
        <v>561.26131571288352</v>
      </c>
      <c r="P125" s="52">
        <f t="shared" si="36"/>
        <v>43589.006930295276</v>
      </c>
      <c r="Q125" s="253">
        <f>ROUND(D125+E125+J125+K125+M125+G125*Forutsetninger!$B$5+N125,0)</f>
        <v>53297</v>
      </c>
      <c r="R125" s="53">
        <f>IFERROR((VLOOKUP(A125,'DEAnorm D-nett'!$A$4:$H$134,8,FALSE)+O125),0)</f>
        <v>44642.285532042719</v>
      </c>
      <c r="S125" s="26">
        <f>IFERROR((VLOOKUP(A125,'DEAnorm R-nett'!$A$4:$H$86,8,FALSE)+N125+K125),N125+K125)</f>
        <v>0</v>
      </c>
      <c r="T125" s="151">
        <f>IFERROR(VLOOKUP(A125,IRData!$A$3:$AN$146,40,FALSE),0)</f>
        <v>0</v>
      </c>
      <c r="U125" s="54">
        <f>(1-Forutsetninger!$B$3)*Q125+(R125+S125+T125)*Forutsetninger!$B$3</f>
        <v>48104.171319225628</v>
      </c>
      <c r="V125" s="47">
        <f t="shared" si="37"/>
        <v>4515.1643889303523</v>
      </c>
      <c r="W125" s="208">
        <f t="shared" si="38"/>
        <v>2.9394481974028674E-2</v>
      </c>
      <c r="X125" s="47">
        <f>(R125+S125+T125)-G125*($K$159+$K$153)/Forutsetninger!$B$3</f>
        <v>51922.636353427843</v>
      </c>
      <c r="Y125" s="278">
        <f>ROUND((1-Forutsetninger!$B$3)*Q125+Forutsetninger!$B$3*X125,0)</f>
        <v>52472</v>
      </c>
      <c r="Z125" s="47">
        <v>52633</v>
      </c>
      <c r="AA125" s="73">
        <f t="shared" si="25"/>
        <v>-161</v>
      </c>
      <c r="AB125" s="269">
        <f t="shared" si="26"/>
        <v>-3.0589174092299507E-3</v>
      </c>
      <c r="AC125" s="66">
        <f t="shared" si="27"/>
        <v>0</v>
      </c>
      <c r="AD125" s="256">
        <f>VLOOKUP(A125,IR2016prnettnivå!$B$2:$K$133,8,FALSE)</f>
        <v>1</v>
      </c>
      <c r="AE125" s="256">
        <f>VLOOKUP(A125,IR2016prnettnivå!$B$2:$K$133,9,FALSE)</f>
        <v>0</v>
      </c>
      <c r="AF125" s="256">
        <f>VLOOKUP(A125,IR2016prnettnivå!$B$2:$K$133,10,FALSE)</f>
        <v>0</v>
      </c>
      <c r="AG125" s="277">
        <f t="shared" si="28"/>
        <v>0</v>
      </c>
      <c r="AH125" s="277">
        <f t="shared" si="29"/>
        <v>0</v>
      </c>
      <c r="AI125" s="277">
        <f t="shared" si="30"/>
        <v>0</v>
      </c>
      <c r="AJ125" s="277">
        <f t="shared" si="31"/>
        <v>0</v>
      </c>
      <c r="AK125" s="277">
        <f t="shared" si="32"/>
        <v>0</v>
      </c>
      <c r="AL125" s="277">
        <f t="shared" si="33"/>
        <v>0</v>
      </c>
    </row>
    <row r="126" spans="1:39" x14ac:dyDescent="0.2">
      <c r="A126">
        <v>632014</v>
      </c>
      <c r="B126" s="1" t="s">
        <v>208</v>
      </c>
      <c r="C126" s="99">
        <f>VLOOKUP(A126,IRData!$A$3:$F$146,6,FALSE)</f>
        <v>26580.018630981445</v>
      </c>
      <c r="D126" s="52">
        <f>C126*Forutsetninger!$C$23</f>
        <v>27962.940841376185</v>
      </c>
      <c r="E126" s="50">
        <f>VLOOKUP($A126,IRData!$A$2:$N$146,7,FALSE)</f>
        <v>10686</v>
      </c>
      <c r="F126" s="50">
        <f>VLOOKUP($A126,IRData!$A$2:$N$146,8,FALSE)</f>
        <v>173666</v>
      </c>
      <c r="G126" s="50">
        <f>VLOOKUP($A126,IRData!$A$2:$N$146,9,FALSE)</f>
        <v>175402.66</v>
      </c>
      <c r="H126" s="50">
        <f>VLOOKUP($A126,IRData!$A$2:$N$146,10,FALSE)</f>
        <v>7855</v>
      </c>
      <c r="I126" s="50">
        <f>VLOOKUP($A126,IRData!$A$2:$N$146,11,FALSE)</f>
        <v>4563</v>
      </c>
      <c r="J126" s="52">
        <f>VLOOKUP(A126,IRData!$A$3:$AF$146,32,FALSE)</f>
        <v>1920.1547728478909</v>
      </c>
      <c r="K126" s="52">
        <f>VLOOKUP(A126,IRData!$A$3:$AM$146,37,FALSE)</f>
        <v>1115.4253632724285</v>
      </c>
      <c r="L126" s="145">
        <f>VLOOKUP($A126,IRData!$A$2:$N$146,13,FALSE)</f>
        <v>6682</v>
      </c>
      <c r="M126" s="51">
        <f>L126*Forutsetninger!$C$17</f>
        <v>7067.5938641344046</v>
      </c>
      <c r="N126" s="145">
        <f>VLOOKUP(A126,IRData!$A$3:$E$146,5,FALSE)*Forutsetninger!$C$23</f>
        <v>0</v>
      </c>
      <c r="O126" s="145">
        <f>VLOOKUP(A126,IRData!$A$3:$AG$146,19,FALSE)*Forutsetninger!$C$17</f>
        <v>278.42005544792045</v>
      </c>
      <c r="P126" s="52">
        <f t="shared" si="36"/>
        <v>48752.114841630908</v>
      </c>
      <c r="Q126" s="253">
        <f>ROUND(D126+E126+J126+K126+M126+G126*Forutsetninger!$B$5+N126,0)</f>
        <v>59838</v>
      </c>
      <c r="R126" s="53">
        <f>IFERROR((VLOOKUP(A126,'DEAnorm D-nett'!$A$4:$H$134,8,FALSE)+O126),0)</f>
        <v>37136.411190680432</v>
      </c>
      <c r="S126" s="26">
        <f>IFERROR((VLOOKUP(A126,'DEAnorm R-nett'!$A$4:$H$86,8,FALSE)+N126+K126),N126+K126)</f>
        <v>16068.007751472291</v>
      </c>
      <c r="T126" s="151">
        <f>IFERROR(VLOOKUP(A126,IRData!$A$3:$AN$146,40,FALSE),0)</f>
        <v>0</v>
      </c>
      <c r="U126" s="54">
        <f>(1-Forutsetninger!$B$3)*Q126+(R126+S126+T126)*Forutsetninger!$B$3</f>
        <v>55857.85136529163</v>
      </c>
      <c r="V126" s="47">
        <f t="shared" si="37"/>
        <v>7105.736523660722</v>
      </c>
      <c r="W126" s="208">
        <f t="shared" si="38"/>
        <v>4.0510996376341854E-2</v>
      </c>
      <c r="X126" s="47">
        <f>(R126+S126+T126)-G126*($K$159+$K$153)/Forutsetninger!$B$3</f>
        <v>61517.858175125533</v>
      </c>
      <c r="Y126" s="278">
        <f>ROUND((1-Forutsetninger!$B$3)*Q126+Forutsetninger!$B$3*X126,0)</f>
        <v>60846</v>
      </c>
      <c r="Z126" s="47">
        <v>62549</v>
      </c>
      <c r="AA126" s="73">
        <f t="shared" si="25"/>
        <v>-1703</v>
      </c>
      <c r="AB126" s="269">
        <f t="shared" si="26"/>
        <v>-2.7226654303026426E-2</v>
      </c>
      <c r="AC126" s="66">
        <f t="shared" si="27"/>
        <v>0</v>
      </c>
      <c r="AD126" s="256">
        <f>VLOOKUP(A126,IR2016prnettnivå!$B$2:$K$133,8,FALSE)</f>
        <v>0.70344849637883899</v>
      </c>
      <c r="AE126" s="256">
        <f>VLOOKUP(A126,IR2016prnettnivå!$B$2:$K$133,9,FALSE)</f>
        <v>0.29655150362116101</v>
      </c>
      <c r="AF126" s="256">
        <f>VLOOKUP(A126,IR2016prnettnivå!$B$2:$K$133,10,FALSE)</f>
        <v>0</v>
      </c>
      <c r="AG126" s="277">
        <f t="shared" si="28"/>
        <v>0</v>
      </c>
      <c r="AH126" s="277">
        <f t="shared" si="29"/>
        <v>0</v>
      </c>
      <c r="AI126" s="277">
        <f t="shared" si="30"/>
        <v>0</v>
      </c>
      <c r="AJ126" s="277">
        <f t="shared" si="31"/>
        <v>0</v>
      </c>
      <c r="AK126" s="277">
        <f t="shared" si="32"/>
        <v>0</v>
      </c>
      <c r="AL126" s="277">
        <f t="shared" si="33"/>
        <v>0</v>
      </c>
    </row>
    <row r="127" spans="1:39" x14ac:dyDescent="0.2">
      <c r="A127">
        <v>2272014</v>
      </c>
      <c r="B127" s="1" t="s">
        <v>231</v>
      </c>
      <c r="C127" s="99">
        <f>VLOOKUP(A127,IRData!$A$3:$F$146,6,FALSE)</f>
        <v>190829.26519775391</v>
      </c>
      <c r="D127" s="52">
        <f>C127*Forutsetninger!$C$23</f>
        <v>200757.852265322</v>
      </c>
      <c r="E127" s="50">
        <f>VLOOKUP($A127,IRData!$A$2:$N$146,7,FALSE)</f>
        <v>90110</v>
      </c>
      <c r="F127" s="50">
        <f>VLOOKUP($A127,IRData!$A$2:$N$146,8,FALSE)</f>
        <v>1569475</v>
      </c>
      <c r="G127" s="50">
        <f>VLOOKUP($A127,IRData!$A$2:$N$146,9,FALSE)</f>
        <v>1585169.75</v>
      </c>
      <c r="H127" s="50">
        <f>VLOOKUP($A127,IRData!$A$2:$N$146,10,FALSE)</f>
        <v>93597</v>
      </c>
      <c r="I127" s="50">
        <f>VLOOKUP($A127,IRData!$A$2:$N$146,11,FALSE)</f>
        <v>77952</v>
      </c>
      <c r="J127" s="52">
        <f>VLOOKUP(A127,IRData!$A$3:$AF$146,32,FALSE)</f>
        <v>22879.786922246218</v>
      </c>
      <c r="K127" s="52">
        <f>VLOOKUP(A127,IRData!$A$3:$AM$146,37,FALSE)</f>
        <v>19055.366626739502</v>
      </c>
      <c r="L127" s="145">
        <f>VLOOKUP($A127,IRData!$A$2:$N$146,13,FALSE)</f>
        <v>27172</v>
      </c>
      <c r="M127" s="51">
        <f>L127*Forutsetninger!$C$17</f>
        <v>28739.997078159238</v>
      </c>
      <c r="N127" s="145">
        <f>VLOOKUP(A127,IRData!$A$3:$E$146,5,FALSE)*Forutsetninger!$C$23</f>
        <v>1312.9317422434367</v>
      </c>
      <c r="O127" s="145">
        <f>VLOOKUP(A127,IRData!$A$3:$AG$146,19,FALSE)*Forutsetninger!$C$17</f>
        <v>0</v>
      </c>
      <c r="P127" s="52">
        <f t="shared" si="36"/>
        <v>362855.93463471037</v>
      </c>
      <c r="Q127" s="253">
        <f>ROUND(D127+E127+J127+K127+M127+G127*Forutsetninger!$B$5+N127,0)</f>
        <v>463039</v>
      </c>
      <c r="R127" s="53">
        <f>IFERROR((VLOOKUP(A127,'DEAnorm D-nett'!$A$4:$H$134,8,FALSE)+O127),0)</f>
        <v>393086.15509460168</v>
      </c>
      <c r="S127" s="26">
        <f>IFERROR((VLOOKUP(A127,'DEAnorm R-nett'!$A$4:$H$86,8,FALSE)+N127+K127),N127+K127)</f>
        <v>88944.165852263191</v>
      </c>
      <c r="T127" s="232">
        <f>IFERROR(VLOOKUP(A127,IRData!$A$3:$AN$146,40,FALSE),0)</f>
        <v>15430.627289022364</v>
      </c>
      <c r="U127" s="54">
        <f>(1-Forutsetninger!$B$3)*Q127+(R127+S127+T127)*Forutsetninger!$B$3</f>
        <v>483692.16894153238</v>
      </c>
      <c r="V127" s="47">
        <f t="shared" si="37"/>
        <v>120836.23430682201</v>
      </c>
      <c r="W127" s="208">
        <f t="shared" si="38"/>
        <v>7.6229207822583037E-2</v>
      </c>
      <c r="X127" s="47">
        <f>(R127+S127+T127)-G127*($K$159+$K$153)/Forutsetninger!$B$3</f>
        <v>572592.14858696342</v>
      </c>
      <c r="Y127" s="278">
        <f>ROUND((1-Forutsetninger!$B$3)*Q127+Forutsetninger!$B$3*X127,0)</f>
        <v>528771</v>
      </c>
      <c r="Z127" s="47">
        <v>531085</v>
      </c>
      <c r="AA127" s="73">
        <f t="shared" si="25"/>
        <v>-2314</v>
      </c>
      <c r="AB127" s="269">
        <f t="shared" si="26"/>
        <v>-4.3571179754653211E-3</v>
      </c>
      <c r="AC127" s="66">
        <f t="shared" si="27"/>
        <v>0</v>
      </c>
      <c r="AD127" s="256">
        <f>VLOOKUP(A127,IR2016prnettnivå!$B$2:$K$133,8,FALSE)</f>
        <v>0.76426184132483499</v>
      </c>
      <c r="AE127" s="256">
        <f>VLOOKUP(A127,IR2016prnettnivå!$B$2:$K$133,9,FALSE)</f>
        <v>0.20143291563497367</v>
      </c>
      <c r="AF127" s="256">
        <f>VLOOKUP(A127,IR2016prnettnivå!$B$2:$K$133,10,FALSE)</f>
        <v>3.4305243040191308E-2</v>
      </c>
      <c r="AG127" s="277">
        <f t="shared" si="28"/>
        <v>0</v>
      </c>
      <c r="AH127" s="277">
        <f t="shared" si="29"/>
        <v>0</v>
      </c>
      <c r="AI127" s="277">
        <f t="shared" si="30"/>
        <v>0</v>
      </c>
      <c r="AJ127" s="277">
        <f t="shared" si="31"/>
        <v>0</v>
      </c>
      <c r="AK127" s="277">
        <f t="shared" si="32"/>
        <v>0</v>
      </c>
      <c r="AL127" s="277">
        <f t="shared" si="33"/>
        <v>0</v>
      </c>
    </row>
    <row r="128" spans="1:39" x14ac:dyDescent="0.2">
      <c r="A128">
        <v>2312014</v>
      </c>
      <c r="B128" s="1" t="s">
        <v>232</v>
      </c>
      <c r="C128" s="99">
        <f>VLOOKUP(A128,IRData!$A$3:$F$146,6,FALSE)</f>
        <v>9640.5053100585937</v>
      </c>
      <c r="D128" s="52">
        <f>C128*Forutsetninger!$C$23</f>
        <v>10142.087686572382</v>
      </c>
      <c r="E128" s="50">
        <f>VLOOKUP($A128,IRData!$A$2:$N$146,7,FALSE)</f>
        <v>2953</v>
      </c>
      <c r="F128" s="50">
        <f>VLOOKUP($A128,IRData!$A$2:$N$146,8,FALSE)</f>
        <v>38597</v>
      </c>
      <c r="G128" s="50">
        <f>VLOOKUP($A128,IRData!$A$2:$N$146,9,FALSE)</f>
        <v>38982.97</v>
      </c>
      <c r="H128" s="50">
        <f>VLOOKUP($A128,IRData!$A$2:$N$146,10,FALSE)</f>
        <v>6046</v>
      </c>
      <c r="I128" s="50">
        <f>VLOOKUP($A128,IRData!$A$2:$N$146,11,FALSE)</f>
        <v>0</v>
      </c>
      <c r="J128" s="52">
        <f>VLOOKUP(A128,IRData!$A$3:$AF$146,32,FALSE)</f>
        <v>1570.1462017297745</v>
      </c>
      <c r="K128" s="52">
        <f>VLOOKUP(A128,IRData!$A$3:$AM$146,37,FALSE)</f>
        <v>0</v>
      </c>
      <c r="L128" s="145">
        <f>VLOOKUP($A128,IRData!$A$2:$N$146,13,FALSE)</f>
        <v>297</v>
      </c>
      <c r="M128" s="51">
        <f>L128*Forutsetninger!$C$17</f>
        <v>314.13878743608473</v>
      </c>
      <c r="N128" s="145">
        <f>VLOOKUP(A128,IRData!$A$3:$E$146,5,FALSE)*Forutsetninger!$C$23</f>
        <v>0</v>
      </c>
      <c r="O128" s="145">
        <f>VLOOKUP(A128,IRData!$A$3:$AG$146,19,FALSE)*Forutsetninger!$C$17</f>
        <v>278.42005544792045</v>
      </c>
      <c r="P128" s="52">
        <f t="shared" si="36"/>
        <v>14979.372675738241</v>
      </c>
      <c r="Q128" s="253">
        <f>ROUND(D128+E128+J128+K128+M128+G128*Forutsetninger!$B$5+N128,0)</f>
        <v>17443</v>
      </c>
      <c r="R128" s="53">
        <f>IFERROR((VLOOKUP(A128,'DEAnorm D-nett'!$A$4:$H$134,8,FALSE)+O128),0)</f>
        <v>20193.491016146876</v>
      </c>
      <c r="S128" s="26">
        <f>IFERROR((VLOOKUP(A128,'DEAnorm R-nett'!$A$4:$H$86,8,FALSE)+N128+K128),N128+K128)</f>
        <v>0</v>
      </c>
      <c r="T128" s="151">
        <f>IFERROR(VLOOKUP(A128,IRData!$A$3:$AN$146,40,FALSE),0)</f>
        <v>0</v>
      </c>
      <c r="U128" s="54">
        <f>(1-Forutsetninger!$B$3)*Q128+(R128+S128+T128)*Forutsetninger!$B$3</f>
        <v>19093.294609688128</v>
      </c>
      <c r="V128" s="47">
        <f t="shared" si="37"/>
        <v>4113.9219339498868</v>
      </c>
      <c r="W128" s="208">
        <f t="shared" si="38"/>
        <v>0.10553125977702281</v>
      </c>
      <c r="X128" s="47">
        <f>(R128+S128+T128)-G128*($K$159+$K$153)/Forutsetninger!$B$3</f>
        <v>22041.140032506159</v>
      </c>
      <c r="Y128" s="278">
        <f>ROUND((1-Forutsetninger!$B$3)*Q128+Forutsetninger!$B$3*X128,0)</f>
        <v>20202</v>
      </c>
      <c r="Z128" s="47">
        <v>20198</v>
      </c>
      <c r="AA128" s="73">
        <f t="shared" si="25"/>
        <v>4</v>
      </c>
      <c r="AB128" s="269">
        <f t="shared" si="26"/>
        <v>1.9803940984255866E-4</v>
      </c>
      <c r="AC128" s="66">
        <f t="shared" si="27"/>
        <v>4</v>
      </c>
      <c r="AD128" s="256">
        <f>VLOOKUP(A128,IR2016prnettnivå!$B$2:$K$133,8,FALSE)</f>
        <v>1</v>
      </c>
      <c r="AE128" s="256">
        <f>VLOOKUP(A128,IR2016prnettnivå!$B$2:$K$133,9,FALSE)</f>
        <v>0</v>
      </c>
      <c r="AF128" s="256">
        <f>VLOOKUP(A128,IR2016prnettnivå!$B$2:$K$133,10,FALSE)</f>
        <v>0</v>
      </c>
      <c r="AG128" s="277">
        <f t="shared" si="28"/>
        <v>4</v>
      </c>
      <c r="AH128" s="277">
        <f t="shared" si="29"/>
        <v>0</v>
      </c>
      <c r="AI128" s="277">
        <f t="shared" si="30"/>
        <v>0</v>
      </c>
      <c r="AJ128" s="277">
        <f t="shared" si="31"/>
        <v>5.1200000000000009E-2</v>
      </c>
      <c r="AK128" s="277">
        <f t="shared" si="32"/>
        <v>0</v>
      </c>
      <c r="AL128" s="277">
        <f t="shared" si="33"/>
        <v>0</v>
      </c>
    </row>
    <row r="129" spans="1:39" x14ac:dyDescent="0.2">
      <c r="A129">
        <v>4842014</v>
      </c>
      <c r="B129" s="1" t="s">
        <v>90</v>
      </c>
      <c r="C129" s="99">
        <f>VLOOKUP(A129,IRData!$A$3:$F$146,6,FALSE)</f>
        <v>1081.5834045410156</v>
      </c>
      <c r="D129" s="52">
        <f>C129*Forutsetninger!$C$23</f>
        <v>1137.8567177128393</v>
      </c>
      <c r="E129" s="50">
        <f>VLOOKUP($A129,IRData!$A$2:$N$146,7,FALSE)</f>
        <v>2842</v>
      </c>
      <c r="F129" s="50">
        <f>VLOOKUP($A129,IRData!$A$2:$N$146,8,FALSE)</f>
        <v>53721</v>
      </c>
      <c r="G129" s="50">
        <f>VLOOKUP($A129,IRData!$A$2:$N$146,9,FALSE)</f>
        <v>54258.21</v>
      </c>
      <c r="H129" s="50">
        <f>VLOOKUP($A129,IRData!$A$2:$N$146,10,FALSE)</f>
        <v>0</v>
      </c>
      <c r="I129" s="50">
        <f>VLOOKUP($A129,IRData!$A$2:$N$146,11,FALSE)</f>
        <v>7181</v>
      </c>
      <c r="J129" s="52">
        <f>VLOOKUP(A129,IRData!$A$3:$AF$146,32,FALSE)</f>
        <v>0</v>
      </c>
      <c r="K129" s="52">
        <f>VLOOKUP(A129,IRData!$A$3:$AM$146,37,FALSE)</f>
        <v>1986.2646232843399</v>
      </c>
      <c r="L129" s="145">
        <f>VLOOKUP($A129,IRData!$A$2:$N$146,13,FALSE)</f>
        <v>0</v>
      </c>
      <c r="M129" s="51">
        <f>L129*Forutsetninger!$C$17</f>
        <v>0</v>
      </c>
      <c r="N129" s="145">
        <f>VLOOKUP(A129,IRData!$A$3:$E$146,5,FALSE)*Forutsetninger!$C$23</f>
        <v>0</v>
      </c>
      <c r="O129" s="145">
        <f>VLOOKUP(A129,IRData!$A$3:$AG$146,19,FALSE)*Forutsetninger!$C$17</f>
        <v>0</v>
      </c>
      <c r="P129" s="52">
        <f t="shared" si="36"/>
        <v>5966.1213409971788</v>
      </c>
      <c r="Q129" s="253">
        <f>ROUND(D129+E129+J129+K129+M129+G129*Forutsetninger!$B$5+N129,0)</f>
        <v>9395</v>
      </c>
      <c r="R129" s="53">
        <f>IFERROR((VLOOKUP(A129,'DEAnorm D-nett'!$A$4:$H$134,8,FALSE)+O129),0)</f>
        <v>0</v>
      </c>
      <c r="S129" s="26">
        <f>IFERROR((VLOOKUP(A129,'DEAnorm R-nett'!$A$4:$H$86,8,FALSE)+N129+K129),N129+K129)</f>
        <v>12107.91578389234</v>
      </c>
      <c r="T129" s="151">
        <f>IFERROR(VLOOKUP(A129,IRData!$A$3:$AN$146,40,FALSE),0)</f>
        <v>0</v>
      </c>
      <c r="U129" s="54">
        <f>(1-Forutsetninger!$B$3)*Q129+(R129+S129+T129)*Forutsetninger!$B$3</f>
        <v>11022.749470335404</v>
      </c>
      <c r="V129" s="47">
        <f t="shared" si="37"/>
        <v>5056.6281293382253</v>
      </c>
      <c r="W129" s="208">
        <f t="shared" si="38"/>
        <v>9.3195631211170166E-2</v>
      </c>
      <c r="X129" s="47">
        <f>(R129+S129+T129)-G129*($K$159+$K$153)/Forutsetninger!$B$3</f>
        <v>14679.554844125962</v>
      </c>
      <c r="Y129" s="278">
        <f>ROUND((1-Forutsetninger!$B$3)*Q129+Forutsetninger!$B$3*X129,0)</f>
        <v>12566</v>
      </c>
      <c r="Z129" s="47">
        <v>12573</v>
      </c>
      <c r="AA129" s="73">
        <f t="shared" si="25"/>
        <v>-7</v>
      </c>
      <c r="AB129" s="269">
        <f t="shared" si="26"/>
        <v>-5.5674858824465126E-4</v>
      </c>
      <c r="AC129" s="66">
        <f t="shared" si="27"/>
        <v>0</v>
      </c>
      <c r="AD129" s="256">
        <f>VLOOKUP(A129,IR2016prnettnivå!$B$2:$K$133,8,FALSE)</f>
        <v>0</v>
      </c>
      <c r="AE129" s="256">
        <f>VLOOKUP(A129,IR2016prnettnivå!$B$2:$K$133,9,FALSE)</f>
        <v>1</v>
      </c>
      <c r="AF129" s="256">
        <f>VLOOKUP(A129,IR2016prnettnivå!$B$2:$K$133,10,FALSE)</f>
        <v>0</v>
      </c>
      <c r="AG129" s="277">
        <f t="shared" si="28"/>
        <v>0</v>
      </c>
      <c r="AH129" s="277">
        <f t="shared" si="29"/>
        <v>0</v>
      </c>
      <c r="AI129" s="277">
        <f t="shared" si="30"/>
        <v>0</v>
      </c>
      <c r="AJ129" s="277">
        <f t="shared" si="31"/>
        <v>0</v>
      </c>
      <c r="AK129" s="277">
        <f t="shared" si="32"/>
        <v>0</v>
      </c>
      <c r="AL129" s="277">
        <f t="shared" si="33"/>
        <v>0</v>
      </c>
    </row>
    <row r="130" spans="1:39" x14ac:dyDescent="0.2">
      <c r="A130">
        <v>2152014</v>
      </c>
      <c r="B130" s="1" t="s">
        <v>229</v>
      </c>
      <c r="C130" s="99">
        <f>VLOOKUP(A130,IRData!$A$3:$F$146,6,FALSE)</f>
        <v>280539.8369140625</v>
      </c>
      <c r="D130" s="52">
        <f>C130*Forutsetninger!$C$23</f>
        <v>295135.94298739557</v>
      </c>
      <c r="E130" s="50">
        <f>VLOOKUP($A130,IRData!$A$2:$N$146,7,FALSE)</f>
        <v>116409</v>
      </c>
      <c r="F130" s="50">
        <f>VLOOKUP($A130,IRData!$A$2:$N$146,8,FALSE)</f>
        <v>1690839</v>
      </c>
      <c r="G130" s="50">
        <f>VLOOKUP($A130,IRData!$A$2:$N$146,9,FALSE)</f>
        <v>1707747.39</v>
      </c>
      <c r="H130" s="50">
        <f>VLOOKUP($A130,IRData!$A$2:$N$146,10,FALSE)</f>
        <v>153540</v>
      </c>
      <c r="I130" s="50">
        <f>VLOOKUP($A130,IRData!$A$2:$N$146,11,FALSE)</f>
        <v>97862</v>
      </c>
      <c r="J130" s="52">
        <f>VLOOKUP(A130,IRData!$A$3:$AF$146,32,FALSE)</f>
        <v>42469.164497852325</v>
      </c>
      <c r="K130" s="52">
        <f>VLOOKUP(A130,IRData!$A$3:$AM$146,37,FALSE)</f>
        <v>27068.629517316818</v>
      </c>
      <c r="L130" s="145">
        <f>VLOOKUP($A130,IRData!$A$2:$N$146,13,FALSE)</f>
        <v>15236</v>
      </c>
      <c r="M130" s="51">
        <f>L130*Forutsetninger!$C$17</f>
        <v>16115.214024835646</v>
      </c>
      <c r="N130" s="145">
        <f>VLOOKUP(A130,IRData!$A$3:$E$146,5,FALSE)*Forutsetninger!$C$23</f>
        <v>1851.5704057279236</v>
      </c>
      <c r="O130" s="145">
        <f>VLOOKUP(A130,IRData!$A$3:$AG$146,19,FALSE)*Forutsetninger!$C$17</f>
        <v>0</v>
      </c>
      <c r="P130" s="52">
        <f t="shared" si="36"/>
        <v>499049.52143312834</v>
      </c>
      <c r="Q130" s="253">
        <f>ROUND(D130+E130+J130+K130+M130+G130*Forutsetninger!$B$5+N130,0)</f>
        <v>606979</v>
      </c>
      <c r="R130" s="53">
        <f>IFERROR((VLOOKUP(A130,'DEAnorm D-nett'!$A$4:$H$134,8,FALSE)+O130),0)</f>
        <v>488029.10326039401</v>
      </c>
      <c r="S130" s="26">
        <f>IFERROR((VLOOKUP(A130,'DEAnorm R-nett'!$A$4:$H$86,8,FALSE)+N130+K130),N130+K130)</f>
        <v>169982.38188860507</v>
      </c>
      <c r="T130" s="151">
        <f>IFERROR(VLOOKUP(A130,IRData!$A$3:$AN$146,40,FALSE),0)</f>
        <v>0</v>
      </c>
      <c r="U130" s="54">
        <f>(1-Forutsetninger!$B$3)*Q130+(R130+S130+T130)*Forutsetninger!$B$3</f>
        <v>637598.49108939944</v>
      </c>
      <c r="V130" s="47">
        <f t="shared" si="37"/>
        <v>138548.9696562711</v>
      </c>
      <c r="W130" s="208">
        <f t="shared" si="38"/>
        <v>8.1129662658287596E-2</v>
      </c>
      <c r="X130" s="47">
        <f>(R130+S130+T130)-G130*($K$159+$K$153)/Forutsetninger!$B$3</f>
        <v>738952.41359348746</v>
      </c>
      <c r="Y130" s="278">
        <f>ROUND((1-Forutsetninger!$B$3)*Q130+Forutsetninger!$B$3*X130,0)</f>
        <v>686163</v>
      </c>
      <c r="Z130" s="47">
        <v>684421</v>
      </c>
      <c r="AA130" s="73">
        <f t="shared" si="25"/>
        <v>1742</v>
      </c>
      <c r="AB130" s="269">
        <f t="shared" si="26"/>
        <v>2.5452170520775955E-3</v>
      </c>
      <c r="AC130" s="66">
        <f t="shared" si="27"/>
        <v>1742</v>
      </c>
      <c r="AD130" s="256">
        <f>VLOOKUP(A130,IR2016prnettnivå!$B$2:$K$133,8,FALSE)</f>
        <v>0.74475213355522407</v>
      </c>
      <c r="AE130" s="256">
        <f>VLOOKUP(A130,IR2016prnettnivå!$B$2:$K$133,9,FALSE)</f>
        <v>0.25524786644477593</v>
      </c>
      <c r="AF130" s="256">
        <f>VLOOKUP(A130,IR2016prnettnivå!$B$2:$K$133,10,FALSE)</f>
        <v>0</v>
      </c>
      <c r="AG130" s="277">
        <f t="shared" si="28"/>
        <v>1297.3582166532003</v>
      </c>
      <c r="AH130" s="277">
        <f t="shared" si="29"/>
        <v>444.64178334679968</v>
      </c>
      <c r="AI130" s="277">
        <f t="shared" si="30"/>
        <v>0</v>
      </c>
      <c r="AJ130" s="277">
        <f t="shared" si="31"/>
        <v>16.606185173160966</v>
      </c>
      <c r="AK130" s="277">
        <f t="shared" si="32"/>
        <v>5.6914148268390372</v>
      </c>
      <c r="AL130" s="277">
        <f t="shared" si="33"/>
        <v>0</v>
      </c>
    </row>
    <row r="131" spans="1:39" x14ac:dyDescent="0.2">
      <c r="A131">
        <v>2342014</v>
      </c>
      <c r="B131" s="1" t="s">
        <v>88</v>
      </c>
      <c r="C131" s="99">
        <f>VLOOKUP(A131,IRData!$A$3:$F$146,6,FALSE)</f>
        <v>19645.188232421875</v>
      </c>
      <c r="D131" s="52">
        <f>C131*Forutsetninger!$C$23</f>
        <v>20667.300651197045</v>
      </c>
      <c r="E131" s="50">
        <f>VLOOKUP($A131,IRData!$A$2:$N$146,7,FALSE)</f>
        <v>4287</v>
      </c>
      <c r="F131" s="50">
        <f>VLOOKUP($A131,IRData!$A$2:$N$146,8,FALSE)</f>
        <v>69377</v>
      </c>
      <c r="G131" s="50">
        <f>VLOOKUP($A131,IRData!$A$2:$N$146,9,FALSE)</f>
        <v>70070.77</v>
      </c>
      <c r="H131" s="50">
        <f>VLOOKUP($A131,IRData!$A$2:$N$146,10,FALSE)</f>
        <v>2137</v>
      </c>
      <c r="I131" s="50">
        <f>VLOOKUP($A131,IRData!$A$2:$N$146,11,FALSE)</f>
        <v>0</v>
      </c>
      <c r="J131" s="52">
        <f>VLOOKUP(A131,IRData!$A$3:$AF$146,32,FALSE)</f>
        <v>527.1765408217907</v>
      </c>
      <c r="K131" s="52">
        <f>VLOOKUP(A131,IRData!$A$3:$AM$146,37,FALSE)</f>
        <v>0</v>
      </c>
      <c r="L131" s="145">
        <f>VLOOKUP($A131,IRData!$A$2:$N$146,13,FALSE)</f>
        <v>678</v>
      </c>
      <c r="M131" s="51">
        <f>L131*Forutsetninger!$C$17</f>
        <v>717.1249086924762</v>
      </c>
      <c r="N131" s="145">
        <f>VLOOKUP(A131,IRData!$A$3:$E$146,5,FALSE)*Forutsetninger!$C$23</f>
        <v>0</v>
      </c>
      <c r="O131" s="145">
        <f>VLOOKUP(A131,IRData!$A$3:$AG$146,19,FALSE)*Forutsetninger!$C$17</f>
        <v>69.597081387103955</v>
      </c>
      <c r="P131" s="52">
        <f t="shared" ref="P131:P146" si="43">D131+E131+K131+J131+M131+N131</f>
        <v>26198.602100711312</v>
      </c>
      <c r="Q131" s="253">
        <f>ROUND(D131+E131+J131+K131+M131+G131*Forutsetninger!$B$5+N131,0)</f>
        <v>30627</v>
      </c>
      <c r="R131" s="53">
        <f>IFERROR((VLOOKUP(A131,'DEAnorm D-nett'!$A$4:$H$134,8,FALSE)+O131),0)</f>
        <v>23113.370695890502</v>
      </c>
      <c r="S131" s="26">
        <f>IFERROR((VLOOKUP(A131,'DEAnorm R-nett'!$A$4:$H$86,8,FALSE)+N131+K131),N131+K131)</f>
        <v>0</v>
      </c>
      <c r="T131" s="151">
        <f>IFERROR(VLOOKUP(A131,IRData!$A$3:$AN$146,40,FALSE),0)</f>
        <v>0</v>
      </c>
      <c r="U131" s="54">
        <f>(1-Forutsetninger!$B$3)*Q131+(R131+S131+T131)*Forutsetninger!$B$3</f>
        <v>26118.822417534302</v>
      </c>
      <c r="V131" s="47">
        <f t="shared" ref="V131:V146" si="44">U131-P131</f>
        <v>-79.779683177010156</v>
      </c>
      <c r="W131" s="208">
        <f t="shared" ref="W131:W146" si="45">IF(G131=0,0,V131/G131)</f>
        <v>-1.1385586768492789E-3</v>
      </c>
      <c r="X131" s="47">
        <f>(R131+S131+T131)-G131*($K$159+$K$153)/Forutsetninger!$B$3</f>
        <v>26434.466786466404</v>
      </c>
      <c r="Y131" s="278">
        <f>ROUND((1-Forutsetninger!$B$3)*Q131+Forutsetninger!$B$3*X131,0)</f>
        <v>28111</v>
      </c>
      <c r="Z131" s="47">
        <v>28131</v>
      </c>
      <c r="AA131" s="73">
        <f t="shared" si="25"/>
        <v>-20</v>
      </c>
      <c r="AB131" s="269">
        <f t="shared" si="26"/>
        <v>-7.1095943976396151E-4</v>
      </c>
      <c r="AC131" s="66">
        <f t="shared" si="27"/>
        <v>0</v>
      </c>
      <c r="AD131" s="256">
        <f>VLOOKUP(A131,IR2016prnettnivå!$B$2:$K$133,8,FALSE)</f>
        <v>1</v>
      </c>
      <c r="AE131" s="256">
        <f>VLOOKUP(A131,IR2016prnettnivå!$B$2:$K$133,9,FALSE)</f>
        <v>0</v>
      </c>
      <c r="AF131" s="256">
        <f>VLOOKUP(A131,IR2016prnettnivå!$B$2:$K$133,10,FALSE)</f>
        <v>0</v>
      </c>
      <c r="AG131" s="277">
        <f t="shared" si="28"/>
        <v>0</v>
      </c>
      <c r="AH131" s="277">
        <f t="shared" si="29"/>
        <v>0</v>
      </c>
      <c r="AI131" s="277">
        <f t="shared" si="30"/>
        <v>0</v>
      </c>
      <c r="AJ131" s="277">
        <f t="shared" si="31"/>
        <v>0</v>
      </c>
      <c r="AK131" s="277">
        <f t="shared" si="32"/>
        <v>0</v>
      </c>
      <c r="AL131" s="277">
        <f t="shared" si="33"/>
        <v>0</v>
      </c>
    </row>
    <row r="132" spans="1:39" x14ac:dyDescent="0.2">
      <c r="A132">
        <v>2872014</v>
      </c>
      <c r="B132" s="1" t="s">
        <v>241</v>
      </c>
      <c r="C132" s="99">
        <f>VLOOKUP(A132,IRData!$A$3:$F$146,6,FALSE)</f>
        <v>0</v>
      </c>
      <c r="D132" s="52">
        <f>C132*Forutsetninger!$C$23</f>
        <v>0</v>
      </c>
      <c r="E132" s="50">
        <f>VLOOKUP($A132,IRData!$A$2:$N$146,7,FALSE)</f>
        <v>272</v>
      </c>
      <c r="F132" s="50">
        <f>VLOOKUP($A132,IRData!$A$2:$N$146,8,FALSE)</f>
        <v>818</v>
      </c>
      <c r="G132" s="50">
        <f>VLOOKUP($A132,IRData!$A$2:$N$146,9,FALSE)</f>
        <v>826.18000000000006</v>
      </c>
      <c r="H132" s="50">
        <f>VLOOKUP($A132,IRData!$A$2:$N$146,10,FALSE)</f>
        <v>0</v>
      </c>
      <c r="I132" s="50">
        <f>VLOOKUP($A132,IRData!$A$2:$N$146,11,FALSE)</f>
        <v>0</v>
      </c>
      <c r="J132" s="52">
        <f>VLOOKUP(A132,IRData!$A$3:$AF$146,32,FALSE)</f>
        <v>0</v>
      </c>
      <c r="K132" s="52">
        <f>VLOOKUP(A132,IRData!$A$3:$AM$146,37,FALSE)</f>
        <v>0</v>
      </c>
      <c r="L132" s="145">
        <f>VLOOKUP($A132,IRData!$A$2:$N$146,13,FALSE)</f>
        <v>0</v>
      </c>
      <c r="M132" s="51">
        <f>L132*Forutsetninger!$C$17</f>
        <v>0</v>
      </c>
      <c r="N132" s="145">
        <f>VLOOKUP(A132,IRData!$A$3:$E$146,5,FALSE)*Forutsetninger!$C$23</f>
        <v>0</v>
      </c>
      <c r="O132" s="145">
        <f>VLOOKUP(A132,IRData!$A$3:$AG$146,19,FALSE)*Forutsetninger!$C$17</f>
        <v>0</v>
      </c>
      <c r="P132" s="52">
        <f t="shared" si="43"/>
        <v>272</v>
      </c>
      <c r="Q132" s="253">
        <f>ROUND(D132+E132+J132+K132+M132+G132*Forutsetninger!$B$5+N132,0)</f>
        <v>324</v>
      </c>
      <c r="R132" s="53">
        <f>IFERROR((VLOOKUP(A132,'DEAnorm D-nett'!$A$4:$H$134,8,FALSE)+O132),0)</f>
        <v>0</v>
      </c>
      <c r="S132" s="26">
        <f>IFERROR((VLOOKUP(A132,'DEAnorm R-nett'!$A$4:$H$86,8,FALSE)+N132+K132),N132+K132)</f>
        <v>361.14943970969586</v>
      </c>
      <c r="T132" s="151">
        <f>IFERROR(VLOOKUP(A132,IRData!$A$3:$AN$146,40,FALSE),0)</f>
        <v>0</v>
      </c>
      <c r="U132" s="54">
        <f>(1-Forutsetninger!$B$3)*Q132+(R132+S132+T132)*Forutsetninger!$B$3</f>
        <v>346.28966382581751</v>
      </c>
      <c r="V132" s="47">
        <f t="shared" si="44"/>
        <v>74.289663825817513</v>
      </c>
      <c r="W132" s="208">
        <f t="shared" si="45"/>
        <v>8.991946528095271E-2</v>
      </c>
      <c r="X132" s="47">
        <f>(R132+S132+T132)-G132*($K$159+$K$153)/Forutsetninger!$B$3</f>
        <v>400.30732491792173</v>
      </c>
      <c r="Y132" s="278">
        <f>ROUND((1-Forutsetninger!$B$3)*Q132+Forutsetninger!$B$3*X132,0)</f>
        <v>370</v>
      </c>
      <c r="Z132" s="47">
        <v>370</v>
      </c>
      <c r="AA132" s="73">
        <f t="shared" ref="AA132:AA146" si="46">Y132-Z132</f>
        <v>0</v>
      </c>
      <c r="AB132" s="269">
        <f t="shared" ref="AB132:AB146" si="47">AA132/Z132</f>
        <v>0</v>
      </c>
      <c r="AC132" s="66">
        <f t="shared" ref="AC132:AC146" si="48">IF(AA132&gt;0,AA132,0)</f>
        <v>0</v>
      </c>
      <c r="AD132" s="256">
        <f>VLOOKUP(A132,IR2016prnettnivå!$B$2:$K$133,8,FALSE)</f>
        <v>0</v>
      </c>
      <c r="AE132" s="256">
        <f>VLOOKUP(A132,IR2016prnettnivå!$B$2:$K$133,9,FALSE)</f>
        <v>1</v>
      </c>
      <c r="AF132" s="256">
        <f>VLOOKUP(A132,IR2016prnettnivå!$B$2:$K$133,10,FALSE)</f>
        <v>0</v>
      </c>
      <c r="AG132" s="277">
        <f t="shared" ref="AG132:AG146" si="49">$AC132*AD132</f>
        <v>0</v>
      </c>
      <c r="AH132" s="277">
        <f t="shared" ref="AH132:AH146" si="50">$AC132*AE132</f>
        <v>0</v>
      </c>
      <c r="AI132" s="277">
        <f t="shared" ref="AI132:AI146" si="51">$AC132*AF132</f>
        <v>0</v>
      </c>
      <c r="AJ132" s="277">
        <f t="shared" ref="AJ132:AJ146" si="52">AG132*$AP$5</f>
        <v>0</v>
      </c>
      <c r="AK132" s="277">
        <f t="shared" ref="AK132:AK146" si="53">AH132*$AP$5</f>
        <v>0</v>
      </c>
      <c r="AL132" s="277">
        <f t="shared" ref="AL132:AL146" si="54">AI132*$AP$5</f>
        <v>0</v>
      </c>
    </row>
    <row r="133" spans="1:39" x14ac:dyDescent="0.2">
      <c r="A133">
        <v>2422014</v>
      </c>
      <c r="B133" s="1" t="s">
        <v>380</v>
      </c>
      <c r="C133" s="99">
        <f>VLOOKUP(A133,IRData!$A$3:$F$146,6,FALSE)</f>
        <v>6877.8000030517578</v>
      </c>
      <c r="D133" s="52">
        <f>C133*Forutsetninger!$C$23</f>
        <v>7235.6425807761689</v>
      </c>
      <c r="E133" s="50">
        <f>VLOOKUP($A133,IRData!$A$2:$N$146,7,FALSE)</f>
        <v>2014</v>
      </c>
      <c r="F133" s="50">
        <f>VLOOKUP($A133,IRData!$A$2:$N$146,8,FALSE)</f>
        <v>35744</v>
      </c>
      <c r="G133" s="50">
        <f>VLOOKUP($A133,IRData!$A$2:$N$146,9,FALSE)</f>
        <v>36101.440000000002</v>
      </c>
      <c r="H133" s="50">
        <f>VLOOKUP($A133,IRData!$A$2:$N$146,10,FALSE)</f>
        <v>1586</v>
      </c>
      <c r="I133" s="50">
        <f>VLOOKUP($A133,IRData!$A$2:$N$146,11,FALSE)</f>
        <v>0</v>
      </c>
      <c r="J133" s="52">
        <f>VLOOKUP(A133,IRData!$A$3:$AF$146,32,FALSE)</f>
        <v>393.09010136127472</v>
      </c>
      <c r="K133" s="52">
        <f>VLOOKUP(A133,IRData!$A$3:$AM$146,37,FALSE)</f>
        <v>0</v>
      </c>
      <c r="L133" s="145">
        <f>VLOOKUP($A133,IRData!$A$2:$N$146,13,FALSE)</f>
        <v>95</v>
      </c>
      <c r="M133" s="51">
        <f>L133*Forutsetninger!$C$17</f>
        <v>100.48210372534697</v>
      </c>
      <c r="N133" s="145">
        <f>VLOOKUP(A133,IRData!$A$3:$E$146,5,FALSE)*Forutsetninger!$C$23</f>
        <v>0</v>
      </c>
      <c r="O133" s="145">
        <f>VLOOKUP(A133,IRData!$A$3:$AG$146,19,FALSE)*Forutsetninger!$C$17</f>
        <v>0</v>
      </c>
      <c r="P133" s="52">
        <f t="shared" si="43"/>
        <v>9743.2147858627923</v>
      </c>
      <c r="Q133" s="253">
        <f>ROUND(D133+E133+J133+K133+M133+G133*Forutsetninger!$B$5+N133,0)</f>
        <v>12025</v>
      </c>
      <c r="R133" s="53">
        <f>IFERROR((VLOOKUP(A133,'DEAnorm D-nett'!$A$4:$H$134,8,FALSE)+O133),0)</f>
        <v>10089.099771916011</v>
      </c>
      <c r="S133" s="26">
        <f>IFERROR((VLOOKUP(A133,'DEAnorm R-nett'!$A$4:$H$86,8,FALSE)+N133+K133),N133+K133)</f>
        <v>0</v>
      </c>
      <c r="T133" s="151">
        <f>IFERROR(VLOOKUP(A133,IRData!$A$3:$AN$146,40,FALSE),0)</f>
        <v>0</v>
      </c>
      <c r="U133" s="54">
        <f>(1-Forutsetninger!$B$3)*Q133+(R133+S133+T133)*Forutsetninger!$B$3</f>
        <v>10863.459863149606</v>
      </c>
      <c r="V133" s="47">
        <f t="shared" si="44"/>
        <v>1120.2450772868142</v>
      </c>
      <c r="W133" s="208">
        <f t="shared" si="45"/>
        <v>3.1030481811440601E-2</v>
      </c>
      <c r="X133" s="47">
        <f>(R133+S133+T133)-G133*($K$159+$K$153)/Forutsetninger!$B$3</f>
        <v>11800.174892799661</v>
      </c>
      <c r="Y133" s="278">
        <f>ROUND((1-Forutsetninger!$B$3)*Q133+Forutsetninger!$B$3*X133,0)</f>
        <v>11890</v>
      </c>
      <c r="Z133" s="47">
        <v>11886</v>
      </c>
      <c r="AA133" s="73">
        <f t="shared" si="46"/>
        <v>4</v>
      </c>
      <c r="AB133" s="269">
        <f t="shared" si="47"/>
        <v>3.3653037186606093E-4</v>
      </c>
      <c r="AC133" s="66">
        <f t="shared" si="48"/>
        <v>4</v>
      </c>
      <c r="AD133" s="256">
        <f>VLOOKUP(A133,IR2016prnettnivå!$B$2:$K$133,8,FALSE)</f>
        <v>1</v>
      </c>
      <c r="AE133" s="256">
        <f>VLOOKUP(A133,IR2016prnettnivå!$B$2:$K$133,9,FALSE)</f>
        <v>0</v>
      </c>
      <c r="AF133" s="256">
        <f>VLOOKUP(A133,IR2016prnettnivå!$B$2:$K$133,10,FALSE)</f>
        <v>0</v>
      </c>
      <c r="AG133" s="277">
        <f t="shared" si="49"/>
        <v>4</v>
      </c>
      <c r="AH133" s="277">
        <f t="shared" si="50"/>
        <v>0</v>
      </c>
      <c r="AI133" s="277">
        <f t="shared" si="51"/>
        <v>0</v>
      </c>
      <c r="AJ133" s="277">
        <f t="shared" si="52"/>
        <v>5.1200000000000009E-2</v>
      </c>
      <c r="AK133" s="277">
        <f t="shared" si="53"/>
        <v>0</v>
      </c>
      <c r="AL133" s="277">
        <f t="shared" si="54"/>
        <v>0</v>
      </c>
    </row>
    <row r="134" spans="1:39" x14ac:dyDescent="0.2">
      <c r="A134">
        <v>3062014</v>
      </c>
      <c r="B134" s="1" t="s">
        <v>243</v>
      </c>
      <c r="C134" s="99">
        <f>VLOOKUP(A134,IRData!$A$3:$F$146,6,FALSE)</f>
        <v>29475.55029296875</v>
      </c>
      <c r="D134" s="52">
        <f>C134*Forutsetninger!$C$23</f>
        <v>31009.123076707936</v>
      </c>
      <c r="E134" s="50">
        <f>VLOOKUP($A134,IRData!$A$2:$N$146,7,FALSE)</f>
        <v>13557</v>
      </c>
      <c r="F134" s="50">
        <f>VLOOKUP($A134,IRData!$A$2:$N$146,8,FALSE)</f>
        <v>206011</v>
      </c>
      <c r="G134" s="50">
        <f>VLOOKUP($A134,IRData!$A$2:$N$146,9,FALSE)</f>
        <v>208071.11000000002</v>
      </c>
      <c r="H134" s="50">
        <f>VLOOKUP($A134,IRData!$A$2:$N$146,10,FALSE)</f>
        <v>15030</v>
      </c>
      <c r="I134" s="50">
        <f>VLOOKUP($A134,IRData!$A$2:$N$146,11,FALSE)</f>
        <v>0</v>
      </c>
      <c r="J134" s="52">
        <f>VLOOKUP(A134,IRData!$A$3:$AF$146,32,FALSE)</f>
        <v>3903.2910043001175</v>
      </c>
      <c r="K134" s="52">
        <f>VLOOKUP(A134,IRData!$A$3:$AM$146,37,FALSE)</f>
        <v>0</v>
      </c>
      <c r="L134" s="145">
        <f>VLOOKUP($A134,IRData!$A$2:$N$146,13,FALSE)</f>
        <v>1833</v>
      </c>
      <c r="M134" s="51">
        <f>L134*Forutsetninger!$C$17</f>
        <v>1938.7757487216948</v>
      </c>
      <c r="N134" s="145">
        <f>VLOOKUP(A134,IRData!$A$3:$E$146,5,FALSE)*Forutsetninger!$C$23</f>
        <v>0</v>
      </c>
      <c r="O134" s="145">
        <f>VLOOKUP(A134,IRData!$A$3:$AG$146,19,FALSE)*Forutsetninger!$C$17</f>
        <v>69.597081387103955</v>
      </c>
      <c r="P134" s="52">
        <f t="shared" si="43"/>
        <v>50408.189829729752</v>
      </c>
      <c r="Q134" s="253">
        <f>ROUND(D134+E134+J134+K134+M134+G134*Forutsetninger!$B$5+N134,0)</f>
        <v>63558</v>
      </c>
      <c r="R134" s="53">
        <f>IFERROR((VLOOKUP(A134,'DEAnorm D-nett'!$A$4:$H$134,8,FALSE)+O134),0)</f>
        <v>65045.645211171992</v>
      </c>
      <c r="S134" s="26">
        <f>IFERROR((VLOOKUP(A134,'DEAnorm R-nett'!$A$4:$H$86,8,FALSE)+N134+K134),N134+K134)</f>
        <v>0</v>
      </c>
      <c r="T134" s="151">
        <f>IFERROR(VLOOKUP(A134,IRData!$A$3:$AN$146,40,FALSE),0)</f>
        <v>0</v>
      </c>
      <c r="U134" s="54">
        <f>(1-Forutsetninger!$B$3)*Q134+(R134+S134+T134)*Forutsetninger!$B$3</f>
        <v>64450.587126703191</v>
      </c>
      <c r="V134" s="47">
        <f t="shared" si="44"/>
        <v>14042.397296973439</v>
      </c>
      <c r="W134" s="208">
        <f t="shared" si="45"/>
        <v>6.7488452851399872E-2</v>
      </c>
      <c r="X134" s="47">
        <f>(R134+S134+T134)-G134*($K$159+$K$153)/Forutsetninger!$B$3</f>
        <v>74907.44849923045</v>
      </c>
      <c r="Y134" s="278">
        <f>ROUND((1-Forutsetninger!$B$3)*Q134+Forutsetninger!$B$3*X134,0)</f>
        <v>70368</v>
      </c>
      <c r="Z134" s="47">
        <v>70317</v>
      </c>
      <c r="AA134" s="73">
        <f t="shared" si="46"/>
        <v>51</v>
      </c>
      <c r="AB134" s="269">
        <f t="shared" si="47"/>
        <v>7.2528691497077515E-4</v>
      </c>
      <c r="AC134" s="66">
        <f t="shared" si="48"/>
        <v>51</v>
      </c>
      <c r="AD134" s="256">
        <f>VLOOKUP(A134,IR2016prnettnivå!$B$2:$K$133,8,FALSE)</f>
        <v>1</v>
      </c>
      <c r="AE134" s="256">
        <f>VLOOKUP(A134,IR2016prnettnivå!$B$2:$K$133,9,FALSE)</f>
        <v>0</v>
      </c>
      <c r="AF134" s="256">
        <f>VLOOKUP(A134,IR2016prnettnivå!$B$2:$K$133,10,FALSE)</f>
        <v>0</v>
      </c>
      <c r="AG134" s="277">
        <f t="shared" si="49"/>
        <v>51</v>
      </c>
      <c r="AH134" s="277">
        <f t="shared" si="50"/>
        <v>0</v>
      </c>
      <c r="AI134" s="277">
        <f t="shared" si="51"/>
        <v>0</v>
      </c>
      <c r="AJ134" s="277">
        <f t="shared" si="52"/>
        <v>0.65280000000000016</v>
      </c>
      <c r="AK134" s="277">
        <f t="shared" si="53"/>
        <v>0</v>
      </c>
      <c r="AL134" s="277">
        <f t="shared" si="54"/>
        <v>0</v>
      </c>
    </row>
    <row r="135" spans="1:39" x14ac:dyDescent="0.2">
      <c r="A135">
        <v>2482014</v>
      </c>
      <c r="B135" s="1" t="s">
        <v>54</v>
      </c>
      <c r="C135" s="99">
        <f>VLOOKUP(A135,IRData!$A$3:$F$146,6,FALSE)</f>
        <v>10956.077453613281</v>
      </c>
      <c r="D135" s="52">
        <f>C135*Forutsetninger!$C$23</f>
        <v>11526.107259075738</v>
      </c>
      <c r="E135" s="50">
        <f>VLOOKUP($A135,IRData!$A$2:$N$146,7,FALSE)</f>
        <v>2835</v>
      </c>
      <c r="F135" s="50">
        <f>VLOOKUP($A135,IRData!$A$2:$N$146,8,FALSE)</f>
        <v>40366</v>
      </c>
      <c r="G135" s="50">
        <f>VLOOKUP($A135,IRData!$A$2:$N$146,9,FALSE)</f>
        <v>40769.660000000003</v>
      </c>
      <c r="H135" s="50">
        <f>VLOOKUP($A135,IRData!$A$2:$N$146,10,FALSE)</f>
        <v>2718</v>
      </c>
      <c r="I135" s="50">
        <f>VLOOKUP($A135,IRData!$A$2:$N$146,11,FALSE)</f>
        <v>0</v>
      </c>
      <c r="J135" s="52">
        <f>VLOOKUP(A135,IRData!$A$3:$AF$146,32,FALSE)</f>
        <v>705.86460077762604</v>
      </c>
      <c r="K135" s="52">
        <f>VLOOKUP(A135,IRData!$A$3:$AM$146,37,FALSE)</f>
        <v>0</v>
      </c>
      <c r="L135" s="145">
        <f>VLOOKUP($A135,IRData!$A$2:$N$146,13,FALSE)</f>
        <v>431</v>
      </c>
      <c r="M135" s="51">
        <f>L135*Forutsetninger!$C$17</f>
        <v>455.87143900657412</v>
      </c>
      <c r="N135" s="145">
        <f>VLOOKUP(A135,IRData!$A$3:$E$146,5,FALSE)*Forutsetninger!$C$23</f>
        <v>0</v>
      </c>
      <c r="O135" s="145">
        <f>VLOOKUP(A135,IRData!$A$3:$AG$146,19,FALSE)*Forutsetninger!$C$17</f>
        <v>0</v>
      </c>
      <c r="P135" s="52">
        <f t="shared" si="43"/>
        <v>15522.843298859938</v>
      </c>
      <c r="Q135" s="253">
        <f>ROUND(D135+E135+J135+K135+M135+G135*Forutsetninger!$B$5+N135,0)</f>
        <v>18099</v>
      </c>
      <c r="R135" s="53">
        <f>IFERROR((VLOOKUP(A135,'DEAnorm D-nett'!$A$4:$H$134,8,FALSE)+O135),0)</f>
        <v>15803.116250045869</v>
      </c>
      <c r="S135" s="26">
        <f>IFERROR((VLOOKUP(A135,'DEAnorm R-nett'!$A$4:$H$86,8,FALSE)+N135+K135),N135+K135)</f>
        <v>0</v>
      </c>
      <c r="T135" s="151">
        <f>IFERROR(VLOOKUP(A135,IRData!$A$3:$AN$146,40,FALSE),0)</f>
        <v>0</v>
      </c>
      <c r="U135" s="54">
        <f>(1-Forutsetninger!$B$3)*Q135+(R135+S135+T135)*Forutsetninger!$B$3</f>
        <v>16721.469750027522</v>
      </c>
      <c r="V135" s="47">
        <f t="shared" si="44"/>
        <v>1198.6264511675836</v>
      </c>
      <c r="W135" s="208">
        <f t="shared" si="45"/>
        <v>2.9399961912058709E-2</v>
      </c>
      <c r="X135" s="47">
        <f>(R135+S135+T135)-G135*($K$159+$K$153)/Forutsetninger!$B$3</f>
        <v>17735.447783438591</v>
      </c>
      <c r="Y135" s="278">
        <f>ROUND((1-Forutsetninger!$B$3)*Q135+Forutsetninger!$B$3*X135,0)</f>
        <v>17881</v>
      </c>
      <c r="Z135" s="47">
        <v>17862</v>
      </c>
      <c r="AA135" s="73">
        <f t="shared" si="46"/>
        <v>19</v>
      </c>
      <c r="AB135" s="269">
        <f t="shared" si="47"/>
        <v>1.0637106706975702E-3</v>
      </c>
      <c r="AC135" s="66">
        <f t="shared" si="48"/>
        <v>19</v>
      </c>
      <c r="AD135" s="256">
        <f>VLOOKUP(A135,IR2016prnettnivå!$B$2:$K$133,8,FALSE)</f>
        <v>1</v>
      </c>
      <c r="AE135" s="256">
        <f>VLOOKUP(A135,IR2016prnettnivå!$B$2:$K$133,9,FALSE)</f>
        <v>0</v>
      </c>
      <c r="AF135" s="256">
        <f>VLOOKUP(A135,IR2016prnettnivå!$B$2:$K$133,10,FALSE)</f>
        <v>0</v>
      </c>
      <c r="AG135" s="277">
        <f t="shared" si="49"/>
        <v>19</v>
      </c>
      <c r="AH135" s="277">
        <f t="shared" si="50"/>
        <v>0</v>
      </c>
      <c r="AI135" s="277">
        <f t="shared" si="51"/>
        <v>0</v>
      </c>
      <c r="AJ135" s="277">
        <f t="shared" si="52"/>
        <v>0.24320000000000006</v>
      </c>
      <c r="AK135" s="277">
        <f t="shared" si="53"/>
        <v>0</v>
      </c>
      <c r="AL135" s="277">
        <f t="shared" si="54"/>
        <v>0</v>
      </c>
    </row>
    <row r="136" spans="1:39" x14ac:dyDescent="0.2">
      <c r="A136">
        <v>2492014</v>
      </c>
      <c r="B136" s="1" t="s">
        <v>233</v>
      </c>
      <c r="C136" s="99">
        <f>VLOOKUP(A136,IRData!$A$3:$F$146,6,FALSE)</f>
        <v>80295.79541015625</v>
      </c>
      <c r="D136" s="52">
        <f>C136*Forutsetninger!$C$23</f>
        <v>84473.476412403048</v>
      </c>
      <c r="E136" s="50">
        <f>VLOOKUP($A136,IRData!$A$2:$N$146,7,FALSE)</f>
        <v>28319</v>
      </c>
      <c r="F136" s="50">
        <f>VLOOKUP($A136,IRData!$A$2:$N$146,8,FALSE)</f>
        <v>646282</v>
      </c>
      <c r="G136" s="50">
        <f>VLOOKUP($A136,IRData!$A$2:$N$146,9,FALSE)</f>
        <v>652744.82000000007</v>
      </c>
      <c r="H136" s="50">
        <f>VLOOKUP($A136,IRData!$A$2:$N$146,10,FALSE)</f>
        <v>36541</v>
      </c>
      <c r="I136" s="50">
        <f>VLOOKUP($A136,IRData!$A$2:$N$146,11,FALSE)</f>
        <v>18933</v>
      </c>
      <c r="J136" s="52">
        <f>VLOOKUP(A136,IRData!$A$3:$AF$146,32,FALSE)</f>
        <v>8932.4475562870502</v>
      </c>
      <c r="K136" s="52">
        <f>VLOOKUP(A136,IRData!$A$3:$AM$146,37,FALSE)</f>
        <v>4628.1719050705433</v>
      </c>
      <c r="L136" s="145">
        <f>VLOOKUP($A136,IRData!$A$2:$N$146,13,FALSE)</f>
        <v>7132</v>
      </c>
      <c r="M136" s="51">
        <f>L136*Forutsetninger!$C$17</f>
        <v>7543.5617238860477</v>
      </c>
      <c r="N136" s="145">
        <f>VLOOKUP(A136,IRData!$A$3:$E$146,5,FALSE)*Forutsetninger!$C$23</f>
        <v>254.59093078758949</v>
      </c>
      <c r="O136" s="145">
        <f>VLOOKUP(A136,IRData!$A$3:$AG$146,19,FALSE)*Forutsetninger!$C$17</f>
        <v>0</v>
      </c>
      <c r="P136" s="52">
        <f t="shared" si="43"/>
        <v>134151.24852843428</v>
      </c>
      <c r="Q136" s="253">
        <f>ROUND(D136+E136+J136+K136+M136+G136*Forutsetninger!$B$5+N136,0)</f>
        <v>175405</v>
      </c>
      <c r="R136" s="53">
        <f>IFERROR((VLOOKUP(A136,'DEAnorm D-nett'!$A$4:$H$134,8,FALSE)+O136),0)</f>
        <v>111157.34253692321</v>
      </c>
      <c r="S136" s="26">
        <f>IFERROR((VLOOKUP(A136,'DEAnorm R-nett'!$A$4:$H$86,8,FALSE)+N136+K136),N136+K136)</f>
        <v>42822.799954397349</v>
      </c>
      <c r="T136" s="151">
        <f>IFERROR(VLOOKUP(A136,IRData!$A$3:$AN$146,40,FALSE),0)</f>
        <v>0</v>
      </c>
      <c r="U136" s="54">
        <f>(1-Forutsetninger!$B$3)*Q136+(R136+S136+T136)*Forutsetninger!$B$3</f>
        <v>162550.08549479232</v>
      </c>
      <c r="V136" s="47">
        <f t="shared" si="44"/>
        <v>28398.836966358038</v>
      </c>
      <c r="W136" s="208">
        <f t="shared" si="45"/>
        <v>4.3506797903594296E-2</v>
      </c>
      <c r="X136" s="47">
        <f>(R136+S136+T136)-G136*($K$159+$K$153)/Forutsetninger!$B$3</f>
        <v>184917.83976288859</v>
      </c>
      <c r="Y136" s="278">
        <f>ROUND((1-Forutsetninger!$B$3)*Q136+Forutsetninger!$B$3*X136,0)</f>
        <v>181113</v>
      </c>
      <c r="Z136" s="47">
        <v>179263</v>
      </c>
      <c r="AA136" s="73">
        <f t="shared" si="46"/>
        <v>1850</v>
      </c>
      <c r="AB136" s="269">
        <f t="shared" si="47"/>
        <v>1.032003257783257E-2</v>
      </c>
      <c r="AC136" s="66">
        <f t="shared" si="48"/>
        <v>1850</v>
      </c>
      <c r="AD136" s="256">
        <f>VLOOKUP(A136,IR2016prnettnivå!$B$2:$K$133,8,FALSE)</f>
        <v>0.71189258240685471</v>
      </c>
      <c r="AE136" s="256">
        <f>VLOOKUP(A136,IR2016prnettnivå!$B$2:$K$133,9,FALSE)</f>
        <v>0.28810741759314529</v>
      </c>
      <c r="AF136" s="256">
        <f>VLOOKUP(A136,IR2016prnettnivå!$B$2:$K$133,10,FALSE)</f>
        <v>0</v>
      </c>
      <c r="AG136" s="277">
        <f t="shared" si="49"/>
        <v>1317.0012774526813</v>
      </c>
      <c r="AH136" s="277">
        <f t="shared" si="50"/>
        <v>532.99872254731883</v>
      </c>
      <c r="AI136" s="277">
        <f t="shared" si="51"/>
        <v>0</v>
      </c>
      <c r="AJ136" s="277">
        <f t="shared" si="52"/>
        <v>16.857616351394324</v>
      </c>
      <c r="AK136" s="277">
        <f t="shared" si="53"/>
        <v>6.8223836486056824</v>
      </c>
      <c r="AL136" s="277">
        <f t="shared" si="54"/>
        <v>0</v>
      </c>
    </row>
    <row r="137" spans="1:39" x14ac:dyDescent="0.2">
      <c r="A137">
        <v>4642014</v>
      </c>
      <c r="B137" s="1" t="s">
        <v>120</v>
      </c>
      <c r="C137" s="99">
        <f>VLOOKUP(A137,IRData!$A$3:$F$146,6,FALSE)</f>
        <v>51613.715148925781</v>
      </c>
      <c r="D137" s="52">
        <f>C137*Forutsetninger!$C$23</f>
        <v>54299.10653376249</v>
      </c>
      <c r="E137" s="50">
        <f>VLOOKUP($A137,IRData!$A$2:$N$146,7,FALSE)</f>
        <v>15584</v>
      </c>
      <c r="F137" s="50">
        <f>VLOOKUP($A137,IRData!$A$2:$N$146,8,FALSE)</f>
        <v>215867</v>
      </c>
      <c r="G137" s="50">
        <f>VLOOKUP($A137,IRData!$A$2:$N$146,9,FALSE)</f>
        <v>218025.67</v>
      </c>
      <c r="H137" s="50">
        <f>VLOOKUP($A137,IRData!$A$2:$N$146,10,FALSE)</f>
        <v>13550</v>
      </c>
      <c r="I137" s="50">
        <f>VLOOKUP($A137,IRData!$A$2:$N$146,11,FALSE)</f>
        <v>9001</v>
      </c>
      <c r="J137" s="52">
        <f>VLOOKUP(A137,IRData!$A$3:$AF$146,32,FALSE)</f>
        <v>3312.2975394129753</v>
      </c>
      <c r="K137" s="52">
        <f>VLOOKUP(A137,IRData!$A$3:$AM$146,37,FALSE)</f>
        <v>2200.2944761812687</v>
      </c>
      <c r="L137" s="145">
        <f>VLOOKUP($A137,IRData!$A$2:$N$146,13,FALSE)</f>
        <v>5748</v>
      </c>
      <c r="M137" s="51">
        <f>L137*Forutsetninger!$C$17</f>
        <v>6079.6961285609932</v>
      </c>
      <c r="N137" s="145">
        <f>VLOOKUP(A137,IRData!$A$3:$E$146,5,FALSE)*Forutsetninger!$C$23</f>
        <v>0</v>
      </c>
      <c r="O137" s="145">
        <f>VLOOKUP(A137,IRData!$A$3:$AG$146,19,FALSE)*Forutsetninger!$C$17</f>
        <v>0</v>
      </c>
      <c r="P137" s="52">
        <f t="shared" si="43"/>
        <v>81475.39467791772</v>
      </c>
      <c r="Q137" s="253">
        <f>ROUND(D137+E137+J137+K137+M137+G137*Forutsetninger!$B$5+N137,0)</f>
        <v>95255</v>
      </c>
      <c r="R137" s="53">
        <f>IFERROR((VLOOKUP(A137,'DEAnorm D-nett'!$A$4:$H$134,8,FALSE)+O137),0)</f>
        <v>71570.162889905681</v>
      </c>
      <c r="S137" s="26">
        <f>IFERROR((VLOOKUP(A137,'DEAnorm R-nett'!$A$4:$H$86,8,FALSE)+N137+K137),N137+K137)</f>
        <v>12881.849076571812</v>
      </c>
      <c r="T137" s="151">
        <f>IFERROR(VLOOKUP(A137,IRData!$A$3:$AN$146,40,FALSE),0)</f>
        <v>0</v>
      </c>
      <c r="U137" s="54">
        <f>(1-Forutsetninger!$B$3)*Q137+(R137+S137+T137)*Forutsetninger!$B$3</f>
        <v>88773.207179886493</v>
      </c>
      <c r="V137" s="47">
        <f t="shared" si="44"/>
        <v>7297.8125019687723</v>
      </c>
      <c r="W137" s="208">
        <f t="shared" si="45"/>
        <v>3.347226270176705E-2</v>
      </c>
      <c r="X137" s="47">
        <f>(R137+S137+T137)-G137*($K$159+$K$153)/Forutsetninger!$B$3</f>
        <v>94785.624688047305</v>
      </c>
      <c r="Y137" s="278">
        <f>ROUND((1-Forutsetninger!$B$3)*Q137+Forutsetninger!$B$3*X137,0)</f>
        <v>94973</v>
      </c>
      <c r="Z137" s="47">
        <v>94677</v>
      </c>
      <c r="AA137" s="73">
        <f t="shared" si="46"/>
        <v>296</v>
      </c>
      <c r="AB137" s="269">
        <f t="shared" si="47"/>
        <v>3.1264192993018369E-3</v>
      </c>
      <c r="AC137" s="66">
        <f t="shared" si="48"/>
        <v>296</v>
      </c>
      <c r="AD137" s="256">
        <f>VLOOKUP(A137,IR2016prnettnivå!$B$2:$K$133,8,FALSE)</f>
        <v>0.86112783463776843</v>
      </c>
      <c r="AE137" s="256">
        <f>VLOOKUP(A137,IR2016prnettnivå!$B$2:$K$133,9,FALSE)</f>
        <v>0.1388721653622316</v>
      </c>
      <c r="AF137" s="256">
        <f>VLOOKUP(A137,IR2016prnettnivå!$B$2:$K$133,10,FALSE)</f>
        <v>0</v>
      </c>
      <c r="AG137" s="277">
        <f t="shared" si="49"/>
        <v>254.89383905277947</v>
      </c>
      <c r="AH137" s="277">
        <f t="shared" si="50"/>
        <v>41.106160947220552</v>
      </c>
      <c r="AI137" s="277">
        <f t="shared" si="51"/>
        <v>0</v>
      </c>
      <c r="AJ137" s="277">
        <f t="shared" si="52"/>
        <v>3.2626411398755777</v>
      </c>
      <c r="AK137" s="277">
        <f t="shared" si="53"/>
        <v>0.52615886012442314</v>
      </c>
      <c r="AL137" s="277">
        <f t="shared" si="54"/>
        <v>0</v>
      </c>
    </row>
    <row r="138" spans="1:39" x14ac:dyDescent="0.2">
      <c r="A138">
        <v>2512014</v>
      </c>
      <c r="B138" s="1" t="s">
        <v>234</v>
      </c>
      <c r="C138" s="99">
        <f>VLOOKUP(A138,IRData!$A$3:$F$146,6,FALSE)</f>
        <v>52545.549499511719</v>
      </c>
      <c r="D138" s="52">
        <f>C138*Forutsetninger!$C$23</f>
        <v>55279.422957958865</v>
      </c>
      <c r="E138" s="50">
        <f>VLOOKUP($A138,IRData!$A$2:$N$146,7,FALSE)</f>
        <v>18712</v>
      </c>
      <c r="F138" s="50">
        <f>VLOOKUP($A138,IRData!$A$2:$N$146,8,FALSE)</f>
        <v>322246</v>
      </c>
      <c r="G138" s="50">
        <f>VLOOKUP($A138,IRData!$A$2:$N$146,9,FALSE)</f>
        <v>325468.46000000002</v>
      </c>
      <c r="H138" s="50">
        <f>VLOOKUP($A138,IRData!$A$2:$N$146,10,FALSE)</f>
        <v>14055</v>
      </c>
      <c r="I138" s="50">
        <f>VLOOKUP($A138,IRData!$A$2:$N$146,11,FALSE)</f>
        <v>21068</v>
      </c>
      <c r="J138" s="52">
        <f>VLOOKUP(A138,IRData!$A$3:$AF$146,32,FALSE)</f>
        <v>3483.5317620635033</v>
      </c>
      <c r="K138" s="52">
        <f>VLOOKUP(A138,IRData!$A$3:$AM$146,37,FALSE)</f>
        <v>5221.7038180828094</v>
      </c>
      <c r="L138" s="145">
        <f>VLOOKUP($A138,IRData!$A$2:$N$146,13,FALSE)</f>
        <v>7927</v>
      </c>
      <c r="M138" s="51">
        <f>L138*Forutsetninger!$C$17</f>
        <v>8384.4382761139514</v>
      </c>
      <c r="N138" s="145">
        <f>VLOOKUP(A138,IRData!$A$3:$E$146,5,FALSE)*Forutsetninger!$C$23</f>
        <v>0</v>
      </c>
      <c r="O138" s="145">
        <f>VLOOKUP(A138,IRData!$A$3:$AG$146,19,FALSE)*Forutsetninger!$C$17</f>
        <v>0</v>
      </c>
      <c r="P138" s="52">
        <f t="shared" si="43"/>
        <v>91081.096814219127</v>
      </c>
      <c r="Q138" s="253">
        <f>ROUND(D138+E138+J138+K138+M138+G138*Forutsetninger!$B$5+N138,0)</f>
        <v>111651</v>
      </c>
      <c r="R138" s="53">
        <f>IFERROR((VLOOKUP(A138,'DEAnorm D-nett'!$A$4:$H$134,8,FALSE)+O138),0)</f>
        <v>97354.624176622063</v>
      </c>
      <c r="S138" s="26">
        <f>IFERROR((VLOOKUP(A138,'DEAnorm R-nett'!$A$4:$H$86,8,FALSE)+N138+K138),N138+K138)</f>
        <v>18017.446320583153</v>
      </c>
      <c r="T138" s="151">
        <f>IFERROR(VLOOKUP(A138,IRData!$A$3:$AN$146,40,FALSE),0)</f>
        <v>0</v>
      </c>
      <c r="U138" s="54">
        <f>(1-Forutsetninger!$B$3)*Q138+(R138+S138+T138)*Forutsetninger!$B$3</f>
        <v>113883.64229832313</v>
      </c>
      <c r="V138" s="47">
        <f t="shared" si="44"/>
        <v>22802.545484104005</v>
      </c>
      <c r="W138" s="208">
        <f t="shared" si="45"/>
        <v>7.0060691853533225E-2</v>
      </c>
      <c r="X138" s="47">
        <f>(R138+S138+T138)-G138*($K$159+$K$153)/Forutsetninger!$B$3</f>
        <v>130798.0752365817</v>
      </c>
      <c r="Y138" s="278">
        <f>ROUND((1-Forutsetninger!$B$3)*Q138+Forutsetninger!$B$3*X138,0)</f>
        <v>123139</v>
      </c>
      <c r="Z138" s="47">
        <v>123146</v>
      </c>
      <c r="AA138" s="73">
        <f t="shared" si="46"/>
        <v>-7</v>
      </c>
      <c r="AB138" s="269">
        <f t="shared" si="47"/>
        <v>-5.6843096811914311E-5</v>
      </c>
      <c r="AC138" s="66">
        <f t="shared" si="48"/>
        <v>0</v>
      </c>
      <c r="AD138" s="256">
        <f>VLOOKUP(A138,IR2016prnettnivå!$B$2:$K$133,8,FALSE)</f>
        <v>0.87507511409221572</v>
      </c>
      <c r="AE138" s="256">
        <f>VLOOKUP(A138,IR2016prnettnivå!$B$2:$K$133,9,FALSE)</f>
        <v>0.12492488590778425</v>
      </c>
      <c r="AF138" s="256">
        <f>VLOOKUP(A138,IR2016prnettnivå!$B$2:$K$133,10,FALSE)</f>
        <v>0</v>
      </c>
      <c r="AG138" s="277">
        <f t="shared" si="49"/>
        <v>0</v>
      </c>
      <c r="AH138" s="277">
        <f t="shared" si="50"/>
        <v>0</v>
      </c>
      <c r="AI138" s="277">
        <f t="shared" si="51"/>
        <v>0</v>
      </c>
      <c r="AJ138" s="277">
        <f t="shared" si="52"/>
        <v>0</v>
      </c>
      <c r="AK138" s="277">
        <f t="shared" si="53"/>
        <v>0</v>
      </c>
      <c r="AL138" s="277">
        <f t="shared" si="54"/>
        <v>0</v>
      </c>
    </row>
    <row r="139" spans="1:39" x14ac:dyDescent="0.2">
      <c r="A139">
        <v>3072014</v>
      </c>
      <c r="B139" s="1" t="s">
        <v>113</v>
      </c>
      <c r="C139" s="99">
        <f>VLOOKUP(A139,IRData!$A$3:$F$146,6,FALSE)</f>
        <v>366</v>
      </c>
      <c r="D139" s="52">
        <f>C139*Forutsetninger!$C$23</f>
        <v>385.04248210023866</v>
      </c>
      <c r="E139" s="50">
        <f>VLOOKUP($A139,IRData!$A$2:$N$146,7,FALSE)</f>
        <v>73</v>
      </c>
      <c r="F139" s="50">
        <f>VLOOKUP($A139,IRData!$A$2:$N$146,8,FALSE)</f>
        <v>1031</v>
      </c>
      <c r="G139" s="50">
        <f>VLOOKUP($A139,IRData!$A$2:$N$146,9,FALSE)</f>
        <v>1041.31</v>
      </c>
      <c r="H139" s="50">
        <f>VLOOKUP($A139,IRData!$A$2:$N$146,10,FALSE)</f>
        <v>0</v>
      </c>
      <c r="I139" s="50">
        <f>VLOOKUP($A139,IRData!$A$2:$N$146,11,FALSE)</f>
        <v>0</v>
      </c>
      <c r="J139" s="52">
        <f>VLOOKUP(A139,IRData!$A$3:$AF$146,32,FALSE)</f>
        <v>0</v>
      </c>
      <c r="K139" s="52">
        <f>VLOOKUP(A139,IRData!$A$3:$AM$146,37,FALSE)</f>
        <v>0</v>
      </c>
      <c r="L139" s="145">
        <f>VLOOKUP($A139,IRData!$A$2:$N$146,13,FALSE)</f>
        <v>0</v>
      </c>
      <c r="M139" s="51">
        <f>L139*Forutsetninger!$C$17</f>
        <v>0</v>
      </c>
      <c r="N139" s="145">
        <f>VLOOKUP(A139,IRData!$A$3:$E$146,5,FALSE)*Forutsetninger!$C$23</f>
        <v>0</v>
      </c>
      <c r="O139" s="145">
        <f>VLOOKUP(A139,IRData!$A$3:$AG$146,19,FALSE)*Forutsetninger!$C$17</f>
        <v>0</v>
      </c>
      <c r="P139" s="52">
        <f t="shared" si="43"/>
        <v>458.04248210023866</v>
      </c>
      <c r="Q139" s="253">
        <f>ROUND(D139+E139+J139+K139+M139+G139*Forutsetninger!$B$5+N139,0)</f>
        <v>524</v>
      </c>
      <c r="R139" s="53">
        <f>IFERROR((VLOOKUP(A139,'DEAnorm D-nett'!$A$4:$H$134,8,FALSE)+O139),0)</f>
        <v>0</v>
      </c>
      <c r="S139" s="26">
        <f>IFERROR((VLOOKUP(A139,'DEAnorm R-nett'!$A$4:$H$86,8,FALSE)+N139+K139),N139+K139)</f>
        <v>592.74497849606325</v>
      </c>
      <c r="T139" s="151">
        <f>IFERROR(VLOOKUP(A139,IRData!$A$3:$AN$146,40,FALSE),0)</f>
        <v>0</v>
      </c>
      <c r="U139" s="54">
        <f>(1-Forutsetninger!$B$3)*Q139+(R139+S139+T139)*Forutsetninger!$B$3</f>
        <v>565.24698709763788</v>
      </c>
      <c r="V139" s="47">
        <f t="shared" si="44"/>
        <v>107.20450499739923</v>
      </c>
      <c r="W139" s="208">
        <f t="shared" si="45"/>
        <v>0.10295157541692602</v>
      </c>
      <c r="X139" s="47">
        <f>(R139+S139+T139)-G139*($K$159+$K$153)/Forutsetninger!$B$3</f>
        <v>642.09923234652888</v>
      </c>
      <c r="Y139" s="278">
        <f>ROUND((1-Forutsetninger!$B$3)*Q139+Forutsetninger!$B$3*X139,0)</f>
        <v>595</v>
      </c>
      <c r="Z139" s="47">
        <v>595</v>
      </c>
      <c r="AA139" s="73">
        <f t="shared" si="46"/>
        <v>0</v>
      </c>
      <c r="AB139" s="269">
        <f t="shared" si="47"/>
        <v>0</v>
      </c>
      <c r="AC139" s="66">
        <f t="shared" si="48"/>
        <v>0</v>
      </c>
      <c r="AD139" s="256"/>
      <c r="AE139" s="256"/>
      <c r="AF139" s="256"/>
      <c r="AG139" s="277">
        <f t="shared" si="49"/>
        <v>0</v>
      </c>
      <c r="AH139" s="277">
        <f t="shared" si="50"/>
        <v>0</v>
      </c>
      <c r="AI139" s="277">
        <f t="shared" si="51"/>
        <v>0</v>
      </c>
      <c r="AJ139" s="277">
        <f t="shared" si="52"/>
        <v>0</v>
      </c>
      <c r="AK139" s="277">
        <f t="shared" si="53"/>
        <v>0</v>
      </c>
      <c r="AL139" s="277">
        <f t="shared" si="54"/>
        <v>0</v>
      </c>
      <c r="AM139" s="66" t="s">
        <v>502</v>
      </c>
    </row>
    <row r="140" spans="1:39" x14ac:dyDescent="0.2">
      <c r="A140">
        <v>5422014</v>
      </c>
      <c r="B140" s="1" t="s">
        <v>12</v>
      </c>
      <c r="C140" s="99">
        <f>VLOOKUP(A140,IRData!$A$3:$F$146,6,FALSE)</f>
        <v>35509.355495929718</v>
      </c>
      <c r="D140" s="52">
        <f>C140*Forutsetninger!$C$23</f>
        <v>37356.858956099808</v>
      </c>
      <c r="E140" s="50">
        <f>VLOOKUP($A140,IRData!$A$2:$N$146,7,FALSE)</f>
        <v>13513</v>
      </c>
      <c r="F140" s="50">
        <f>VLOOKUP($A140,IRData!$A$2:$N$146,8,FALSE)</f>
        <v>206714</v>
      </c>
      <c r="G140" s="50">
        <f>VLOOKUP($A140,IRData!$A$2:$N$146,9,FALSE)</f>
        <v>208781.14</v>
      </c>
      <c r="H140" s="50">
        <f>VLOOKUP($A140,IRData!$A$2:$N$146,10,FALSE)</f>
        <v>14753</v>
      </c>
      <c r="I140" s="50">
        <f>VLOOKUP($A140,IRData!$A$2:$N$146,11,FALSE)</f>
        <v>0</v>
      </c>
      <c r="J140" s="52">
        <f>VLOOKUP(A140,IRData!$A$3:$AF$146,32,FALSE)</f>
        <v>3831.3541042208672</v>
      </c>
      <c r="K140" s="52">
        <f>VLOOKUP(A140,IRData!$A$3:$AM$146,37,FALSE)</f>
        <v>0</v>
      </c>
      <c r="L140" s="145">
        <f>VLOOKUP($A140,IRData!$A$2:$N$146,13,FALSE)</f>
        <v>5144</v>
      </c>
      <c r="M140" s="51">
        <f>L140*Forutsetninger!$C$17</f>
        <v>5440.8414901387878</v>
      </c>
      <c r="N140" s="145">
        <f>VLOOKUP(A140,IRData!$A$3:$E$146,5,FALSE)*Forutsetninger!$C$23</f>
        <v>0</v>
      </c>
      <c r="O140" s="145">
        <f>VLOOKUP(A140,IRData!$A$3:$AG$146,19,FALSE)*Forutsetninger!$C$17</f>
        <v>974.47543934612395</v>
      </c>
      <c r="P140" s="52">
        <f t="shared" si="43"/>
        <v>60142.054550459463</v>
      </c>
      <c r="Q140" s="253">
        <f>ROUND(D140+E140+J140+K140+M140+G140*Forutsetninger!$B$5+N140,0)</f>
        <v>73337</v>
      </c>
      <c r="R140" s="53">
        <f>IFERROR((VLOOKUP(A140,'DEAnorm D-nett'!$A$4:$H$134,8,FALSE)+O140),0)</f>
        <v>73627.344054027955</v>
      </c>
      <c r="S140" s="26">
        <f>IFERROR((VLOOKUP(A140,'DEAnorm R-nett'!$A$4:$H$86,8,FALSE)+N140+K140),N140+K140)</f>
        <v>535.01978615350765</v>
      </c>
      <c r="T140" s="151">
        <f>IFERROR(VLOOKUP(A140,IRData!$A$3:$AN$146,40,FALSE),0)</f>
        <v>0</v>
      </c>
      <c r="U140" s="54">
        <f>(1-Forutsetninger!$B$3)*Q140+(R140+S140+T140)*Forutsetninger!$B$3</f>
        <v>73832.218304108887</v>
      </c>
      <c r="V140" s="47">
        <f t="shared" si="44"/>
        <v>13690.163753649424</v>
      </c>
      <c r="W140" s="208">
        <f t="shared" si="45"/>
        <v>6.5571841180910417E-2</v>
      </c>
      <c r="X140" s="47">
        <f>(R140+S140+T140)-G140*($K$159+$K$153)/Forutsetninger!$B$3</f>
        <v>84057.819931786857</v>
      </c>
      <c r="Y140" s="278">
        <f>ROUND((1-Forutsetninger!$B$3)*Q140+Forutsetninger!$B$3*X140,0)</f>
        <v>79769</v>
      </c>
      <c r="Z140" s="47">
        <v>79801</v>
      </c>
      <c r="AA140" s="73">
        <f t="shared" si="46"/>
        <v>-32</v>
      </c>
      <c r="AB140" s="269">
        <f t="shared" si="47"/>
        <v>-4.0099748123457101E-4</v>
      </c>
      <c r="AC140" s="66">
        <f t="shared" si="48"/>
        <v>0</v>
      </c>
      <c r="AD140" s="256">
        <f>VLOOKUP(A140,IR2016prnettnivå!$B$2:$K$133,8,FALSE)</f>
        <v>1</v>
      </c>
      <c r="AE140" s="256">
        <f>VLOOKUP(A140,IR2016prnettnivå!$B$2:$K$133,9,FALSE)</f>
        <v>0</v>
      </c>
      <c r="AF140" s="256">
        <f>VLOOKUP(A140,IR2016prnettnivå!$B$2:$K$133,10,FALSE)</f>
        <v>0</v>
      </c>
      <c r="AG140" s="277">
        <f t="shared" si="49"/>
        <v>0</v>
      </c>
      <c r="AH140" s="277">
        <f t="shared" si="50"/>
        <v>0</v>
      </c>
      <c r="AI140" s="277">
        <f t="shared" si="51"/>
        <v>0</v>
      </c>
      <c r="AJ140" s="277">
        <f t="shared" si="52"/>
        <v>0</v>
      </c>
      <c r="AK140" s="277">
        <f t="shared" si="53"/>
        <v>0</v>
      </c>
      <c r="AL140" s="277">
        <f t="shared" si="54"/>
        <v>0</v>
      </c>
    </row>
    <row r="141" spans="1:39" x14ac:dyDescent="0.2">
      <c r="A141">
        <v>6252014</v>
      </c>
      <c r="B141" s="1" t="s">
        <v>130</v>
      </c>
      <c r="C141" s="99">
        <f>VLOOKUP(A141,IRData!$A$3:$F$146,6,FALSE)</f>
        <v>39083.826354980469</v>
      </c>
      <c r="D141" s="52">
        <f>C141*Forutsetninger!$C$23</f>
        <v>41117.304671301645</v>
      </c>
      <c r="E141" s="50">
        <f>VLOOKUP($A141,IRData!$A$2:$N$146,7,FALSE)</f>
        <v>15039</v>
      </c>
      <c r="F141" s="50">
        <f>VLOOKUP($A141,IRData!$A$2:$N$146,8,FALSE)</f>
        <v>255235</v>
      </c>
      <c r="G141" s="50">
        <f>VLOOKUP($A141,IRData!$A$2:$N$146,9,FALSE)</f>
        <v>257787.35</v>
      </c>
      <c r="H141" s="50">
        <f>VLOOKUP($A141,IRData!$A$2:$N$146,10,FALSE)</f>
        <v>14711</v>
      </c>
      <c r="I141" s="50">
        <f>VLOOKUP($A141,IRData!$A$2:$N$146,11,FALSE)</f>
        <v>4799</v>
      </c>
      <c r="J141" s="52">
        <f>VLOOKUP(A141,IRData!$A$3:$AF$146,32,FALSE)</f>
        <v>3629.0566644966602</v>
      </c>
      <c r="K141" s="52">
        <f>VLOOKUP(A141,IRData!$A$3:$AM$146,37,FALSE)</f>
        <v>1183.865334302187</v>
      </c>
      <c r="L141" s="145">
        <f>VLOOKUP($A141,IRData!$A$2:$N$146,13,FALSE)</f>
        <v>2860</v>
      </c>
      <c r="M141" s="51">
        <f>L141*Forutsetninger!$C$17</f>
        <v>3025.0401753104456</v>
      </c>
      <c r="N141" s="145">
        <f>VLOOKUP(A141,IRData!$A$3:$E$146,5,FALSE)*Forutsetninger!$C$23</f>
        <v>0</v>
      </c>
      <c r="O141" s="145">
        <f>VLOOKUP(A141,IRData!$A$3:$AG$146,19,FALSE)*Forutsetninger!$C$17</f>
        <v>0</v>
      </c>
      <c r="P141" s="52">
        <f t="shared" si="43"/>
        <v>63994.266845410937</v>
      </c>
      <c r="Q141" s="253">
        <f>ROUND(D141+E141+J141+K141+M141+G141*Forutsetninger!$B$5+N141,0)</f>
        <v>80286</v>
      </c>
      <c r="R141" s="53">
        <f>IFERROR((VLOOKUP(A141,'DEAnorm D-nett'!$A$4:$H$134,8,FALSE)+O141),0)</f>
        <v>59818.59777097527</v>
      </c>
      <c r="S141" s="26">
        <f>IFERROR((VLOOKUP(A141,'DEAnorm R-nett'!$A$4:$H$86,8,FALSE)+N141+K141),N141+K141)</f>
        <v>11601.145648356403</v>
      </c>
      <c r="T141" s="151">
        <f>IFERROR(VLOOKUP(A141,IRData!$A$3:$AN$146,40,FALSE),0)</f>
        <v>0</v>
      </c>
      <c r="U141" s="54">
        <f>(1-Forutsetninger!$B$3)*Q141+(R141+S141+T141)*Forutsetninger!$B$3</f>
        <v>74966.24605159901</v>
      </c>
      <c r="V141" s="47">
        <f t="shared" si="44"/>
        <v>10971.979206188073</v>
      </c>
      <c r="W141" s="208">
        <f t="shared" si="45"/>
        <v>4.2562131951734916E-2</v>
      </c>
      <c r="X141" s="47">
        <f>(R141+S141+T141)-G141*($K$159+$K$153)/Forutsetninger!$B$3</f>
        <v>83637.913139529148</v>
      </c>
      <c r="Y141" s="278">
        <f>ROUND((1-Forutsetninger!$B$3)*Q141+Forutsetninger!$B$3*X141,0)</f>
        <v>82297</v>
      </c>
      <c r="Z141" s="47">
        <v>82247</v>
      </c>
      <c r="AA141" s="73">
        <f t="shared" si="46"/>
        <v>50</v>
      </c>
      <c r="AB141" s="269">
        <f t="shared" si="47"/>
        <v>6.0792490911522605E-4</v>
      </c>
      <c r="AC141" s="66">
        <f t="shared" si="48"/>
        <v>50</v>
      </c>
      <c r="AD141" s="256">
        <f>VLOOKUP(A141,IR2016prnettnivå!$B$2:$K$133,8,FALSE)</f>
        <v>1</v>
      </c>
      <c r="AE141" s="256">
        <f>VLOOKUP(A141,IR2016prnettnivå!$B$2:$K$133,9,FALSE)</f>
        <v>0</v>
      </c>
      <c r="AF141" s="256">
        <f>VLOOKUP(A141,IR2016prnettnivå!$B$2:$K$133,10,FALSE)</f>
        <v>0</v>
      </c>
      <c r="AG141" s="277">
        <f t="shared" si="49"/>
        <v>50</v>
      </c>
      <c r="AH141" s="277">
        <f t="shared" si="50"/>
        <v>0</v>
      </c>
      <c r="AI141" s="277">
        <f t="shared" si="51"/>
        <v>0</v>
      </c>
      <c r="AJ141" s="277">
        <f t="shared" si="52"/>
        <v>0.64000000000000012</v>
      </c>
      <c r="AK141" s="277">
        <f t="shared" si="53"/>
        <v>0</v>
      </c>
      <c r="AL141" s="277">
        <f t="shared" si="54"/>
        <v>0</v>
      </c>
    </row>
    <row r="142" spans="1:39" x14ac:dyDescent="0.2">
      <c r="A142">
        <v>6862014</v>
      </c>
      <c r="B142" s="1" t="s">
        <v>64</v>
      </c>
      <c r="C142" s="99">
        <f>VLOOKUP(A142,IRData!$A$3:$F$146,6,FALSE)</f>
        <v>14394.782958984375</v>
      </c>
      <c r="D142" s="52">
        <f>C142*Forutsetninger!$C$23</f>
        <v>15143.723933938692</v>
      </c>
      <c r="E142" s="50">
        <f>VLOOKUP($A142,IRData!$A$2:$N$146,7,FALSE)</f>
        <v>1114</v>
      </c>
      <c r="F142" s="50">
        <f>VLOOKUP($A142,IRData!$A$2:$N$146,8,FALSE)</f>
        <v>20006</v>
      </c>
      <c r="G142" s="50">
        <f>VLOOKUP($A142,IRData!$A$2:$N$146,9,FALSE)</f>
        <v>20206.060000000001</v>
      </c>
      <c r="H142" s="50">
        <f>VLOOKUP($A142,IRData!$A$2:$N$146,10,FALSE)</f>
        <v>3365</v>
      </c>
      <c r="I142" s="50">
        <f>VLOOKUP($A142,IRData!$A$2:$N$146,11,FALSE)</f>
        <v>0</v>
      </c>
      <c r="J142" s="52">
        <f>VLOOKUP(A142,IRData!$A$3:$AF$146,32,FALSE)</f>
        <v>822.57425978779793</v>
      </c>
      <c r="K142" s="52">
        <f>VLOOKUP(A142,IRData!$A$3:$AM$146,37,FALSE)</f>
        <v>0</v>
      </c>
      <c r="L142" s="145">
        <f>VLOOKUP($A142,IRData!$A$2:$N$146,13,FALSE)</f>
        <v>0</v>
      </c>
      <c r="M142" s="51">
        <f>L142*Forutsetninger!$C$17</f>
        <v>0</v>
      </c>
      <c r="N142" s="145">
        <f>VLOOKUP(A142,IRData!$A$3:$E$146,5,FALSE)*Forutsetninger!$C$23</f>
        <v>0</v>
      </c>
      <c r="O142" s="145">
        <f>VLOOKUP(A142,IRData!$A$3:$AG$146,19,FALSE)*Forutsetninger!$C$17</f>
        <v>0</v>
      </c>
      <c r="P142" s="52">
        <f t="shared" si="43"/>
        <v>17080.298193726492</v>
      </c>
      <c r="Q142" s="253">
        <f>ROUND(D142+E142+J142+K142+M142+G142*Forutsetninger!$B$5+N142,0)</f>
        <v>18357</v>
      </c>
      <c r="R142" s="53">
        <f>IFERROR((VLOOKUP(A142,'DEAnorm D-nett'!$A$4:$H$134,8,FALSE)+O142),0)</f>
        <v>15110.290204862766</v>
      </c>
      <c r="S142" s="26">
        <f>IFERROR((VLOOKUP(A142,'DEAnorm R-nett'!$A$4:$H$86,8,FALSE)+N142+K142),N142+K142)</f>
        <v>1048.5171851774428</v>
      </c>
      <c r="T142" s="151">
        <f>IFERROR(VLOOKUP(A142,IRData!$A$3:$AN$146,40,FALSE),0)</f>
        <v>0</v>
      </c>
      <c r="U142" s="54">
        <f>(1-Forutsetninger!$B$3)*Q142+(R142+S142+T142)*Forutsetninger!$B$3</f>
        <v>17038.084434024124</v>
      </c>
      <c r="V142" s="47">
        <f t="shared" si="44"/>
        <v>-42.213759702368407</v>
      </c>
      <c r="W142" s="208">
        <f t="shared" si="45"/>
        <v>-2.0891633352750809E-3</v>
      </c>
      <c r="X142" s="47">
        <f>(R142+S142+T142)-G142*($K$159+$K$153)/Forutsetninger!$B$3</f>
        <v>17116.500118005693</v>
      </c>
      <c r="Y142" s="278">
        <f>ROUND((1-Forutsetninger!$B$3)*Q142+Forutsetninger!$B$3*X142,0)</f>
        <v>17613</v>
      </c>
      <c r="Z142" s="47">
        <v>17619</v>
      </c>
      <c r="AA142" s="73">
        <f t="shared" si="46"/>
        <v>-6</v>
      </c>
      <c r="AB142" s="269">
        <f t="shared" si="47"/>
        <v>-3.4054146092286734E-4</v>
      </c>
      <c r="AC142" s="66">
        <f t="shared" si="48"/>
        <v>0</v>
      </c>
      <c r="AD142" s="256">
        <f>VLOOKUP(A142,IR2016prnettnivå!$B$2:$K$133,8,FALSE)</f>
        <v>0.9012429763323685</v>
      </c>
      <c r="AE142" s="256">
        <f>VLOOKUP(A142,IR2016prnettnivå!$B$2:$K$133,9,FALSE)</f>
        <v>9.8757023667631533E-2</v>
      </c>
      <c r="AF142" s="256">
        <f>VLOOKUP(A142,IR2016prnettnivå!$B$2:$K$133,10,FALSE)</f>
        <v>0</v>
      </c>
      <c r="AG142" s="277">
        <f t="shared" si="49"/>
        <v>0</v>
      </c>
      <c r="AH142" s="277">
        <f t="shared" si="50"/>
        <v>0</v>
      </c>
      <c r="AI142" s="277">
        <f t="shared" si="51"/>
        <v>0</v>
      </c>
      <c r="AJ142" s="277">
        <f t="shared" si="52"/>
        <v>0</v>
      </c>
      <c r="AK142" s="277">
        <f t="shared" si="53"/>
        <v>0</v>
      </c>
      <c r="AL142" s="277">
        <f t="shared" si="54"/>
        <v>0</v>
      </c>
    </row>
    <row r="143" spans="1:39" x14ac:dyDescent="0.2">
      <c r="A143">
        <v>1332014</v>
      </c>
      <c r="B143" s="1" t="s">
        <v>83</v>
      </c>
      <c r="C143" s="99">
        <f>VLOOKUP(A143,IRData!$A$3:$F$146,6,FALSE)</f>
        <v>42576.768692016602</v>
      </c>
      <c r="D143" s="52">
        <f>C143*Forutsetninger!$C$23</f>
        <v>44791.98004639837</v>
      </c>
      <c r="E143" s="50">
        <f>VLOOKUP($A143,IRData!$A$2:$N$146,7,FALSE)</f>
        <v>17931</v>
      </c>
      <c r="F143" s="50">
        <f>VLOOKUP($A143,IRData!$A$2:$N$146,8,FALSE)</f>
        <v>212281</v>
      </c>
      <c r="G143" s="50">
        <f>VLOOKUP($A143,IRData!$A$2:$N$146,9,FALSE)</f>
        <v>214403.81</v>
      </c>
      <c r="H143" s="50">
        <f>VLOOKUP($A143,IRData!$A$2:$N$146,10,FALSE)</f>
        <v>14141</v>
      </c>
      <c r="I143" s="50">
        <f>VLOOKUP($A143,IRData!$A$2:$N$146,11,FALSE)</f>
        <v>6977</v>
      </c>
      <c r="J143" s="52">
        <f>VLOOKUP(A143,IRData!$A$3:$AF$146,32,FALSE)</f>
        <v>3456.767491132021</v>
      </c>
      <c r="K143" s="52">
        <f>VLOOKUP(A143,IRData!$A$3:$AM$146,37,FALSE)</f>
        <v>1705.5276702940464</v>
      </c>
      <c r="L143" s="145">
        <f>VLOOKUP($A143,IRData!$A$2:$N$146,13,FALSE)</f>
        <v>4257</v>
      </c>
      <c r="M143" s="51">
        <f>L143*Forutsetninger!$C$17</f>
        <v>4502.655953250548</v>
      </c>
      <c r="N143" s="145">
        <f>VLOOKUP(A143,IRData!$A$3:$E$146,5,FALSE)*Forutsetninger!$C$23</f>
        <v>0</v>
      </c>
      <c r="O143" s="145">
        <f>VLOOKUP(A143,IRData!$A$3:$AG$146,19,FALSE)*Forutsetninger!$C$17</f>
        <v>0</v>
      </c>
      <c r="P143" s="52">
        <f t="shared" si="43"/>
        <v>72387.931161074986</v>
      </c>
      <c r="Q143" s="253">
        <f>ROUND(D143+E143+J143+K143+M143+G143*Forutsetninger!$B$5+N143,0)</f>
        <v>85938</v>
      </c>
      <c r="R143" s="53">
        <f>IFERROR((VLOOKUP(A143,'DEAnorm D-nett'!$A$4:$H$134,8,FALSE)+O143),0)</f>
        <v>70694.54233406375</v>
      </c>
      <c r="S143" s="26">
        <f>IFERROR((VLOOKUP(A143,'DEAnorm R-nett'!$A$4:$H$86,8,FALSE)+N143+K143),N143+K143)</f>
        <v>23954.463751556272</v>
      </c>
      <c r="T143" s="151">
        <f>IFERROR(VLOOKUP(A143,IRData!$A$3:$AN$146,40,FALSE),0)</f>
        <v>0</v>
      </c>
      <c r="U143" s="54">
        <f>(1-Forutsetninger!$B$3)*Q143+(R143+S143+T143)*Forutsetninger!$B$3</f>
        <v>91164.603651372017</v>
      </c>
      <c r="V143" s="47">
        <f t="shared" si="44"/>
        <v>18776.672490297031</v>
      </c>
      <c r="W143" s="208">
        <f t="shared" si="45"/>
        <v>8.7576207205912207E-2</v>
      </c>
      <c r="X143" s="47">
        <f>(R143+S143+T143)-G143*($K$159+$K$153)/Forutsetninger!$B$3</f>
        <v>104810.9559999078</v>
      </c>
      <c r="Y143" s="278">
        <f>ROUND((1-Forutsetninger!$B$3)*Q143+Forutsetninger!$B$3*X143,0)</f>
        <v>97262</v>
      </c>
      <c r="Z143" s="47">
        <v>97482</v>
      </c>
      <c r="AA143" s="73">
        <f t="shared" si="46"/>
        <v>-220</v>
      </c>
      <c r="AB143" s="269">
        <f t="shared" si="47"/>
        <v>-2.2568269013766643E-3</v>
      </c>
      <c r="AC143" s="66">
        <f t="shared" si="48"/>
        <v>0</v>
      </c>
      <c r="AD143" s="256">
        <f>VLOOKUP(A143,IR2016prnettnivå!$B$2:$K$133,8,FALSE)</f>
        <v>0.7213536858086621</v>
      </c>
      <c r="AE143" s="256">
        <f>VLOOKUP(A143,IR2016prnettnivå!$B$2:$K$133,9,FALSE)</f>
        <v>0.2786463141913379</v>
      </c>
      <c r="AF143" s="256">
        <f>VLOOKUP(A143,IR2016prnettnivå!$B$2:$K$133,10,FALSE)</f>
        <v>0</v>
      </c>
      <c r="AG143" s="277">
        <f t="shared" si="49"/>
        <v>0</v>
      </c>
      <c r="AH143" s="277">
        <f t="shared" si="50"/>
        <v>0</v>
      </c>
      <c r="AI143" s="277">
        <f t="shared" si="51"/>
        <v>0</v>
      </c>
      <c r="AJ143" s="277">
        <f t="shared" si="52"/>
        <v>0</v>
      </c>
      <c r="AK143" s="277">
        <f t="shared" si="53"/>
        <v>0</v>
      </c>
      <c r="AL143" s="277">
        <f t="shared" si="54"/>
        <v>0</v>
      </c>
    </row>
    <row r="144" spans="1:39" x14ac:dyDescent="0.2">
      <c r="A144">
        <v>2622014</v>
      </c>
      <c r="B144" s="1" t="s">
        <v>235</v>
      </c>
      <c r="C144" s="99">
        <f>VLOOKUP(A144,IRData!$A$3:$F$146,6,FALSE)</f>
        <v>9618.142822265625</v>
      </c>
      <c r="D144" s="52">
        <f>C144*Forutsetninger!$C$23</f>
        <v>10118.561708961068</v>
      </c>
      <c r="E144" s="50">
        <f>VLOOKUP($A144,IRData!$A$2:$N$146,7,FALSE)</f>
        <v>4157</v>
      </c>
      <c r="F144" s="50">
        <f>VLOOKUP($A144,IRData!$A$2:$N$146,8,FALSE)</f>
        <v>64060</v>
      </c>
      <c r="G144" s="50">
        <f>VLOOKUP($A144,IRData!$A$2:$N$146,9,FALSE)</f>
        <v>64700.6</v>
      </c>
      <c r="H144" s="50">
        <f>VLOOKUP($A144,IRData!$A$2:$N$146,10,FALSE)</f>
        <v>6293</v>
      </c>
      <c r="I144" s="50">
        <f>VLOOKUP($A144,IRData!$A$2:$N$146,11,FALSE)</f>
        <v>0</v>
      </c>
      <c r="J144" s="52">
        <f>VLOOKUP(A144,IRData!$A$3:$AF$146,32,FALSE)</f>
        <v>1740.6438204050064</v>
      </c>
      <c r="K144" s="52">
        <f>VLOOKUP(A144,IRData!$A$3:$AM$146,37,FALSE)</f>
        <v>0</v>
      </c>
      <c r="L144" s="145">
        <f>VLOOKUP($A144,IRData!$A$2:$N$146,13,FALSE)</f>
        <v>1385</v>
      </c>
      <c r="M144" s="51">
        <f>L144*Forutsetninger!$C$17</f>
        <v>1464.9233016800583</v>
      </c>
      <c r="N144" s="145">
        <f>VLOOKUP(A144,IRData!$A$3:$E$146,5,FALSE)*Forutsetninger!$C$23</f>
        <v>0</v>
      </c>
      <c r="O144" s="145">
        <f>VLOOKUP(A144,IRData!$A$3:$AG$146,19,FALSE)*Forutsetninger!$C$17</f>
        <v>0</v>
      </c>
      <c r="P144" s="52">
        <f t="shared" si="43"/>
        <v>17481.128831046131</v>
      </c>
      <c r="Q144" s="253">
        <f>ROUND(D144+E144+J144+K144+M144+G144*Forutsetninger!$B$5+N144,0)</f>
        <v>21570</v>
      </c>
      <c r="R144" s="53">
        <f>IFERROR((VLOOKUP(A144,'DEAnorm D-nett'!$A$4:$H$134,8,FALSE)+O144),0)</f>
        <v>25188.866833670039</v>
      </c>
      <c r="S144" s="26">
        <f>IFERROR((VLOOKUP(A144,'DEAnorm R-nett'!$A$4:$H$86,8,FALSE)+N144+K144),N144+K144)</f>
        <v>0</v>
      </c>
      <c r="T144" s="151">
        <f>IFERROR(VLOOKUP(A144,IRData!$A$3:$AN$146,40,FALSE),0)</f>
        <v>0</v>
      </c>
      <c r="U144" s="54">
        <f>(1-Forutsetninger!$B$3)*Q144+(R144+S144+T144)*Forutsetninger!$B$3</f>
        <v>23741.320100202021</v>
      </c>
      <c r="V144" s="47">
        <f t="shared" si="44"/>
        <v>6260.19126915589</v>
      </c>
      <c r="W144" s="208">
        <f t="shared" si="45"/>
        <v>9.6756309356573048E-2</v>
      </c>
      <c r="X144" s="47">
        <f>(R144+S144+T144)-G144*($K$159+$K$153)/Forutsetninger!$B$3</f>
        <v>28255.436670392472</v>
      </c>
      <c r="Y144" s="278">
        <f>ROUND((1-Forutsetninger!$B$3)*Q144+Forutsetninger!$B$3*X144,0)</f>
        <v>25581</v>
      </c>
      <c r="Z144" s="47">
        <v>25593</v>
      </c>
      <c r="AA144" s="73">
        <f t="shared" si="46"/>
        <v>-12</v>
      </c>
      <c r="AB144" s="269">
        <f t="shared" si="47"/>
        <v>-4.6887820888524205E-4</v>
      </c>
      <c r="AC144" s="66">
        <f t="shared" si="48"/>
        <v>0</v>
      </c>
      <c r="AD144" s="268">
        <f>AD84</f>
        <v>1</v>
      </c>
      <c r="AE144" s="268">
        <f t="shared" ref="AE144:AF144" si="55">AE84</f>
        <v>0</v>
      </c>
      <c r="AF144" s="268">
        <f t="shared" si="55"/>
        <v>0</v>
      </c>
      <c r="AG144" s="277">
        <f t="shared" si="49"/>
        <v>0</v>
      </c>
      <c r="AH144" s="277">
        <f t="shared" si="50"/>
        <v>0</v>
      </c>
      <c r="AI144" s="277">
        <f t="shared" si="51"/>
        <v>0</v>
      </c>
      <c r="AJ144" s="277">
        <f t="shared" si="52"/>
        <v>0</v>
      </c>
      <c r="AK144" s="277">
        <f t="shared" si="53"/>
        <v>0</v>
      </c>
      <c r="AL144" s="277">
        <f t="shared" si="54"/>
        <v>0</v>
      </c>
    </row>
    <row r="145" spans="1:38" x14ac:dyDescent="0.2">
      <c r="A145">
        <v>2642014</v>
      </c>
      <c r="B145" s="1" t="s">
        <v>236</v>
      </c>
      <c r="C145" s="99">
        <f>VLOOKUP(A145,IRData!$A$3:$F$146,6,FALSE)</f>
        <v>18706.002197265625</v>
      </c>
      <c r="D145" s="52">
        <f>C145*Forutsetninger!$C$23</f>
        <v>19679.250044283264</v>
      </c>
      <c r="E145" s="50">
        <f>VLOOKUP($A145,IRData!$A$2:$N$146,7,FALSE)</f>
        <v>12891</v>
      </c>
      <c r="F145" s="50">
        <f>VLOOKUP($A145,IRData!$A$2:$N$146,8,FALSE)</f>
        <v>136764</v>
      </c>
      <c r="G145" s="50">
        <f>VLOOKUP($A145,IRData!$A$2:$N$146,9,FALSE)</f>
        <v>138131.64000000001</v>
      </c>
      <c r="H145" s="50">
        <f>VLOOKUP($A145,IRData!$A$2:$N$146,10,FALSE)</f>
        <v>14076</v>
      </c>
      <c r="I145" s="50">
        <f>VLOOKUP($A145,IRData!$A$2:$N$146,11,FALSE)</f>
        <v>0</v>
      </c>
      <c r="J145" s="52">
        <f>VLOOKUP(A145,IRData!$A$3:$AF$146,32,FALSE)</f>
        <v>3655.5372040271759</v>
      </c>
      <c r="K145" s="52">
        <f>VLOOKUP(A145,IRData!$A$3:$AM$146,37,FALSE)</f>
        <v>0</v>
      </c>
      <c r="L145" s="145">
        <f>VLOOKUP($A145,IRData!$A$2:$N$146,13,FALSE)</f>
        <v>576</v>
      </c>
      <c r="M145" s="51">
        <f>L145*Forutsetninger!$C$17</f>
        <v>609.23886048210375</v>
      </c>
      <c r="N145" s="145">
        <f>VLOOKUP(A145,IRData!$A$3:$E$146,5,FALSE)*Forutsetninger!$C$23</f>
        <v>0</v>
      </c>
      <c r="O145" s="145">
        <f>VLOOKUP(A145,IRData!$A$3:$AG$146,19,FALSE)*Forutsetninger!$C$17</f>
        <v>0</v>
      </c>
      <c r="P145" s="52">
        <f t="shared" si="43"/>
        <v>36835.026108792546</v>
      </c>
      <c r="Q145" s="253">
        <f>ROUND(D145+E145+J145+K145+M145+G145*Forutsetninger!$B$5+N145,0)</f>
        <v>45565</v>
      </c>
      <c r="R145" s="53">
        <f>IFERROR((VLOOKUP(A145,'DEAnorm D-nett'!$A$4:$H$134,8,FALSE)+O145),0)</f>
        <v>46512.905475337226</v>
      </c>
      <c r="S145" s="26">
        <f>IFERROR((VLOOKUP(A145,'DEAnorm R-nett'!$A$4:$H$86,8,FALSE)+N145+K145),N145+K145)</f>
        <v>0</v>
      </c>
      <c r="T145" s="151">
        <f>IFERROR(VLOOKUP(A145,IRData!$A$3:$AN$146,40,FALSE),0)</f>
        <v>0</v>
      </c>
      <c r="U145" s="54">
        <f>(1-Forutsetninger!$B$3)*Q145+(R145+S145+T145)*Forutsetninger!$B$3</f>
        <v>46133.743285202334</v>
      </c>
      <c r="V145" s="47">
        <f t="shared" si="44"/>
        <v>9298.7171764097875</v>
      </c>
      <c r="W145" s="208">
        <f t="shared" si="45"/>
        <v>6.7317793203713408E-2</v>
      </c>
      <c r="X145" s="47">
        <f>(R145+S145+T145)-G145*($K$159+$K$153)/Forutsetninger!$B$3</f>
        <v>53059.835808610827</v>
      </c>
      <c r="Y145" s="278">
        <f>ROUND((1-Forutsetninger!$B$3)*Q145+Forutsetninger!$B$3*X145,0)</f>
        <v>50062</v>
      </c>
      <c r="Z145" s="47">
        <v>50017</v>
      </c>
      <c r="AA145" s="73">
        <f t="shared" si="46"/>
        <v>45</v>
      </c>
      <c r="AB145" s="269">
        <f t="shared" si="47"/>
        <v>8.9969410400463838E-4</v>
      </c>
      <c r="AC145" s="66">
        <f t="shared" si="48"/>
        <v>45</v>
      </c>
      <c r="AD145" s="256">
        <f>VLOOKUP(A145,IR2016prnettnivå!$B$2:$K$133,8,FALSE)</f>
        <v>1</v>
      </c>
      <c r="AE145" s="256">
        <f>VLOOKUP(A145,IR2016prnettnivå!$B$2:$K$133,9,FALSE)</f>
        <v>0</v>
      </c>
      <c r="AF145" s="256">
        <f>VLOOKUP(A145,IR2016prnettnivå!$B$2:$K$133,10,FALSE)</f>
        <v>0</v>
      </c>
      <c r="AG145" s="277">
        <f t="shared" si="49"/>
        <v>45</v>
      </c>
      <c r="AH145" s="277">
        <f t="shared" si="50"/>
        <v>0</v>
      </c>
      <c r="AI145" s="277">
        <f t="shared" si="51"/>
        <v>0</v>
      </c>
      <c r="AJ145" s="277">
        <f t="shared" si="52"/>
        <v>0.57600000000000007</v>
      </c>
      <c r="AK145" s="277">
        <f t="shared" si="53"/>
        <v>0</v>
      </c>
      <c r="AL145" s="277">
        <f t="shared" si="54"/>
        <v>0</v>
      </c>
    </row>
    <row r="146" spans="1:38" ht="13.5" thickBot="1" x14ac:dyDescent="0.25">
      <c r="A146">
        <v>2672014</v>
      </c>
      <c r="B146" s="1" t="s">
        <v>237</v>
      </c>
      <c r="C146" s="190">
        <f>VLOOKUP(A146,IRData!$A$3:$F$146,6,FALSE)</f>
        <v>15353.094116210938</v>
      </c>
      <c r="D146" s="191">
        <f>C146*Forutsetninger!$C$23</f>
        <v>16151.894717006639</v>
      </c>
      <c r="E146" s="192">
        <f>VLOOKUP($A146,IRData!$A$2:$N$146,7,FALSE)</f>
        <v>3667</v>
      </c>
      <c r="F146" s="192">
        <f>VLOOKUP($A146,IRData!$A$2:$N$146,8,FALSE)</f>
        <v>60326</v>
      </c>
      <c r="G146" s="192">
        <f>VLOOKUP($A146,IRData!$A$2:$N$146,9,FALSE)</f>
        <v>60929.26</v>
      </c>
      <c r="H146" s="192">
        <f>VLOOKUP($A146,IRData!$A$2:$N$146,10,FALSE)</f>
        <v>3962</v>
      </c>
      <c r="I146" s="192">
        <f>VLOOKUP($A146,IRData!$A$2:$N$146,11,FALSE)</f>
        <v>0</v>
      </c>
      <c r="J146" s="193">
        <f>VLOOKUP(A146,IRData!$A$3:$AF$146,32,FALSE)</f>
        <v>1028.9314011335373</v>
      </c>
      <c r="K146" s="193">
        <f>VLOOKUP(A146,IRData!$A$3:$AM$146,37,FALSE)</f>
        <v>0</v>
      </c>
      <c r="L146" s="194">
        <f>VLOOKUP($A146,IRData!$A$2:$N$146,13,FALSE)</f>
        <v>288</v>
      </c>
      <c r="M146" s="195">
        <f>L146*Forutsetninger!$C$17</f>
        <v>304.61943024105187</v>
      </c>
      <c r="N146" s="194">
        <f>VLOOKUP(A146,IRData!$A$3:$E$146,5,FALSE)*Forutsetninger!$C$23</f>
        <v>0</v>
      </c>
      <c r="O146" s="194">
        <f>VLOOKUP(A146,IRData!$A$3:$AG$146,19,FALSE)*Forutsetninger!$C$17</f>
        <v>0</v>
      </c>
      <c r="P146" s="196">
        <f t="shared" si="43"/>
        <v>21152.445548381227</v>
      </c>
      <c r="Q146" s="253">
        <f>ROUND(D146+E146+J146+K146+M146+G146*Forutsetninger!$B$5+N146,0)</f>
        <v>25003</v>
      </c>
      <c r="R146" s="197">
        <f>IFERROR((VLOOKUP(A146,'DEAnorm D-nett'!$A$4:$H$134,8,FALSE)+O146),0)</f>
        <v>21562.390264573172</v>
      </c>
      <c r="S146" s="48">
        <f>IFERROR((VLOOKUP(A146,'DEAnorm R-nett'!$A$4:$H$86,8,FALSE)+N146+K146),N146+K146)</f>
        <v>0</v>
      </c>
      <c r="T146" s="198">
        <f>IFERROR(VLOOKUP(A146,IRData!$A$3:$AN$146,40,FALSE),0)</f>
        <v>0</v>
      </c>
      <c r="U146" s="199">
        <f>(1-Forutsetninger!$B$3)*Q146+(R146+S146+T146)*Forutsetninger!$B$3</f>
        <v>22938.634158743902</v>
      </c>
      <c r="V146" s="200">
        <f t="shared" si="44"/>
        <v>1786.1886103626748</v>
      </c>
      <c r="W146" s="201">
        <f t="shared" si="45"/>
        <v>2.9315777187556107E-2</v>
      </c>
      <c r="X146" s="209">
        <f>(R146+S146+T146)-G146*($K$159+$K$153)/Forutsetninger!$B$3</f>
        <v>24450.212493266859</v>
      </c>
      <c r="Y146" s="278">
        <f>ROUND((1-Forutsetninger!$B$3)*Q146+Forutsetninger!$B$3*X146,0)</f>
        <v>24671</v>
      </c>
      <c r="Z146" s="47">
        <v>24652</v>
      </c>
      <c r="AA146" s="73">
        <f t="shared" si="46"/>
        <v>19</v>
      </c>
      <c r="AB146" s="269">
        <f t="shared" si="47"/>
        <v>7.70728541294824E-4</v>
      </c>
      <c r="AC146" s="66">
        <f t="shared" si="48"/>
        <v>19</v>
      </c>
      <c r="AD146" s="256">
        <f>VLOOKUP(A146,IR2016prnettnivå!$B$2:$K$133,8,FALSE)</f>
        <v>1</v>
      </c>
      <c r="AE146" s="256">
        <f>VLOOKUP(A146,IR2016prnettnivå!$B$2:$K$133,9,FALSE)</f>
        <v>0</v>
      </c>
      <c r="AF146" s="256">
        <f>VLOOKUP(A146,IR2016prnettnivå!$B$2:$K$133,10,FALSE)</f>
        <v>0</v>
      </c>
      <c r="AG146" s="277">
        <f t="shared" si="49"/>
        <v>19</v>
      </c>
      <c r="AH146" s="277">
        <f t="shared" si="50"/>
        <v>0</v>
      </c>
      <c r="AI146" s="277">
        <f t="shared" si="51"/>
        <v>0</v>
      </c>
      <c r="AJ146" s="277">
        <f t="shared" si="52"/>
        <v>0.24320000000000006</v>
      </c>
      <c r="AK146" s="277">
        <f t="shared" si="53"/>
        <v>0</v>
      </c>
      <c r="AL146" s="277">
        <f t="shared" si="54"/>
        <v>0</v>
      </c>
    </row>
    <row r="147" spans="1:38" ht="13.5" thickBot="1" x14ac:dyDescent="0.25">
      <c r="C147" s="203">
        <f t="shared" ref="C147:V147" si="56">SUM(C3:C146)</f>
        <v>8300096.7440165579</v>
      </c>
      <c r="D147" s="204">
        <f t="shared" si="56"/>
        <v>8731939.4863066841</v>
      </c>
      <c r="E147" s="204">
        <f t="shared" si="56"/>
        <v>3306740</v>
      </c>
      <c r="F147" s="204">
        <f t="shared" si="56"/>
        <v>51688434</v>
      </c>
      <c r="G147" s="204">
        <f t="shared" si="56"/>
        <v>52205318.340000011</v>
      </c>
      <c r="H147" s="204">
        <f t="shared" si="56"/>
        <v>3522601</v>
      </c>
      <c r="I147" s="204">
        <f t="shared" si="56"/>
        <v>1979886</v>
      </c>
      <c r="J147" s="204">
        <f t="shared" si="56"/>
        <v>902089.14416849613</v>
      </c>
      <c r="K147" s="204">
        <f t="shared" si="56"/>
        <v>505604.84900128841</v>
      </c>
      <c r="L147" s="204">
        <f t="shared" si="56"/>
        <v>689081</v>
      </c>
      <c r="M147" s="204">
        <f t="shared" si="56"/>
        <v>728845.3528122718</v>
      </c>
      <c r="N147" s="204">
        <f t="shared" si="56"/>
        <v>23392.908830548924</v>
      </c>
      <c r="O147" s="204">
        <f t="shared" si="56"/>
        <v>84776.781898548681</v>
      </c>
      <c r="P147" s="205">
        <f t="shared" si="56"/>
        <v>14198611.741119284</v>
      </c>
      <c r="Q147" s="205">
        <f>SUM(Q3:Q146)</f>
        <v>17497985</v>
      </c>
      <c r="R147" s="206">
        <f t="shared" si="56"/>
        <v>13368715.769497484</v>
      </c>
      <c r="S147" s="206">
        <f t="shared" si="56"/>
        <v>3902402.0089608985</v>
      </c>
      <c r="T147" s="206">
        <f t="shared" si="56"/>
        <v>227427.92107687483</v>
      </c>
      <c r="U147" s="204">
        <f t="shared" si="56"/>
        <v>17498321.41972116</v>
      </c>
      <c r="V147" s="204">
        <f t="shared" si="56"/>
        <v>3299709.6786018703</v>
      </c>
      <c r="W147" s="207">
        <f>V147/G147</f>
        <v>6.3206389378026528E-2</v>
      </c>
      <c r="X147" s="204">
        <f>SUM(X3:X146)</f>
        <v>19972885.265751585</v>
      </c>
      <c r="Y147" s="204">
        <f>SUM(Y3:Y146)</f>
        <v>18982927</v>
      </c>
      <c r="Z147" s="204">
        <f>SUM(Z3:Z146)</f>
        <v>18989722</v>
      </c>
      <c r="AA147" s="204">
        <f t="shared" ref="AA147:AC147" si="57">SUM(AA3:AA146)</f>
        <v>-6795</v>
      </c>
      <c r="AB147" s="204">
        <f t="shared" si="57"/>
        <v>-0.16473563417210987</v>
      </c>
      <c r="AC147" s="204">
        <f t="shared" si="57"/>
        <v>26864</v>
      </c>
      <c r="AD147" s="204"/>
      <c r="AE147" s="204"/>
      <c r="AF147" s="204"/>
      <c r="AG147" s="204">
        <f t="shared" ref="AG147:AL147" si="58">SUM(AG3:AG146)</f>
        <v>19224.959515167902</v>
      </c>
      <c r="AH147" s="204">
        <f t="shared" si="58"/>
        <v>7295.5859156872293</v>
      </c>
      <c r="AI147" s="204">
        <f t="shared" si="58"/>
        <v>343.45456914486272</v>
      </c>
      <c r="AJ147" s="204">
        <f t="shared" si="58"/>
        <v>246.07948179414916</v>
      </c>
      <c r="AK147" s="204">
        <f t="shared" si="58"/>
        <v>93.383499720796621</v>
      </c>
      <c r="AL147" s="204">
        <f t="shared" si="58"/>
        <v>4.3962184850542441</v>
      </c>
    </row>
    <row r="148" spans="1:38" x14ac:dyDescent="0.2">
      <c r="R148" s="231"/>
      <c r="S148" s="233"/>
      <c r="V148" s="73"/>
      <c r="W148" s="73"/>
      <c r="X148" s="73"/>
      <c r="Y148" s="73"/>
      <c r="Z148" s="258"/>
      <c r="AA148" s="73"/>
      <c r="AB148" s="269"/>
      <c r="AD148" s="256"/>
      <c r="AE148" s="256"/>
      <c r="AF148" s="256"/>
      <c r="AG148" s="258"/>
      <c r="AH148" s="258"/>
      <c r="AI148" s="258"/>
      <c r="AJ148" s="258"/>
      <c r="AK148" s="258"/>
      <c r="AL148" s="258"/>
    </row>
    <row r="149" spans="1:38" ht="13.5" thickBot="1" x14ac:dyDescent="0.25">
      <c r="S149" s="136"/>
      <c r="T149" s="136"/>
    </row>
    <row r="150" spans="1:38" ht="12.75" customHeight="1" x14ac:dyDescent="0.2">
      <c r="G150" s="320" t="s">
        <v>5</v>
      </c>
      <c r="H150" s="321"/>
      <c r="I150" s="318" t="s">
        <v>68</v>
      </c>
      <c r="J150" s="318"/>
      <c r="K150" s="76">
        <f>U147</f>
        <v>17498321.41972116</v>
      </c>
      <c r="L150" s="72"/>
      <c r="M150" s="72"/>
    </row>
    <row r="151" spans="1:38" x14ac:dyDescent="0.2">
      <c r="G151" s="322"/>
      <c r="H151" s="323"/>
      <c r="I151" s="326" t="s">
        <v>69</v>
      </c>
      <c r="J151" s="326"/>
      <c r="K151" s="77">
        <f>Q147</f>
        <v>17497985</v>
      </c>
      <c r="L151" s="72"/>
      <c r="M151" s="72"/>
      <c r="T151" s="134"/>
      <c r="U151" s="134"/>
      <c r="V151" s="134"/>
      <c r="W151" s="134"/>
      <c r="X151" s="135"/>
    </row>
    <row r="152" spans="1:38" x14ac:dyDescent="0.2">
      <c r="G152" s="322"/>
      <c r="H152" s="323"/>
      <c r="I152" s="326" t="s">
        <v>70</v>
      </c>
      <c r="J152" s="326"/>
      <c r="K152" s="77">
        <f>K150-K151</f>
        <v>336.41972116008401</v>
      </c>
      <c r="L152" s="72"/>
      <c r="M152" s="72"/>
    </row>
    <row r="153" spans="1:38" ht="13.5" thickBot="1" x14ac:dyDescent="0.25">
      <c r="G153" s="324"/>
      <c r="H153" s="325"/>
      <c r="I153" s="319" t="s">
        <v>71</v>
      </c>
      <c r="J153" s="319"/>
      <c r="K153" s="78">
        <f>K152/G147</f>
        <v>6.4441656876616977E-6</v>
      </c>
      <c r="L153" s="84"/>
      <c r="M153" s="84"/>
    </row>
    <row r="154" spans="1:38" x14ac:dyDescent="0.2">
      <c r="L154" s="233"/>
    </row>
    <row r="155" spans="1:38" x14ac:dyDescent="0.2">
      <c r="I155" s="74"/>
      <c r="J155" s="74"/>
      <c r="K155" s="74"/>
      <c r="L155" s="74"/>
      <c r="M155" s="74"/>
    </row>
    <row r="156" spans="1:38" ht="42.75" customHeight="1" x14ac:dyDescent="0.2">
      <c r="G156" s="310" t="s">
        <v>256</v>
      </c>
      <c r="H156" s="311"/>
      <c r="I156" s="316" t="s">
        <v>257</v>
      </c>
      <c r="J156" s="317"/>
      <c r="K156" s="85">
        <f>'Kostnadsgrunnlag 2014'!L149</f>
        <v>9285287.5391160585</v>
      </c>
      <c r="L156" s="74"/>
      <c r="M156" s="74"/>
    </row>
    <row r="157" spans="1:38" ht="39" customHeight="1" x14ac:dyDescent="0.2">
      <c r="G157" s="312"/>
      <c r="H157" s="313"/>
      <c r="I157" s="316" t="s">
        <v>258</v>
      </c>
      <c r="J157" s="317"/>
      <c r="K157" s="85">
        <f>'Kostnadsgrunnlag 2014'!L150</f>
        <v>10595362.18395856</v>
      </c>
      <c r="R157" s="66"/>
      <c r="S157" s="66"/>
      <c r="T157" s="66"/>
      <c r="U157" s="66"/>
      <c r="V157" s="75"/>
      <c r="W157" s="83"/>
      <c r="X157" s="73"/>
      <c r="Y157" s="66"/>
    </row>
    <row r="158" spans="1:38" ht="42" customHeight="1" x14ac:dyDescent="0.2">
      <c r="G158" s="312"/>
      <c r="H158" s="313"/>
      <c r="I158" s="316" t="s">
        <v>259</v>
      </c>
      <c r="J158" s="317"/>
      <c r="K158" s="85">
        <f>(K156-K157)*(1+6.61%)*(1+6.32%)</f>
        <v>-1484940.1594509596</v>
      </c>
      <c r="R158" s="66"/>
      <c r="S158" s="66"/>
      <c r="T158" s="66"/>
      <c r="U158" s="66"/>
      <c r="V158" s="75"/>
      <c r="W158" s="83"/>
      <c r="X158" s="73"/>
      <c r="Y158" s="66"/>
    </row>
    <row r="159" spans="1:38" ht="24" customHeight="1" x14ac:dyDescent="0.2">
      <c r="G159" s="314"/>
      <c r="H159" s="315"/>
      <c r="I159" s="317" t="s">
        <v>59</v>
      </c>
      <c r="J159" s="317"/>
      <c r="K159" s="86">
        <f>K158/G147</f>
        <v>-2.8444231481932945E-2</v>
      </c>
      <c r="M159" s="133"/>
      <c r="R159" s="66"/>
      <c r="S159" s="66"/>
      <c r="T159" s="66"/>
      <c r="U159" s="66"/>
      <c r="V159" s="75"/>
      <c r="W159" s="83"/>
      <c r="X159" s="73"/>
      <c r="Y159" s="66"/>
    </row>
    <row r="160" spans="1:38" ht="12" customHeight="1" x14ac:dyDescent="0.2">
      <c r="V160" s="73"/>
      <c r="W160" s="73"/>
      <c r="X160" s="73"/>
      <c r="Y160" s="73"/>
    </row>
    <row r="162" spans="14:25" ht="12.75" customHeight="1" x14ac:dyDescent="0.2"/>
    <row r="163" spans="14:25" x14ac:dyDescent="0.2">
      <c r="S163" s="74"/>
      <c r="T163" s="72"/>
      <c r="U163" s="72"/>
    </row>
    <row r="164" spans="14:25" x14ac:dyDescent="0.2">
      <c r="N164" s="74"/>
      <c r="O164" s="74"/>
      <c r="P164" s="74"/>
      <c r="Q164" s="74"/>
      <c r="R164" s="74"/>
      <c r="S164" s="74"/>
      <c r="T164" s="72"/>
      <c r="U164" s="72"/>
      <c r="V164" s="71"/>
      <c r="W164" s="71"/>
      <c r="X164" s="71"/>
      <c r="Y164" s="87"/>
    </row>
    <row r="165" spans="14:25" ht="13.5" customHeight="1" x14ac:dyDescent="0.2">
      <c r="N165" s="74"/>
      <c r="O165" s="74"/>
      <c r="P165" s="74"/>
      <c r="Q165" s="74"/>
      <c r="R165" s="74"/>
      <c r="S165" s="74"/>
      <c r="T165" s="72"/>
      <c r="U165" s="72"/>
      <c r="V165" s="71"/>
      <c r="W165" s="71"/>
      <c r="X165" s="71"/>
      <c r="Y165" s="87"/>
    </row>
    <row r="166" spans="14:25" x14ac:dyDescent="0.2">
      <c r="N166" s="74"/>
      <c r="O166" s="74"/>
      <c r="P166" s="74"/>
      <c r="Q166" s="74"/>
      <c r="R166" s="74"/>
      <c r="S166" s="79"/>
      <c r="T166" s="72"/>
      <c r="U166" s="72"/>
      <c r="V166" s="71"/>
      <c r="W166" s="71"/>
      <c r="X166" s="71"/>
      <c r="Y166" s="87"/>
    </row>
    <row r="167" spans="14:25" x14ac:dyDescent="0.2">
      <c r="N167" s="79"/>
      <c r="O167" s="79"/>
      <c r="P167" s="79"/>
      <c r="Q167" s="79"/>
      <c r="R167" s="79"/>
      <c r="S167" s="79"/>
      <c r="T167" s="72"/>
      <c r="U167" s="72"/>
      <c r="V167" s="71"/>
      <c r="W167" s="71"/>
      <c r="X167" s="71"/>
      <c r="Y167" s="87"/>
    </row>
    <row r="168" spans="14:25" x14ac:dyDescent="0.2">
      <c r="N168" s="79"/>
      <c r="O168" s="79"/>
      <c r="P168" s="79"/>
      <c r="Q168" s="79"/>
      <c r="R168" s="79"/>
      <c r="S168" s="79"/>
      <c r="T168" s="72"/>
      <c r="U168" s="72"/>
      <c r="V168" s="71"/>
      <c r="W168" s="71"/>
      <c r="X168" s="71"/>
      <c r="Y168" s="87"/>
    </row>
    <row r="169" spans="14:25" x14ac:dyDescent="0.2">
      <c r="N169" s="79"/>
      <c r="O169" s="79"/>
      <c r="P169" s="79"/>
      <c r="Q169" s="79"/>
      <c r="R169" s="79"/>
      <c r="S169" s="80"/>
      <c r="T169" s="72"/>
      <c r="U169" s="72"/>
      <c r="V169" s="71"/>
      <c r="W169" s="71"/>
      <c r="X169" s="71"/>
      <c r="Y169" s="87"/>
    </row>
    <row r="170" spans="14:25" x14ac:dyDescent="0.2">
      <c r="N170" s="80"/>
      <c r="O170" s="80"/>
      <c r="P170" s="80"/>
      <c r="Q170" s="80"/>
      <c r="R170" s="80"/>
      <c r="V170" s="71"/>
      <c r="W170" s="71"/>
      <c r="X170" s="71"/>
      <c r="Y170" s="87"/>
    </row>
  </sheetData>
  <autoFilter ref="A2:AL2"/>
  <sortState ref="A3:AB151">
    <sortCondition ref="B3"/>
  </sortState>
  <mergeCells count="14">
    <mergeCell ref="X1:Y1"/>
    <mergeCell ref="R1:W1"/>
    <mergeCell ref="A1:B1"/>
    <mergeCell ref="G156:H159"/>
    <mergeCell ref="I156:J156"/>
    <mergeCell ref="I157:J157"/>
    <mergeCell ref="I158:J158"/>
    <mergeCell ref="I159:J159"/>
    <mergeCell ref="I150:J150"/>
    <mergeCell ref="I153:J153"/>
    <mergeCell ref="G150:H153"/>
    <mergeCell ref="I151:J151"/>
    <mergeCell ref="I152:J152"/>
    <mergeCell ref="C1:Q1"/>
  </mergeCells>
  <phoneticPr fontId="5" type="noConversion"/>
  <pageMargins left="0.78740157499999996" right="0.78740157499999996" top="0.984251969" bottom="0.984251969" header="0.5" footer="0.5"/>
  <pageSetup paperSize="10" orientation="portrait" horizontalDpi="4294967292" verticalDpi="4294967292" r:id="rId1"/>
  <headerFooter alignWithMargins="0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S158"/>
  <sheetViews>
    <sheetView workbookViewId="0">
      <pane xSplit="2" ySplit="2" topLeftCell="C3" activePane="bottomRight" state="frozen"/>
      <selection activeCell="C2" sqref="C2"/>
      <selection pane="topRight" activeCell="C2" sqref="C2"/>
      <selection pane="bottomLeft" activeCell="C2" sqref="C2"/>
      <selection pane="bottomRight" activeCell="L3" sqref="L3:L146"/>
    </sheetView>
  </sheetViews>
  <sheetFormatPr baseColWidth="10" defaultColWidth="10.85546875" defaultRowHeight="12.75" x14ac:dyDescent="0.2"/>
  <cols>
    <col min="1" max="1" width="8" style="66" bestFit="1" customWidth="1"/>
    <col min="2" max="2" width="39.140625" style="66" bestFit="1" customWidth="1"/>
    <col min="3" max="3" width="18.85546875" style="73" bestFit="1" customWidth="1"/>
    <col min="4" max="4" width="9.140625" style="73" bestFit="1" customWidth="1"/>
    <col min="5" max="6" width="10.140625" style="73" bestFit="1" customWidth="1"/>
    <col min="7" max="7" width="10.140625" style="73" customWidth="1"/>
    <col min="8" max="8" width="10.85546875" style="73" customWidth="1"/>
    <col min="9" max="10" width="12" style="73" customWidth="1"/>
    <col min="11" max="11" width="16.5703125" style="73" bestFit="1" customWidth="1"/>
    <col min="12" max="12" width="11" style="73" customWidth="1"/>
    <col min="13" max="13" width="10.42578125" style="73" customWidth="1"/>
    <col min="14" max="15" width="10.85546875" style="66"/>
    <col min="16" max="16" width="0" style="66" hidden="1" customWidth="1"/>
    <col min="17" max="17" width="10.85546875" style="66"/>
    <col min="18" max="18" width="0" style="66" hidden="1" customWidth="1"/>
    <col min="19" max="16384" width="10.85546875" style="66"/>
  </cols>
  <sheetData>
    <row r="1" spans="1:15" ht="16.5" customHeight="1" thickBot="1" x14ac:dyDescent="0.25">
      <c r="A1" s="330"/>
      <c r="B1" s="331"/>
      <c r="C1" s="344" t="s">
        <v>264</v>
      </c>
      <c r="D1" s="345"/>
      <c r="E1" s="345"/>
      <c r="F1" s="345"/>
      <c r="G1" s="345"/>
      <c r="H1" s="345"/>
      <c r="I1" s="345"/>
      <c r="J1" s="345"/>
      <c r="K1" s="345"/>
      <c r="L1" s="345"/>
      <c r="M1" s="346"/>
    </row>
    <row r="2" spans="1:15" ht="63.75" customHeight="1" thickBot="1" x14ac:dyDescent="0.25">
      <c r="A2" s="213" t="s">
        <v>73</v>
      </c>
      <c r="B2" s="214" t="s">
        <v>265</v>
      </c>
      <c r="C2" s="81" t="s">
        <v>75</v>
      </c>
      <c r="D2" s="81" t="s">
        <v>98</v>
      </c>
      <c r="E2" s="81" t="s">
        <v>158</v>
      </c>
      <c r="F2" s="81" t="s">
        <v>164</v>
      </c>
      <c r="G2" s="81" t="s">
        <v>157</v>
      </c>
      <c r="H2" s="81" t="s">
        <v>163</v>
      </c>
      <c r="I2" s="81" t="s">
        <v>77</v>
      </c>
      <c r="J2" s="82" t="s">
        <v>166</v>
      </c>
      <c r="K2" s="215" t="s">
        <v>223</v>
      </c>
      <c r="L2" s="66"/>
      <c r="M2" s="66"/>
      <c r="O2" s="146"/>
    </row>
    <row r="3" spans="1:15" x14ac:dyDescent="0.2">
      <c r="A3" s="212">
        <v>6242014</v>
      </c>
      <c r="B3" s="212" t="str">
        <f>INDEX('Inntektsramme 2016'!$B$3:$B$146,MATCH(A3,'Inntektsramme 2016'!$A$3:$A$146,0))</f>
        <v>Agder Energi Nett AS</v>
      </c>
      <c r="C3" s="88">
        <v>431005</v>
      </c>
      <c r="D3" s="267">
        <v>0.24424000084400177</v>
      </c>
      <c r="E3" s="88">
        <f>VLOOKUP($A3,IRData!$A$3:$Q$146,17,FALSE)</f>
        <v>181219</v>
      </c>
      <c r="F3" s="88">
        <f>VLOOKUP($A3,IRData!$A$3:$W$146,23,FALSE)</f>
        <v>178151</v>
      </c>
      <c r="G3" s="89">
        <f>D3*E3</f>
        <v>44260.928712949157</v>
      </c>
      <c r="H3" s="89">
        <f>D3*F3</f>
        <v>43511.600390359759</v>
      </c>
      <c r="I3" s="252">
        <f>VLOOKUP($A3,IRData!$A$3:$M$146,13,FALSE)</f>
        <v>49609</v>
      </c>
      <c r="J3" s="88">
        <f>VLOOKUP($A3,IRData!$A$3:$M$146,5,FALSE)</f>
        <v>1199</v>
      </c>
      <c r="K3" s="90">
        <f t="shared" ref="K3:K34" si="0">C3+G3+H3+I3+J3</f>
        <v>569585.52910330892</v>
      </c>
      <c r="L3" s="244"/>
      <c r="M3" s="66"/>
    </row>
    <row r="4" spans="1:15" x14ac:dyDescent="0.2">
      <c r="A4" s="185">
        <v>7532014</v>
      </c>
      <c r="B4" s="212" t="str">
        <f>INDEX('Inntektsramme 2016'!$B$3:$B$146,MATCH(A4,'Inntektsramme 2016'!$A$3:$A$146,0))</f>
        <v>Aktieselskabet Saudefaldene</v>
      </c>
      <c r="C4" s="88">
        <v>28311</v>
      </c>
      <c r="D4" s="267">
        <v>0.24424000084400177</v>
      </c>
      <c r="E4" s="88">
        <f>VLOOKUP($A4,IRData!$A$3:$Q$146,17,FALSE)</f>
        <v>0</v>
      </c>
      <c r="F4" s="88">
        <f>VLOOKUP($A4,IRData!$A$3:$W$146,23,FALSE)</f>
        <v>13301</v>
      </c>
      <c r="G4" s="89">
        <f t="shared" ref="G4:G67" si="1">D4*E4</f>
        <v>0</v>
      </c>
      <c r="H4" s="89">
        <f t="shared" ref="H4:H67" si="2">D4*F4</f>
        <v>3248.6362512260675</v>
      </c>
      <c r="I4" s="88">
        <f>VLOOKUP($A4,IRData!$A$3:$M$146,13,FALSE)</f>
        <v>0</v>
      </c>
      <c r="J4" s="88">
        <f>VLOOKUP($A4,IRData!$A$3:$M$146,5,FALSE)</f>
        <v>0</v>
      </c>
      <c r="K4" s="90">
        <f t="shared" si="0"/>
        <v>31559.636251226068</v>
      </c>
      <c r="L4" s="66"/>
      <c r="M4" s="66"/>
    </row>
    <row r="5" spans="1:15" x14ac:dyDescent="0.2">
      <c r="A5" s="185">
        <v>72014</v>
      </c>
      <c r="B5" s="212" t="str">
        <f>INDEX('Inntektsramme 2016'!$B$3:$B$146,MATCH(A5,'Inntektsramme 2016'!$A$3:$A$146,0))</f>
        <v>Alta Kraftlag SA</v>
      </c>
      <c r="C5" s="88">
        <v>40945</v>
      </c>
      <c r="D5" s="267">
        <v>0.27391999959945679</v>
      </c>
      <c r="E5" s="88">
        <f>VLOOKUP($A5,IRData!$A$3:$Q$146,17,FALSE)</f>
        <v>21156</v>
      </c>
      <c r="F5" s="88">
        <f>VLOOKUP($A5,IRData!$A$3:$W$146,23,FALSE)</f>
        <v>7240</v>
      </c>
      <c r="G5" s="89">
        <f t="shared" si="1"/>
        <v>5795.0515115261078</v>
      </c>
      <c r="H5" s="89">
        <f t="shared" si="2"/>
        <v>1983.1807971000671</v>
      </c>
      <c r="I5" s="88">
        <f>VLOOKUP($A5,IRData!$A$3:$M$146,13,FALSE)</f>
        <v>1288</v>
      </c>
      <c r="J5" s="88">
        <f>VLOOKUP($A5,IRData!$A$3:$M$146,5,FALSE)</f>
        <v>0</v>
      </c>
      <c r="K5" s="90">
        <f t="shared" si="0"/>
        <v>50011.232308626175</v>
      </c>
      <c r="L5" s="66"/>
      <c r="M5" s="66"/>
    </row>
    <row r="6" spans="1:15" x14ac:dyDescent="0.2">
      <c r="A6" s="185">
        <v>92014</v>
      </c>
      <c r="B6" s="212" t="str">
        <f>INDEX('Inntektsramme 2016'!$B$3:$B$146,MATCH(A6,'Inntektsramme 2016'!$A$3:$A$146,0))</f>
        <v>Andøy Energi AS</v>
      </c>
      <c r="C6" s="88">
        <v>18774</v>
      </c>
      <c r="D6" s="267">
        <v>0.27391999959945679</v>
      </c>
      <c r="E6" s="88">
        <f>VLOOKUP($A6,IRData!$A$3:$Q$146,17,FALSE)</f>
        <v>4538</v>
      </c>
      <c r="F6" s="88">
        <f>VLOOKUP($A6,IRData!$A$3:$W$146,23,FALSE)</f>
        <v>3026</v>
      </c>
      <c r="G6" s="89">
        <f t="shared" si="1"/>
        <v>1243.0489581823349</v>
      </c>
      <c r="H6" s="89">
        <f t="shared" si="2"/>
        <v>828.88191878795624</v>
      </c>
      <c r="I6" s="88">
        <f>VLOOKUP($A6,IRData!$A$3:$M$146,13,FALSE)</f>
        <v>1000</v>
      </c>
      <c r="J6" s="88">
        <f>VLOOKUP($A6,IRData!$A$3:$M$146,5,FALSE)</f>
        <v>0</v>
      </c>
      <c r="K6" s="90">
        <f t="shared" si="0"/>
        <v>21845.930876970291</v>
      </c>
      <c r="L6" s="66"/>
      <c r="M6" s="66"/>
    </row>
    <row r="7" spans="1:15" x14ac:dyDescent="0.2">
      <c r="A7" s="185">
        <v>102014</v>
      </c>
      <c r="B7" s="212" t="str">
        <f>INDEX('Inntektsramme 2016'!$B$3:$B$146,MATCH(A7,'Inntektsramme 2016'!$A$3:$A$146,0))</f>
        <v>Arendals Fossekompani ASA</v>
      </c>
      <c r="C7" s="88">
        <v>395</v>
      </c>
      <c r="D7" s="267">
        <v>0.24424000084400177</v>
      </c>
      <c r="E7" s="88">
        <f>VLOOKUP($A7,IRData!$A$3:$Q$146,17,FALSE)</f>
        <v>538</v>
      </c>
      <c r="F7" s="88">
        <f>VLOOKUP($A7,IRData!$A$3:$W$146,23,FALSE)</f>
        <v>4848</v>
      </c>
      <c r="G7" s="89">
        <f t="shared" si="1"/>
        <v>131.40112045407295</v>
      </c>
      <c r="H7" s="89">
        <f t="shared" si="2"/>
        <v>1184.0755240917206</v>
      </c>
      <c r="I7" s="88">
        <f>VLOOKUP($A7,IRData!$A$3:$M$146,13,FALSE)</f>
        <v>0</v>
      </c>
      <c r="J7" s="88">
        <f>VLOOKUP($A7,IRData!$A$3:$M$146,5,FALSE)</f>
        <v>0</v>
      </c>
      <c r="K7" s="90">
        <f t="shared" si="0"/>
        <v>1710.4766445457935</v>
      </c>
      <c r="L7" s="66"/>
      <c r="M7" s="66"/>
    </row>
    <row r="8" spans="1:15" x14ac:dyDescent="0.2">
      <c r="A8" s="185">
        <v>372014</v>
      </c>
      <c r="B8" s="212" t="str">
        <f>INDEX('Inntektsramme 2016'!$B$3:$B$146,MATCH(A8,'Inntektsramme 2016'!$A$3:$A$146,0))</f>
        <v>AS Eidefoss</v>
      </c>
      <c r="C8" s="88">
        <v>33324</v>
      </c>
      <c r="D8" s="267">
        <v>0.24519000947475433</v>
      </c>
      <c r="E8" s="88">
        <f>VLOOKUP($A8,IRData!$A$3:$Q$146,17,FALSE)</f>
        <v>16951</v>
      </c>
      <c r="F8" s="88">
        <f>VLOOKUP($A8,IRData!$A$3:$W$146,23,FALSE)</f>
        <v>8877</v>
      </c>
      <c r="G8" s="89">
        <f t="shared" si="1"/>
        <v>4156.2158506065607</v>
      </c>
      <c r="H8" s="89">
        <f t="shared" si="2"/>
        <v>2176.5517141073942</v>
      </c>
      <c r="I8" s="88">
        <f>VLOOKUP($A8,IRData!$A$3:$M$146,13,FALSE)</f>
        <v>3294</v>
      </c>
      <c r="J8" s="88">
        <f>VLOOKUP($A8,IRData!$A$3:$M$146,5,FALSE)</f>
        <v>0</v>
      </c>
      <c r="K8" s="90">
        <f t="shared" si="0"/>
        <v>42950.767564713955</v>
      </c>
      <c r="L8" s="66"/>
      <c r="M8" s="66"/>
    </row>
    <row r="9" spans="1:15" x14ac:dyDescent="0.2">
      <c r="A9" s="185">
        <v>142014</v>
      </c>
      <c r="B9" s="212" t="str">
        <f>INDEX('Inntektsramme 2016'!$B$3:$B$146,MATCH(A9,'Inntektsramme 2016'!$A$3:$A$146,0))</f>
        <v>Askøy Energi AS</v>
      </c>
      <c r="C9" s="88">
        <v>21376</v>
      </c>
      <c r="D9" s="267">
        <v>0.24316000938415527</v>
      </c>
      <c r="E9" s="88">
        <f>VLOOKUP($A9,IRData!$A$3:$Q$146,17,FALSE)</f>
        <v>12523</v>
      </c>
      <c r="F9" s="88">
        <f>VLOOKUP($A9,IRData!$A$3:$W$146,23,FALSE)</f>
        <v>2938</v>
      </c>
      <c r="G9" s="89">
        <f t="shared" si="1"/>
        <v>3045.0927975177765</v>
      </c>
      <c r="H9" s="89">
        <f t="shared" si="2"/>
        <v>714.40410757064819</v>
      </c>
      <c r="I9" s="88">
        <f>VLOOKUP($A9,IRData!$A$3:$M$146,13,FALSE)</f>
        <v>1305</v>
      </c>
      <c r="J9" s="88">
        <f>VLOOKUP($A9,IRData!$A$3:$M$146,5,FALSE)</f>
        <v>0</v>
      </c>
      <c r="K9" s="90">
        <f t="shared" si="0"/>
        <v>26440.496905088425</v>
      </c>
      <c r="L9" s="66"/>
      <c r="M9" s="66"/>
    </row>
    <row r="10" spans="1:15" x14ac:dyDescent="0.2">
      <c r="A10" s="185">
        <v>4182014</v>
      </c>
      <c r="B10" s="212" t="str">
        <f>INDEX('Inntektsramme 2016'!$B$3:$B$146,MATCH(A10,'Inntektsramme 2016'!$A$3:$A$146,0))</f>
        <v>Aurland Energiverk AS</v>
      </c>
      <c r="C10" s="88">
        <v>10808</v>
      </c>
      <c r="D10" s="267">
        <v>0.24519000947475433</v>
      </c>
      <c r="E10" s="88">
        <f>VLOOKUP($A10,IRData!$A$3:$Q$146,17,FALSE)</f>
        <v>2339</v>
      </c>
      <c r="F10" s="88">
        <f>VLOOKUP($A10,IRData!$A$3:$W$146,23,FALSE)</f>
        <v>0</v>
      </c>
      <c r="G10" s="89">
        <f t="shared" si="1"/>
        <v>573.49943216145039</v>
      </c>
      <c r="H10" s="89">
        <f t="shared" si="2"/>
        <v>0</v>
      </c>
      <c r="I10" s="88">
        <f>VLOOKUP($A10,IRData!$A$3:$M$146,13,FALSE)</f>
        <v>1565</v>
      </c>
      <c r="J10" s="88">
        <f>VLOOKUP($A10,IRData!$A$3:$M$146,5,FALSE)</f>
        <v>0</v>
      </c>
      <c r="K10" s="90">
        <f t="shared" si="0"/>
        <v>12946.49943216145</v>
      </c>
      <c r="L10" s="66"/>
      <c r="M10" s="66"/>
    </row>
    <row r="11" spans="1:15" x14ac:dyDescent="0.2">
      <c r="A11" s="185">
        <v>162014</v>
      </c>
      <c r="B11" s="212" t="str">
        <f>INDEX('Inntektsramme 2016'!$B$3:$B$146,MATCH(A11,'Inntektsramme 2016'!$A$3:$A$146,0))</f>
        <v>Austevoll Kraftlag SA</v>
      </c>
      <c r="C11" s="88">
        <v>18480</v>
      </c>
      <c r="D11" s="267">
        <v>0.24316000938415527</v>
      </c>
      <c r="E11" s="88">
        <f>VLOOKUP($A11,IRData!$A$3:$Q$146,17,FALSE)</f>
        <v>7116</v>
      </c>
      <c r="F11" s="88">
        <f>VLOOKUP($A11,IRData!$A$3:$W$146,23,FALSE)</f>
        <v>0</v>
      </c>
      <c r="G11" s="89">
        <f t="shared" si="1"/>
        <v>1730.3266267776489</v>
      </c>
      <c r="H11" s="89">
        <f t="shared" si="2"/>
        <v>0</v>
      </c>
      <c r="I11" s="88">
        <f>VLOOKUP($A11,IRData!$A$3:$M$146,13,FALSE)</f>
        <v>1012</v>
      </c>
      <c r="J11" s="88">
        <f>VLOOKUP($A11,IRData!$A$3:$M$146,5,FALSE)</f>
        <v>0</v>
      </c>
      <c r="K11" s="90">
        <f t="shared" si="0"/>
        <v>21222.326626777649</v>
      </c>
      <c r="L11" s="66"/>
      <c r="M11" s="66"/>
    </row>
    <row r="12" spans="1:15" x14ac:dyDescent="0.2">
      <c r="A12" s="185">
        <v>182014</v>
      </c>
      <c r="B12" s="212" t="str">
        <f>INDEX('Inntektsramme 2016'!$B$3:$B$146,MATCH(A12,'Inntektsramme 2016'!$A$3:$A$146,0))</f>
        <v>Ballangen Energi AS</v>
      </c>
      <c r="C12" s="88">
        <v>11977</v>
      </c>
      <c r="D12" s="267">
        <v>0.27391999959945679</v>
      </c>
      <c r="E12" s="88">
        <f>VLOOKUP($A12,IRData!$A$3:$Q$146,17,FALSE)</f>
        <v>3760</v>
      </c>
      <c r="F12" s="88">
        <f>VLOOKUP($A12,IRData!$A$3:$W$146,23,FALSE)</f>
        <v>95</v>
      </c>
      <c r="G12" s="89">
        <f t="shared" si="1"/>
        <v>1029.9391984939575</v>
      </c>
      <c r="H12" s="89">
        <f t="shared" si="2"/>
        <v>26.022399961948395</v>
      </c>
      <c r="I12" s="88">
        <f>VLOOKUP($A12,IRData!$A$3:$M$146,13,FALSE)</f>
        <v>594</v>
      </c>
      <c r="J12" s="88">
        <f>VLOOKUP($A12,IRData!$A$3:$M$146,5,FALSE)</f>
        <v>0</v>
      </c>
      <c r="K12" s="90">
        <f t="shared" si="0"/>
        <v>13626.961598455906</v>
      </c>
      <c r="L12" s="66"/>
      <c r="M12" s="66"/>
    </row>
    <row r="13" spans="1:15" x14ac:dyDescent="0.2">
      <c r="A13" s="185">
        <v>222014</v>
      </c>
      <c r="B13" s="212" t="str">
        <f>INDEX('Inntektsramme 2016'!$B$3:$B$146,MATCH(A13,'Inntektsramme 2016'!$A$3:$A$146,0))</f>
        <v>Bindal Kraftlag SA</v>
      </c>
      <c r="C13" s="88">
        <v>6533</v>
      </c>
      <c r="D13" s="267">
        <v>0.27391999959945679</v>
      </c>
      <c r="E13" s="88">
        <f>VLOOKUP($A13,IRData!$A$3:$Q$146,17,FALSE)</f>
        <v>1442</v>
      </c>
      <c r="F13" s="88">
        <f>VLOOKUP($A13,IRData!$A$3:$W$146,23,FALSE)</f>
        <v>0</v>
      </c>
      <c r="G13" s="89">
        <f t="shared" si="1"/>
        <v>394.99263942241669</v>
      </c>
      <c r="H13" s="89">
        <f t="shared" si="2"/>
        <v>0</v>
      </c>
      <c r="I13" s="88">
        <f>VLOOKUP($A13,IRData!$A$3:$M$146,13,FALSE)</f>
        <v>357</v>
      </c>
      <c r="J13" s="88">
        <f>VLOOKUP($A13,IRData!$A$3:$M$146,5,FALSE)</f>
        <v>0</v>
      </c>
      <c r="K13" s="90">
        <f t="shared" si="0"/>
        <v>7284.9926394224167</v>
      </c>
      <c r="L13" s="66"/>
      <c r="M13" s="66"/>
    </row>
    <row r="14" spans="1:15" x14ac:dyDescent="0.2">
      <c r="A14" s="185">
        <v>5662014</v>
      </c>
      <c r="B14" s="212" t="str">
        <f>INDEX('Inntektsramme 2016'!$B$3:$B$146,MATCH(A14,'Inntektsramme 2016'!$A$3:$A$146,0))</f>
        <v>BKK Nett AS</v>
      </c>
      <c r="C14" s="88">
        <v>698845</v>
      </c>
      <c r="D14" s="267">
        <v>0.24316000938415527</v>
      </c>
      <c r="E14" s="88">
        <f>VLOOKUP($A14,IRData!$A$3:$Q$146,17,FALSE)</f>
        <v>195560</v>
      </c>
      <c r="F14" s="88">
        <f>VLOOKUP($A14,IRData!$A$3:$W$146,23,FALSE)</f>
        <v>98408</v>
      </c>
      <c r="G14" s="89">
        <f t="shared" si="1"/>
        <v>47552.371435165405</v>
      </c>
      <c r="H14" s="89">
        <f t="shared" si="2"/>
        <v>23928.890203475952</v>
      </c>
      <c r="I14" s="88">
        <f>VLOOKUP($A14,IRData!$A$3:$M$146,13,FALSE)</f>
        <v>51259</v>
      </c>
      <c r="J14" s="88">
        <f>VLOOKUP($A14,IRData!$A$3:$M$146,5,FALSE)</f>
        <v>2690</v>
      </c>
      <c r="K14" s="90">
        <f t="shared" si="0"/>
        <v>824275.26163864136</v>
      </c>
      <c r="L14" s="66"/>
      <c r="M14" s="66"/>
    </row>
    <row r="15" spans="1:15" x14ac:dyDescent="0.2">
      <c r="A15" s="185">
        <v>2572014</v>
      </c>
      <c r="B15" s="212" t="str">
        <f>INDEX('Inntektsramme 2016'!$B$3:$B$146,MATCH(A15,'Inntektsramme 2016'!$A$3:$A$146,0))</f>
        <v>Dalane energi IKS</v>
      </c>
      <c r="C15" s="88">
        <v>48181</v>
      </c>
      <c r="D15" s="267">
        <v>0.24424000084400177</v>
      </c>
      <c r="E15" s="88">
        <f>VLOOKUP($A15,IRData!$A$3:$Q$146,17,FALSE)</f>
        <v>15178</v>
      </c>
      <c r="F15" s="88">
        <f>VLOOKUP($A15,IRData!$A$3:$W$146,23,FALSE)</f>
        <v>2678</v>
      </c>
      <c r="G15" s="89">
        <f t="shared" si="1"/>
        <v>3707.0747328102589</v>
      </c>
      <c r="H15" s="89">
        <f t="shared" si="2"/>
        <v>654.07472226023674</v>
      </c>
      <c r="I15" s="88">
        <f>VLOOKUP($A15,IRData!$A$3:$M$146,13,FALSE)</f>
        <v>6430</v>
      </c>
      <c r="J15" s="88">
        <f>VLOOKUP($A15,IRData!$A$3:$M$146,5,FALSE)</f>
        <v>0</v>
      </c>
      <c r="K15" s="90">
        <f t="shared" si="0"/>
        <v>58972.149455070496</v>
      </c>
      <c r="L15" s="66"/>
      <c r="M15" s="66"/>
    </row>
    <row r="16" spans="1:15" x14ac:dyDescent="0.2">
      <c r="A16" s="185">
        <v>352014</v>
      </c>
      <c r="B16" s="212" t="str">
        <f>INDEX('Inntektsramme 2016'!$B$3:$B$146,MATCH(A16,'Inntektsramme 2016'!$A$3:$A$146,0))</f>
        <v>Drangedal Everk KF</v>
      </c>
      <c r="C16" s="88">
        <v>12396</v>
      </c>
      <c r="D16" s="267">
        <v>0.24424000084400177</v>
      </c>
      <c r="E16" s="88">
        <f>VLOOKUP($A16,IRData!$A$3:$Q$146,17,FALSE)</f>
        <v>5216</v>
      </c>
      <c r="F16" s="88">
        <f>VLOOKUP($A16,IRData!$A$3:$W$146,23,FALSE)</f>
        <v>0</v>
      </c>
      <c r="G16" s="89">
        <f t="shared" si="1"/>
        <v>1273.9558444023132</v>
      </c>
      <c r="H16" s="89">
        <f t="shared" si="2"/>
        <v>0</v>
      </c>
      <c r="I16" s="88">
        <f>VLOOKUP($A16,IRData!$A$3:$M$146,13,FALSE)</f>
        <v>222</v>
      </c>
      <c r="J16" s="88">
        <f>VLOOKUP($A16,IRData!$A$3:$M$146,5,FALSE)</f>
        <v>0</v>
      </c>
      <c r="K16" s="90">
        <f t="shared" si="0"/>
        <v>13891.955844402313</v>
      </c>
      <c r="L16" s="66"/>
      <c r="M16" s="66"/>
    </row>
    <row r="17" spans="1:13" x14ac:dyDescent="0.2">
      <c r="A17" s="185">
        <v>2712014</v>
      </c>
      <c r="B17" s="212" t="str">
        <f>INDEX('Inntektsramme 2016'!$B$3:$B$146,MATCH(A17,'Inntektsramme 2016'!$A$3:$A$146,0))</f>
        <v>Driva Kraftverk</v>
      </c>
      <c r="C17" s="88">
        <v>1347</v>
      </c>
      <c r="D17" s="267">
        <v>0.27448001503944397</v>
      </c>
      <c r="E17" s="88">
        <f>VLOOKUP($A17,IRData!$A$3:$Q$146,17,FALSE)</f>
        <v>0</v>
      </c>
      <c r="F17" s="88">
        <f>VLOOKUP($A17,IRData!$A$3:$W$146,23,FALSE)</f>
        <v>4254</v>
      </c>
      <c r="G17" s="89">
        <f t="shared" si="1"/>
        <v>0</v>
      </c>
      <c r="H17" s="89">
        <f t="shared" si="2"/>
        <v>1167.6379839777946</v>
      </c>
      <c r="I17" s="88">
        <f>VLOOKUP($A17,IRData!$A$3:$M$146,13,FALSE)</f>
        <v>0</v>
      </c>
      <c r="J17" s="88">
        <f>VLOOKUP($A17,IRData!$A$3:$M$146,5,FALSE)</f>
        <v>0</v>
      </c>
      <c r="K17" s="90">
        <f t="shared" si="0"/>
        <v>2514.6379839777946</v>
      </c>
      <c r="L17" s="66"/>
      <c r="M17" s="66"/>
    </row>
    <row r="18" spans="1:13" x14ac:dyDescent="0.2">
      <c r="A18" s="185">
        <v>6152014</v>
      </c>
      <c r="B18" s="212" t="str">
        <f>INDEX('Inntektsramme 2016'!$B$3:$B$146,MATCH(A18,'Inntektsramme 2016'!$A$3:$A$146,0))</f>
        <v>EB Nett AS</v>
      </c>
      <c r="C18" s="88">
        <v>135868</v>
      </c>
      <c r="D18" s="267">
        <v>0.24511998891830444</v>
      </c>
      <c r="E18" s="88">
        <f>VLOOKUP($A18,IRData!$A$3:$Q$146,17,FALSE)</f>
        <v>82656</v>
      </c>
      <c r="F18" s="88">
        <f>VLOOKUP($A18,IRData!$A$3:$W$146,23,FALSE)</f>
        <v>102484</v>
      </c>
      <c r="G18" s="89">
        <f t="shared" si="1"/>
        <v>20260.637804031372</v>
      </c>
      <c r="H18" s="89">
        <f t="shared" si="2"/>
        <v>25120.876944303513</v>
      </c>
      <c r="I18" s="88">
        <f>VLOOKUP($A18,IRData!$A$3:$M$146,13,FALSE)</f>
        <v>24050</v>
      </c>
      <c r="J18" s="88">
        <f>VLOOKUP($A18,IRData!$A$3:$M$146,5,FALSE)</f>
        <v>1445</v>
      </c>
      <c r="K18" s="90">
        <f t="shared" si="0"/>
        <v>206744.51474833488</v>
      </c>
      <c r="L18" s="66"/>
      <c r="M18" s="66"/>
    </row>
    <row r="19" spans="1:13" x14ac:dyDescent="0.2">
      <c r="A19" s="185">
        <v>4472014</v>
      </c>
      <c r="B19" s="212" t="str">
        <f>INDEX('Inntektsramme 2016'!$B$3:$B$146,MATCH(A19,'Inntektsramme 2016'!$A$3:$A$146,0))</f>
        <v>E-CO Energi AS</v>
      </c>
      <c r="C19" s="88">
        <v>20584</v>
      </c>
      <c r="D19" s="267">
        <v>0.24519000947475433</v>
      </c>
      <c r="E19" s="88">
        <f>VLOOKUP($A19,IRData!$A$3:$Q$146,17,FALSE)</f>
        <v>0</v>
      </c>
      <c r="F19" s="88">
        <f>VLOOKUP($A19,IRData!$A$3:$W$146,23,FALSE)</f>
        <v>1928</v>
      </c>
      <c r="G19" s="89">
        <f t="shared" si="1"/>
        <v>0</v>
      </c>
      <c r="H19" s="89">
        <f t="shared" si="2"/>
        <v>472.72633826732635</v>
      </c>
      <c r="I19" s="88">
        <f>VLOOKUP($A19,IRData!$A$3:$M$146,13,FALSE)</f>
        <v>0</v>
      </c>
      <c r="J19" s="88">
        <f>VLOOKUP($A19,IRData!$A$3:$M$146,5,FALSE)</f>
        <v>0</v>
      </c>
      <c r="K19" s="90">
        <f t="shared" si="0"/>
        <v>21056.726338267326</v>
      </c>
      <c r="L19" s="66"/>
      <c r="M19" s="66"/>
    </row>
    <row r="20" spans="1:13" x14ac:dyDescent="0.2">
      <c r="A20" s="185">
        <v>5742014</v>
      </c>
      <c r="B20" s="212" t="str">
        <f>INDEX('Inntektsramme 2016'!$B$3:$B$146,MATCH(A20,'Inntektsramme 2016'!$A$3:$A$146,0))</f>
        <v>Eidsiva Nett AS</v>
      </c>
      <c r="C20" s="88">
        <v>457313</v>
      </c>
      <c r="D20" s="267">
        <v>0.24519000947475433</v>
      </c>
      <c r="E20" s="88">
        <f>VLOOKUP($A20,IRData!$A$3:$Q$146,17,FALSE)</f>
        <v>135542</v>
      </c>
      <c r="F20" s="88">
        <f>VLOOKUP($A20,IRData!$A$3:$W$146,23,FALSE)</f>
        <v>198390</v>
      </c>
      <c r="G20" s="89">
        <f t="shared" si="1"/>
        <v>33233.544264227152</v>
      </c>
      <c r="H20" s="89">
        <f t="shared" si="2"/>
        <v>48643.245979696512</v>
      </c>
      <c r="I20" s="88">
        <f>VLOOKUP($A20,IRData!$A$3:$M$146,13,FALSE)</f>
        <v>71994</v>
      </c>
      <c r="J20" s="88">
        <f>VLOOKUP($A20,IRData!$A$3:$M$146,5,FALSE)</f>
        <v>1410</v>
      </c>
      <c r="K20" s="90">
        <f t="shared" si="0"/>
        <v>612593.79024392366</v>
      </c>
      <c r="L20" s="66"/>
      <c r="M20" s="66"/>
    </row>
    <row r="21" spans="1:13" x14ac:dyDescent="0.2">
      <c r="A21" s="185">
        <v>4952014</v>
      </c>
      <c r="B21" s="212" t="str">
        <f>INDEX('Inntektsramme 2016'!$B$3:$B$146,MATCH(A21,'Inntektsramme 2016'!$A$3:$A$146,0))</f>
        <v>Elverum Nett AS</v>
      </c>
      <c r="C21" s="88">
        <v>27572</v>
      </c>
      <c r="D21" s="267">
        <v>0.24519000947475433</v>
      </c>
      <c r="E21" s="88">
        <f>VLOOKUP($A21,IRData!$A$3:$Q$146,17,FALSE)</f>
        <v>17401</v>
      </c>
      <c r="F21" s="88">
        <f>VLOOKUP($A21,IRData!$A$3:$W$146,23,FALSE)</f>
        <v>0</v>
      </c>
      <c r="G21" s="89">
        <f t="shared" si="1"/>
        <v>4266.5513548702002</v>
      </c>
      <c r="H21" s="89">
        <f t="shared" si="2"/>
        <v>0</v>
      </c>
      <c r="I21" s="88">
        <f>VLOOKUP($A21,IRData!$A$3:$M$146,13,FALSE)</f>
        <v>1531</v>
      </c>
      <c r="J21" s="88">
        <f>VLOOKUP($A21,IRData!$A$3:$M$146,5,FALSE)</f>
        <v>0</v>
      </c>
      <c r="K21" s="90">
        <f t="shared" si="0"/>
        <v>33369.5513548702</v>
      </c>
      <c r="L21" s="66"/>
      <c r="M21" s="66"/>
    </row>
    <row r="22" spans="1:13" x14ac:dyDescent="0.2">
      <c r="A22" s="185">
        <v>6142014</v>
      </c>
      <c r="B22" s="212" t="str">
        <f>INDEX('Inntektsramme 2016'!$B$3:$B$146,MATCH(A22,'Inntektsramme 2016'!$A$3:$A$146,0))</f>
        <v>Energi 1 Follo Røyken AS</v>
      </c>
      <c r="C22" s="88">
        <v>50051</v>
      </c>
      <c r="D22" s="267">
        <v>0.24519000947475433</v>
      </c>
      <c r="E22" s="88">
        <f>VLOOKUP($A22,IRData!$A$3:$Q$146,17,FALSE)</f>
        <v>48934</v>
      </c>
      <c r="F22" s="88">
        <f>VLOOKUP($A22,IRData!$A$3:$W$146,23,FALSE)</f>
        <v>0</v>
      </c>
      <c r="G22" s="89">
        <f t="shared" si="1"/>
        <v>11998.127923637629</v>
      </c>
      <c r="H22" s="89">
        <f t="shared" si="2"/>
        <v>0</v>
      </c>
      <c r="I22" s="88">
        <f>VLOOKUP($A22,IRData!$A$3:$M$146,13,FALSE)</f>
        <v>4736</v>
      </c>
      <c r="J22" s="88">
        <f>VLOOKUP($A22,IRData!$A$3:$M$146,5,FALSE)</f>
        <v>0</v>
      </c>
      <c r="K22" s="90">
        <f t="shared" si="0"/>
        <v>66785.127923637629</v>
      </c>
      <c r="L22" s="66"/>
      <c r="M22" s="66"/>
    </row>
    <row r="23" spans="1:13" x14ac:dyDescent="0.2">
      <c r="A23" s="185">
        <v>412014</v>
      </c>
      <c r="B23" s="212" t="str">
        <f>INDEX('Inntektsramme 2016'!$B$3:$B$146,MATCH(A23,'Inntektsramme 2016'!$A$3:$A$146,0))</f>
        <v>Etne Elektrisitetslag SA</v>
      </c>
      <c r="C23" s="88">
        <v>9178</v>
      </c>
      <c r="D23" s="267">
        <v>0.24424000084400177</v>
      </c>
      <c r="E23" s="88">
        <f>VLOOKUP($A23,IRData!$A$3:$Q$146,17,FALSE)</f>
        <v>2373</v>
      </c>
      <c r="F23" s="88">
        <f>VLOOKUP($A23,IRData!$A$3:$W$146,23,FALSE)</f>
        <v>128</v>
      </c>
      <c r="G23" s="89">
        <f t="shared" si="1"/>
        <v>579.5815220028162</v>
      </c>
      <c r="H23" s="89">
        <f t="shared" si="2"/>
        <v>31.262720108032227</v>
      </c>
      <c r="I23" s="88">
        <f>VLOOKUP($A23,IRData!$A$3:$M$146,13,FALSE)</f>
        <v>540</v>
      </c>
      <c r="J23" s="88">
        <f>VLOOKUP($A23,IRData!$A$3:$M$146,5,FALSE)</f>
        <v>0</v>
      </c>
      <c r="K23" s="90">
        <f t="shared" si="0"/>
        <v>10328.844242110848</v>
      </c>
      <c r="L23" s="66"/>
      <c r="M23" s="66"/>
    </row>
    <row r="24" spans="1:13" x14ac:dyDescent="0.2">
      <c r="A24" s="185">
        <v>1472014</v>
      </c>
      <c r="B24" s="212" t="str">
        <f>INDEX('Inntektsramme 2016'!$B$3:$B$146,MATCH(A24,'Inntektsramme 2016'!$A$3:$A$146,0))</f>
        <v>Evenes Kraftforsyning AS</v>
      </c>
      <c r="C24" s="88">
        <v>8914</v>
      </c>
      <c r="D24" s="267">
        <v>0.27391999959945679</v>
      </c>
      <c r="E24" s="88">
        <f>VLOOKUP($A24,IRData!$A$3:$Q$146,17,FALSE)</f>
        <v>1471</v>
      </c>
      <c r="F24" s="88">
        <f>VLOOKUP($A24,IRData!$A$3:$W$146,23,FALSE)</f>
        <v>280</v>
      </c>
      <c r="G24" s="89">
        <f t="shared" si="1"/>
        <v>402.93631941080093</v>
      </c>
      <c r="H24" s="89">
        <f t="shared" si="2"/>
        <v>76.6975998878479</v>
      </c>
      <c r="I24" s="88">
        <f>VLOOKUP($A24,IRData!$A$3:$M$146,13,FALSE)</f>
        <v>282</v>
      </c>
      <c r="J24" s="88">
        <f>VLOOKUP($A24,IRData!$A$3:$M$146,5,FALSE)</f>
        <v>0</v>
      </c>
      <c r="K24" s="90">
        <f t="shared" si="0"/>
        <v>9675.6339192986488</v>
      </c>
      <c r="L24" s="66"/>
      <c r="M24" s="66"/>
    </row>
    <row r="25" spans="1:13" x14ac:dyDescent="0.2">
      <c r="A25" s="185">
        <v>422014</v>
      </c>
      <c r="B25" s="212" t="str">
        <f>INDEX('Inntektsramme 2016'!$B$3:$B$146,MATCH(A25,'Inntektsramme 2016'!$A$3:$A$146,0))</f>
        <v>Fauske Lysverk AS</v>
      </c>
      <c r="C25" s="88">
        <v>19679</v>
      </c>
      <c r="D25" s="267">
        <v>0.27391999959945679</v>
      </c>
      <c r="E25" s="88">
        <f>VLOOKUP($A25,IRData!$A$3:$Q$146,17,FALSE)</f>
        <v>7761</v>
      </c>
      <c r="F25" s="88">
        <f>VLOOKUP($A25,IRData!$A$3:$W$146,23,FALSE)</f>
        <v>0</v>
      </c>
      <c r="G25" s="89">
        <f t="shared" si="1"/>
        <v>2125.8931168913841</v>
      </c>
      <c r="H25" s="89">
        <f t="shared" si="2"/>
        <v>0</v>
      </c>
      <c r="I25" s="88">
        <f>VLOOKUP($A25,IRData!$A$3:$M$146,13,FALSE)</f>
        <v>512</v>
      </c>
      <c r="J25" s="88">
        <f>VLOOKUP($A25,IRData!$A$3:$M$146,5,FALSE)</f>
        <v>0</v>
      </c>
      <c r="K25" s="90">
        <f t="shared" si="0"/>
        <v>22316.893116891384</v>
      </c>
      <c r="L25" s="66"/>
      <c r="M25" s="66"/>
    </row>
    <row r="26" spans="1:13" x14ac:dyDescent="0.2">
      <c r="A26" s="185">
        <v>432014</v>
      </c>
      <c r="B26" s="212" t="str">
        <f>INDEX('Inntektsramme 2016'!$B$3:$B$146,MATCH(A26,'Inntektsramme 2016'!$A$3:$A$146,0))</f>
        <v>Finnås Kraftlag SA</v>
      </c>
      <c r="C26" s="88">
        <v>18811</v>
      </c>
      <c r="D26" s="267">
        <v>0.24316000938415527</v>
      </c>
      <c r="E26" s="88">
        <f>VLOOKUP($A26,IRData!$A$3:$Q$146,17,FALSE)</f>
        <v>8030</v>
      </c>
      <c r="F26" s="88">
        <f>VLOOKUP($A26,IRData!$A$3:$W$146,23,FALSE)</f>
        <v>0</v>
      </c>
      <c r="G26" s="89">
        <f t="shared" si="1"/>
        <v>1952.5748753547668</v>
      </c>
      <c r="H26" s="89">
        <f t="shared" si="2"/>
        <v>0</v>
      </c>
      <c r="I26" s="88">
        <f>VLOOKUP($A26,IRData!$A$3:$M$146,13,FALSE)</f>
        <v>1718</v>
      </c>
      <c r="J26" s="88">
        <f>VLOOKUP($A26,IRData!$A$3:$M$146,5,FALSE)</f>
        <v>0</v>
      </c>
      <c r="K26" s="90">
        <f t="shared" si="0"/>
        <v>22481.574875354767</v>
      </c>
      <c r="L26" s="66"/>
      <c r="M26" s="66"/>
    </row>
    <row r="27" spans="1:13" x14ac:dyDescent="0.2">
      <c r="A27" s="185">
        <v>452014</v>
      </c>
      <c r="B27" s="212" t="str">
        <f>INDEX('Inntektsramme 2016'!$B$3:$B$146,MATCH(A27,'Inntektsramme 2016'!$A$3:$A$146,0))</f>
        <v>Fitjar Kraftlag SA</v>
      </c>
      <c r="C27" s="88">
        <v>16348</v>
      </c>
      <c r="D27" s="267">
        <v>0.24316000938415527</v>
      </c>
      <c r="E27" s="88">
        <f>VLOOKUP($A27,IRData!$A$3:$Q$146,17,FALSE)</f>
        <v>3498</v>
      </c>
      <c r="F27" s="88">
        <f>VLOOKUP($A27,IRData!$A$3:$W$146,23,FALSE)</f>
        <v>0</v>
      </c>
      <c r="G27" s="89">
        <f t="shared" si="1"/>
        <v>850.57371282577515</v>
      </c>
      <c r="H27" s="89">
        <f t="shared" si="2"/>
        <v>0</v>
      </c>
      <c r="I27" s="88">
        <f>VLOOKUP($A27,IRData!$A$3:$M$146,13,FALSE)</f>
        <v>1303</v>
      </c>
      <c r="J27" s="88">
        <f>VLOOKUP($A27,IRData!$A$3:$M$146,5,FALSE)</f>
        <v>0</v>
      </c>
      <c r="K27" s="90">
        <f t="shared" si="0"/>
        <v>18501.573712825775</v>
      </c>
      <c r="L27" s="66"/>
      <c r="M27" s="66"/>
    </row>
    <row r="28" spans="1:13" x14ac:dyDescent="0.2">
      <c r="A28" s="185">
        <v>462014</v>
      </c>
      <c r="B28" s="212" t="str">
        <f>INDEX('Inntektsramme 2016'!$B$3:$B$146,MATCH(A28,'Inntektsramme 2016'!$A$3:$A$146,0))</f>
        <v>Fjelberg Kraftlag SA</v>
      </c>
      <c r="C28" s="88">
        <v>9905</v>
      </c>
      <c r="D28" s="267">
        <v>0.24316000938415527</v>
      </c>
      <c r="E28" s="88">
        <f>VLOOKUP($A28,IRData!$A$3:$Q$146,17,FALSE)</f>
        <v>2237</v>
      </c>
      <c r="F28" s="88">
        <f>VLOOKUP($A28,IRData!$A$3:$W$146,23,FALSE)</f>
        <v>0</v>
      </c>
      <c r="G28" s="89">
        <f t="shared" si="1"/>
        <v>543.94894099235535</v>
      </c>
      <c r="H28" s="89">
        <f t="shared" si="2"/>
        <v>0</v>
      </c>
      <c r="I28" s="88">
        <f>VLOOKUP($A28,IRData!$A$3:$M$146,13,FALSE)</f>
        <v>801</v>
      </c>
      <c r="J28" s="88">
        <f>VLOOKUP($A28,IRData!$A$3:$M$146,5,FALSE)</f>
        <v>0</v>
      </c>
      <c r="K28" s="90">
        <f t="shared" si="0"/>
        <v>11249.948940992355</v>
      </c>
      <c r="L28" s="66"/>
      <c r="M28" s="66"/>
    </row>
    <row r="29" spans="1:13" x14ac:dyDescent="0.2">
      <c r="A29" s="185">
        <v>5782014</v>
      </c>
      <c r="B29" s="212" t="str">
        <f>INDEX('Inntektsramme 2016'!$B$3:$B$146,MATCH(A29,'Inntektsramme 2016'!$A$3:$A$146,0))</f>
        <v>Flesberg Elektrisitetsverk AS</v>
      </c>
      <c r="C29" s="88">
        <v>12477</v>
      </c>
      <c r="D29" s="267">
        <v>0.24519000947475433</v>
      </c>
      <c r="E29" s="88">
        <f>VLOOKUP($A29,IRData!$A$3:$Q$146,17,FALSE)</f>
        <v>3325</v>
      </c>
      <c r="F29" s="88">
        <f>VLOOKUP($A29,IRData!$A$3:$W$146,23,FALSE)</f>
        <v>0</v>
      </c>
      <c r="G29" s="89">
        <f t="shared" si="1"/>
        <v>815.25678150355816</v>
      </c>
      <c r="H29" s="89">
        <f t="shared" si="2"/>
        <v>0</v>
      </c>
      <c r="I29" s="88">
        <f>VLOOKUP($A29,IRData!$A$3:$M$146,13,FALSE)</f>
        <v>588</v>
      </c>
      <c r="J29" s="88">
        <f>VLOOKUP($A29,IRData!$A$3:$M$146,5,FALSE)</f>
        <v>0</v>
      </c>
      <c r="K29" s="90">
        <f t="shared" si="0"/>
        <v>13880.256781503558</v>
      </c>
      <c r="L29" s="66"/>
      <c r="M29" s="66"/>
    </row>
    <row r="30" spans="1:13" x14ac:dyDescent="0.2">
      <c r="A30" s="185">
        <v>522014</v>
      </c>
      <c r="B30" s="212" t="str">
        <f>INDEX('Inntektsramme 2016'!$B$3:$B$146,MATCH(A30,'Inntektsramme 2016'!$A$3:$A$146,0))</f>
        <v>Forsand Elverk Kommunalt Føretak i Forsand</v>
      </c>
      <c r="C30" s="88">
        <v>5701</v>
      </c>
      <c r="D30" s="267">
        <v>0.24424000084400177</v>
      </c>
      <c r="E30" s="88">
        <f>VLOOKUP($A30,IRData!$A$3:$Q$146,17,FALSE)</f>
        <v>1312</v>
      </c>
      <c r="F30" s="88">
        <f>VLOOKUP($A30,IRData!$A$3:$W$146,23,FALSE)</f>
        <v>0</v>
      </c>
      <c r="G30" s="89">
        <f t="shared" si="1"/>
        <v>320.44288110733032</v>
      </c>
      <c r="H30" s="89">
        <f t="shared" si="2"/>
        <v>0</v>
      </c>
      <c r="I30" s="88">
        <f>VLOOKUP($A30,IRData!$A$3:$M$146,13,FALSE)</f>
        <v>610</v>
      </c>
      <c r="J30" s="88">
        <f>VLOOKUP($A30,IRData!$A$3:$M$146,5,FALSE)</f>
        <v>0</v>
      </c>
      <c r="K30" s="90">
        <f t="shared" si="0"/>
        <v>6631.4428811073303</v>
      </c>
      <c r="L30" s="66"/>
      <c r="M30" s="66"/>
    </row>
    <row r="31" spans="1:13" x14ac:dyDescent="0.2">
      <c r="A31" s="185">
        <v>532014</v>
      </c>
      <c r="B31" s="212" t="str">
        <f>INDEX('Inntektsramme 2016'!$B$3:$B$146,MATCH(A31,'Inntektsramme 2016'!$A$3:$A$146,0))</f>
        <v>Fosen Nett AS</v>
      </c>
      <c r="C31" s="88">
        <v>20623</v>
      </c>
      <c r="D31" s="267">
        <v>0.27448001503944397</v>
      </c>
      <c r="E31" s="88">
        <f>VLOOKUP($A31,IRData!$A$3:$Q$146,17,FALSE)</f>
        <v>1657</v>
      </c>
      <c r="F31" s="88">
        <f>VLOOKUP($A31,IRData!$A$3:$W$146,23,FALSE)</f>
        <v>0</v>
      </c>
      <c r="G31" s="89">
        <f t="shared" si="1"/>
        <v>454.81338492035866</v>
      </c>
      <c r="H31" s="89">
        <f t="shared" si="2"/>
        <v>0</v>
      </c>
      <c r="I31" s="88">
        <f>VLOOKUP($A31,IRData!$A$3:$M$146,13,FALSE)</f>
        <v>893</v>
      </c>
      <c r="J31" s="88">
        <f>VLOOKUP($A31,IRData!$A$3:$M$146,5,FALSE)</f>
        <v>0</v>
      </c>
      <c r="K31" s="90">
        <f t="shared" si="0"/>
        <v>21970.813384920359</v>
      </c>
      <c r="L31" s="66"/>
      <c r="M31" s="66"/>
    </row>
    <row r="32" spans="1:13" x14ac:dyDescent="0.2">
      <c r="A32" s="185">
        <v>322014</v>
      </c>
      <c r="B32" s="212" t="str">
        <f>INDEX('Inntektsramme 2016'!$B$3:$B$146,MATCH(A32,'Inntektsramme 2016'!$A$3:$A$146,0))</f>
        <v>Fredrikstad Energi Nett AS</v>
      </c>
      <c r="C32" s="88">
        <v>54557</v>
      </c>
      <c r="D32" s="267">
        <v>0.24519000947475433</v>
      </c>
      <c r="E32" s="88">
        <f>VLOOKUP($A32,IRData!$A$3:$Q$146,17,FALSE)</f>
        <v>52600</v>
      </c>
      <c r="F32" s="88">
        <f>VLOOKUP($A32,IRData!$A$3:$W$146,23,FALSE)</f>
        <v>0</v>
      </c>
      <c r="G32" s="89">
        <f t="shared" si="1"/>
        <v>12896.994498372078</v>
      </c>
      <c r="H32" s="89">
        <f t="shared" si="2"/>
        <v>0</v>
      </c>
      <c r="I32" s="88">
        <f>VLOOKUP($A32,IRData!$A$3:$M$146,13,FALSE)</f>
        <v>2406</v>
      </c>
      <c r="J32" s="88">
        <f>VLOOKUP($A32,IRData!$A$3:$M$146,5,FALSE)</f>
        <v>0</v>
      </c>
      <c r="K32" s="90">
        <f t="shared" si="0"/>
        <v>69859.994498372078</v>
      </c>
      <c r="L32" s="66"/>
      <c r="M32" s="66"/>
    </row>
    <row r="33" spans="1:13" x14ac:dyDescent="0.2">
      <c r="A33" s="185">
        <v>552014</v>
      </c>
      <c r="B33" s="212" t="str">
        <f>INDEX('Inntektsramme 2016'!$B$3:$B$146,MATCH(A33,'Inntektsramme 2016'!$A$3:$A$146,0))</f>
        <v>Fusa Kraftlag SA</v>
      </c>
      <c r="C33" s="88">
        <v>14881</v>
      </c>
      <c r="D33" s="267">
        <v>0.24316000938415527</v>
      </c>
      <c r="E33" s="88">
        <f>VLOOKUP($A33,IRData!$A$3:$Q$146,17,FALSE)</f>
        <v>5519</v>
      </c>
      <c r="F33" s="88">
        <f>VLOOKUP($A33,IRData!$A$3:$W$146,23,FALSE)</f>
        <v>0</v>
      </c>
      <c r="G33" s="89">
        <f t="shared" si="1"/>
        <v>1342.000091791153</v>
      </c>
      <c r="H33" s="89">
        <f t="shared" si="2"/>
        <v>0</v>
      </c>
      <c r="I33" s="88">
        <f>VLOOKUP($A33,IRData!$A$3:$M$146,13,FALSE)</f>
        <v>299</v>
      </c>
      <c r="J33" s="88">
        <f>VLOOKUP($A33,IRData!$A$3:$M$146,5,FALSE)</f>
        <v>0</v>
      </c>
      <c r="K33" s="90">
        <f t="shared" si="0"/>
        <v>16522.000091791153</v>
      </c>
      <c r="L33" s="66"/>
      <c r="M33" s="66"/>
    </row>
    <row r="34" spans="1:13" x14ac:dyDescent="0.2">
      <c r="A34" s="185">
        <v>9002014</v>
      </c>
      <c r="B34" s="212" t="str">
        <f>INDEX('Inntektsramme 2016'!$B$3:$B$146,MATCH(A34,'Inntektsramme 2016'!$A$3:$A$146,0))</f>
        <v>GASSCO AS</v>
      </c>
      <c r="C34" s="88">
        <v>916</v>
      </c>
      <c r="D34" s="267">
        <v>0.24424000084400177</v>
      </c>
      <c r="E34" s="88">
        <f>VLOOKUP($A34,IRData!$A$3:$Q$146,17,FALSE)</f>
        <v>0</v>
      </c>
      <c r="F34" s="88">
        <f>VLOOKUP($A34,IRData!$A$3:$W$146,23,FALSE)</f>
        <v>0</v>
      </c>
      <c r="G34" s="89">
        <f t="shared" si="1"/>
        <v>0</v>
      </c>
      <c r="H34" s="89">
        <f t="shared" si="2"/>
        <v>0</v>
      </c>
      <c r="I34" s="88">
        <f>VLOOKUP($A34,IRData!$A$3:$M$146,13,FALSE)</f>
        <v>0</v>
      </c>
      <c r="J34" s="88">
        <f>VLOOKUP($A34,IRData!$A$3:$M$146,5,FALSE)</f>
        <v>0</v>
      </c>
      <c r="K34" s="90">
        <f t="shared" si="0"/>
        <v>916</v>
      </c>
      <c r="L34" s="66"/>
      <c r="M34" s="66"/>
    </row>
    <row r="35" spans="1:13" x14ac:dyDescent="0.2">
      <c r="A35" s="185">
        <v>1192014</v>
      </c>
      <c r="B35" s="212" t="str">
        <f>INDEX('Inntektsramme 2016'!$B$3:$B$146,MATCH(A35,'Inntektsramme 2016'!$A$3:$A$146,0))</f>
        <v>Gauldal Nett AS</v>
      </c>
      <c r="C35" s="88">
        <v>18179</v>
      </c>
      <c r="D35" s="267">
        <v>0.27448001503944397</v>
      </c>
      <c r="E35" s="88">
        <f>VLOOKUP($A35,IRData!$A$3:$Q$146,17,FALSE)</f>
        <v>7073</v>
      </c>
      <c r="F35" s="88">
        <f>VLOOKUP($A35,IRData!$A$3:$W$146,23,FALSE)</f>
        <v>0</v>
      </c>
      <c r="G35" s="89">
        <f t="shared" si="1"/>
        <v>1941.3971463739872</v>
      </c>
      <c r="H35" s="89">
        <f t="shared" si="2"/>
        <v>0</v>
      </c>
      <c r="I35" s="88">
        <f>VLOOKUP($A35,IRData!$A$3:$M$146,13,FALSE)</f>
        <v>1013</v>
      </c>
      <c r="J35" s="88">
        <f>VLOOKUP($A35,IRData!$A$3:$M$146,5,FALSE)</f>
        <v>0</v>
      </c>
      <c r="K35" s="90">
        <f t="shared" ref="K35:K66" si="3">C35+G35+H35+I35+J35</f>
        <v>21133.397146373987</v>
      </c>
      <c r="L35" s="66"/>
      <c r="M35" s="66"/>
    </row>
    <row r="36" spans="1:13" x14ac:dyDescent="0.2">
      <c r="A36" s="185">
        <v>2952014</v>
      </c>
      <c r="B36" s="212" t="str">
        <f>INDEX('Inntektsramme 2016'!$B$3:$B$146,MATCH(A36,'Inntektsramme 2016'!$A$3:$A$146,0))</f>
        <v>Gudbrandsdal Energi AS</v>
      </c>
      <c r="C36" s="88">
        <v>45792</v>
      </c>
      <c r="D36" s="267">
        <v>0.24519000947475433</v>
      </c>
      <c r="E36" s="88">
        <f>VLOOKUP($A36,IRData!$A$3:$Q$146,17,FALSE)</f>
        <v>19011</v>
      </c>
      <c r="F36" s="88">
        <f>VLOOKUP($A36,IRData!$A$3:$W$146,23,FALSE)</f>
        <v>7623</v>
      </c>
      <c r="G36" s="89">
        <f t="shared" si="1"/>
        <v>4661.3072701245546</v>
      </c>
      <c r="H36" s="89">
        <f t="shared" si="2"/>
        <v>1869.0834422260523</v>
      </c>
      <c r="I36" s="88">
        <f>VLOOKUP($A36,IRData!$A$3:$M$146,13,FALSE)</f>
        <v>4235</v>
      </c>
      <c r="J36" s="88">
        <f>VLOOKUP($A36,IRData!$A$3:$M$146,5,FALSE)</f>
        <v>0</v>
      </c>
      <c r="K36" s="90">
        <f t="shared" si="3"/>
        <v>56557.390712350607</v>
      </c>
      <c r="L36" s="66"/>
      <c r="M36" s="66"/>
    </row>
    <row r="37" spans="1:13" x14ac:dyDescent="0.2">
      <c r="A37" s="185">
        <v>622014</v>
      </c>
      <c r="B37" s="212" t="str">
        <f>INDEX('Inntektsramme 2016'!$B$3:$B$146,MATCH(A37,'Inntektsramme 2016'!$A$3:$A$146,0))</f>
        <v>Hadeland Energinett AS</v>
      </c>
      <c r="C37" s="88">
        <v>37091</v>
      </c>
      <c r="D37" s="267">
        <v>0.24519000947475433</v>
      </c>
      <c r="E37" s="88">
        <f>VLOOKUP($A37,IRData!$A$3:$Q$146,17,FALSE)</f>
        <v>16568</v>
      </c>
      <c r="F37" s="88">
        <f>VLOOKUP($A37,IRData!$A$3:$W$146,23,FALSE)</f>
        <v>3039</v>
      </c>
      <c r="G37" s="89">
        <f t="shared" si="1"/>
        <v>4062.3080769777298</v>
      </c>
      <c r="H37" s="89">
        <f t="shared" si="2"/>
        <v>745.13243879377842</v>
      </c>
      <c r="I37" s="88">
        <f>VLOOKUP($A37,IRData!$A$3:$M$146,13,FALSE)</f>
        <v>2779</v>
      </c>
      <c r="J37" s="88">
        <f>VLOOKUP($A37,IRData!$A$3:$M$146,5,FALSE)</f>
        <v>0</v>
      </c>
      <c r="K37" s="90">
        <f t="shared" si="3"/>
        <v>44677.440515771508</v>
      </c>
      <c r="L37" s="66"/>
      <c r="M37" s="66"/>
    </row>
    <row r="38" spans="1:13" x14ac:dyDescent="0.2">
      <c r="A38" s="185">
        <v>6752014</v>
      </c>
      <c r="B38" s="212" t="str">
        <f>INDEX('Inntektsramme 2016'!$B$3:$B$146,MATCH(A38,'Inntektsramme 2016'!$A$3:$A$146,0))</f>
        <v>Hafslund Nett AS</v>
      </c>
      <c r="C38" s="88">
        <v>1592141</v>
      </c>
      <c r="D38" s="267">
        <v>0.24519000947475433</v>
      </c>
      <c r="E38" s="88">
        <f>VLOOKUP($A38,IRData!$A$3:$Q$146,17,FALSE)</f>
        <v>744632</v>
      </c>
      <c r="F38" s="88">
        <f>VLOOKUP($A38,IRData!$A$3:$W$146,23,FALSE)</f>
        <v>348031</v>
      </c>
      <c r="G38" s="89">
        <f t="shared" si="1"/>
        <v>182576.32713520527</v>
      </c>
      <c r="H38" s="89">
        <f t="shared" si="2"/>
        <v>85333.724187508225</v>
      </c>
      <c r="I38" s="88">
        <f>VLOOKUP($A38,IRData!$A$3:$M$146,13,FALSE)</f>
        <v>92210</v>
      </c>
      <c r="J38" s="88">
        <f>VLOOKUP($A38,IRData!$A$3:$M$146,5,FALSE)</f>
        <v>3578</v>
      </c>
      <c r="K38" s="90">
        <f t="shared" si="3"/>
        <v>1955839.0513227135</v>
      </c>
      <c r="L38" s="66"/>
      <c r="M38" s="66"/>
    </row>
    <row r="39" spans="1:13" x14ac:dyDescent="0.2">
      <c r="A39" s="185">
        <v>2752014</v>
      </c>
      <c r="B39" s="212" t="str">
        <f>INDEX('Inntektsramme 2016'!$B$3:$B$146,MATCH(A39,'Inntektsramme 2016'!$A$3:$A$146,0))</f>
        <v>Hallingdal Kraftnett AS</v>
      </c>
      <c r="C39" s="88">
        <v>77105</v>
      </c>
      <c r="D39" s="267">
        <v>0.24316000938415527</v>
      </c>
      <c r="E39" s="88">
        <f>VLOOKUP($A39,IRData!$A$3:$Q$146,17,FALSE)</f>
        <v>32407</v>
      </c>
      <c r="F39" s="88">
        <f>VLOOKUP($A39,IRData!$A$3:$W$146,23,FALSE)</f>
        <v>4853</v>
      </c>
      <c r="G39" s="89">
        <f t="shared" si="1"/>
        <v>7880.0864241123199</v>
      </c>
      <c r="H39" s="89">
        <f t="shared" si="2"/>
        <v>1180.0555255413055</v>
      </c>
      <c r="I39" s="88">
        <f>VLOOKUP($A39,IRData!$A$3:$M$146,13,FALSE)</f>
        <v>2594</v>
      </c>
      <c r="J39" s="88">
        <f>VLOOKUP($A39,IRData!$A$3:$M$146,5,FALSE)</f>
        <v>0</v>
      </c>
      <c r="K39" s="90">
        <f t="shared" si="3"/>
        <v>88759.141949653625</v>
      </c>
      <c r="L39" s="66"/>
      <c r="M39" s="66"/>
    </row>
    <row r="40" spans="1:13" x14ac:dyDescent="0.2">
      <c r="A40" s="185">
        <v>652014</v>
      </c>
      <c r="B40" s="212" t="str">
        <f>INDEX('Inntektsramme 2016'!$B$3:$B$146,MATCH(A40,'Inntektsramme 2016'!$A$3:$A$146,0))</f>
        <v>Hammerfest Energi Nett AS</v>
      </c>
      <c r="C40" s="88">
        <v>35614</v>
      </c>
      <c r="D40" s="267">
        <v>0.27391999959945679</v>
      </c>
      <c r="E40" s="88">
        <f>VLOOKUP($A40,IRData!$A$3:$Q$146,17,FALSE)</f>
        <v>16111</v>
      </c>
      <c r="F40" s="88">
        <f>VLOOKUP($A40,IRData!$A$3:$W$146,23,FALSE)</f>
        <v>3536</v>
      </c>
      <c r="G40" s="89">
        <f t="shared" si="1"/>
        <v>4413.1251135468483</v>
      </c>
      <c r="H40" s="89">
        <f t="shared" si="2"/>
        <v>968.5811185836792</v>
      </c>
      <c r="I40" s="88">
        <f>VLOOKUP($A40,IRData!$A$3:$M$146,13,FALSE)</f>
        <v>2923</v>
      </c>
      <c r="J40" s="88">
        <f>VLOOKUP($A40,IRData!$A$3:$M$146,5,FALSE)</f>
        <v>0</v>
      </c>
      <c r="K40" s="90">
        <f t="shared" si="3"/>
        <v>43918.706232130527</v>
      </c>
      <c r="L40" s="66"/>
      <c r="M40" s="66"/>
    </row>
    <row r="41" spans="1:13" x14ac:dyDescent="0.2">
      <c r="A41" s="185">
        <v>2382014</v>
      </c>
      <c r="B41" s="212" t="str">
        <f>INDEX('Inntektsramme 2016'!$B$3:$B$146,MATCH(A41,'Inntektsramme 2016'!$A$3:$A$146,0))</f>
        <v>Hardanger Energi AS</v>
      </c>
      <c r="C41" s="88">
        <v>28687</v>
      </c>
      <c r="D41" s="267">
        <v>0.24316000938415527</v>
      </c>
      <c r="E41" s="88">
        <f>VLOOKUP($A41,IRData!$A$3:$Q$146,17,FALSE)</f>
        <v>10070</v>
      </c>
      <c r="F41" s="88">
        <f>VLOOKUP($A41,IRData!$A$3:$W$146,23,FALSE)</f>
        <v>1118</v>
      </c>
      <c r="G41" s="89">
        <f t="shared" si="1"/>
        <v>2448.6212944984436</v>
      </c>
      <c r="H41" s="89">
        <f t="shared" si="2"/>
        <v>271.8528904914856</v>
      </c>
      <c r="I41" s="88">
        <f>VLOOKUP($A41,IRData!$A$3:$M$146,13,FALSE)</f>
        <v>1323</v>
      </c>
      <c r="J41" s="88">
        <f>VLOOKUP($A41,IRData!$A$3:$M$146,5,FALSE)</f>
        <v>0</v>
      </c>
      <c r="K41" s="90">
        <f t="shared" si="3"/>
        <v>32730.474184989929</v>
      </c>
      <c r="L41" s="66"/>
      <c r="M41" s="66"/>
    </row>
    <row r="42" spans="1:13" x14ac:dyDescent="0.2">
      <c r="A42" s="185">
        <v>5032014</v>
      </c>
      <c r="B42" s="212" t="str">
        <f>INDEX('Inntektsramme 2016'!$B$3:$B$146,MATCH(A42,'Inntektsramme 2016'!$A$3:$A$146,0))</f>
        <v>Haugaland Kraft AS</v>
      </c>
      <c r="C42" s="88">
        <v>149169</v>
      </c>
      <c r="D42" s="267">
        <v>0.24424000084400177</v>
      </c>
      <c r="E42" s="88">
        <f>VLOOKUP($A42,IRData!$A$3:$Q$146,17,FALSE)</f>
        <v>54723</v>
      </c>
      <c r="F42" s="88">
        <f>VLOOKUP($A42,IRData!$A$3:$W$146,23,FALSE)</f>
        <v>16703</v>
      </c>
      <c r="G42" s="89">
        <f t="shared" si="1"/>
        <v>13365.545566186309</v>
      </c>
      <c r="H42" s="89">
        <f t="shared" si="2"/>
        <v>4079.5407340973616</v>
      </c>
      <c r="I42" s="88">
        <f>VLOOKUP($A42,IRData!$A$3:$M$146,13,FALSE)</f>
        <v>21131</v>
      </c>
      <c r="J42" s="88">
        <f>VLOOKUP($A42,IRData!$A$3:$M$146,5,FALSE)</f>
        <v>0</v>
      </c>
      <c r="K42" s="90">
        <f t="shared" si="3"/>
        <v>187745.08630028367</v>
      </c>
      <c r="L42" s="66"/>
      <c r="M42" s="66"/>
    </row>
    <row r="43" spans="1:13" x14ac:dyDescent="0.2">
      <c r="A43" s="185">
        <v>712014</v>
      </c>
      <c r="B43" s="212" t="str">
        <f>INDEX('Inntektsramme 2016'!$B$3:$B$146,MATCH(A43,'Inntektsramme 2016'!$A$3:$A$146,0))</f>
        <v>HelgelandsKraft AS</v>
      </c>
      <c r="C43" s="88">
        <v>208053</v>
      </c>
      <c r="D43" s="267">
        <v>0.27391999959945679</v>
      </c>
      <c r="E43" s="88">
        <f>VLOOKUP($A43,IRData!$A$3:$Q$146,17,FALSE)</f>
        <v>89416</v>
      </c>
      <c r="F43" s="88">
        <f>VLOOKUP($A43,IRData!$A$3:$W$146,23,FALSE)</f>
        <v>59777</v>
      </c>
      <c r="G43" s="89">
        <f t="shared" si="1"/>
        <v>24492.830684185028</v>
      </c>
      <c r="H43" s="89">
        <f t="shared" si="2"/>
        <v>16374.115816056728</v>
      </c>
      <c r="I43" s="88">
        <f>VLOOKUP($A43,IRData!$A$3:$M$146,13,FALSE)</f>
        <v>22682</v>
      </c>
      <c r="J43" s="88">
        <f>VLOOKUP($A43,IRData!$A$3:$M$146,5,FALSE)</f>
        <v>438</v>
      </c>
      <c r="K43" s="90">
        <f t="shared" si="3"/>
        <v>272039.94650024176</v>
      </c>
      <c r="L43" s="66"/>
      <c r="M43" s="66"/>
    </row>
    <row r="44" spans="1:13" x14ac:dyDescent="0.2">
      <c r="A44" s="185">
        <v>722014</v>
      </c>
      <c r="B44" s="212" t="str">
        <f>INDEX('Inntektsramme 2016'!$B$3:$B$146,MATCH(A44,'Inntektsramme 2016'!$A$3:$A$146,0))</f>
        <v>Hemne Kraftlag SA</v>
      </c>
      <c r="C44" s="88">
        <v>18251</v>
      </c>
      <c r="D44" s="267">
        <v>0.27448001503944397</v>
      </c>
      <c r="E44" s="88">
        <f>VLOOKUP($A44,IRData!$A$3:$Q$146,17,FALSE)</f>
        <v>3232</v>
      </c>
      <c r="F44" s="88">
        <f>VLOOKUP($A44,IRData!$A$3:$W$146,23,FALSE)</f>
        <v>0</v>
      </c>
      <c r="G44" s="89">
        <f t="shared" si="1"/>
        <v>887.11940860748291</v>
      </c>
      <c r="H44" s="89">
        <f t="shared" si="2"/>
        <v>0</v>
      </c>
      <c r="I44" s="88">
        <f>VLOOKUP($A44,IRData!$A$3:$M$146,13,FALSE)</f>
        <v>913</v>
      </c>
      <c r="J44" s="88">
        <f>VLOOKUP($A44,IRData!$A$3:$M$146,5,FALSE)</f>
        <v>0</v>
      </c>
      <c r="K44" s="90">
        <f t="shared" si="3"/>
        <v>20051.119408607483</v>
      </c>
      <c r="L44" s="66"/>
      <c r="M44" s="66"/>
    </row>
    <row r="45" spans="1:13" x14ac:dyDescent="0.2">
      <c r="A45" s="185">
        <v>3432014</v>
      </c>
      <c r="B45" s="212" t="str">
        <f>INDEX('Inntektsramme 2016'!$B$3:$B$146,MATCH(A45,'Inntektsramme 2016'!$A$3:$A$146,0))</f>
        <v>Hemsedal Energi KF</v>
      </c>
      <c r="C45" s="88">
        <v>12506</v>
      </c>
      <c r="D45" s="267">
        <v>0.24519000947475433</v>
      </c>
      <c r="E45" s="88">
        <f>VLOOKUP($A45,IRData!$A$3:$Q$146,17,FALSE)</f>
        <v>4231</v>
      </c>
      <c r="F45" s="88">
        <f>VLOOKUP($A45,IRData!$A$3:$W$146,23,FALSE)</f>
        <v>700</v>
      </c>
      <c r="G45" s="89">
        <f t="shared" si="1"/>
        <v>1037.3989300876856</v>
      </c>
      <c r="H45" s="89">
        <f t="shared" si="2"/>
        <v>171.63300663232803</v>
      </c>
      <c r="I45" s="88">
        <f>VLOOKUP($A45,IRData!$A$3:$M$146,13,FALSE)</f>
        <v>1122</v>
      </c>
      <c r="J45" s="88">
        <f>VLOOKUP($A45,IRData!$A$3:$M$146,5,FALSE)</f>
        <v>0</v>
      </c>
      <c r="K45" s="90">
        <f t="shared" si="3"/>
        <v>14837.031936720014</v>
      </c>
      <c r="L45" s="66"/>
      <c r="M45" s="66"/>
    </row>
    <row r="46" spans="1:13" x14ac:dyDescent="0.2">
      <c r="A46" s="185">
        <v>8522014</v>
      </c>
      <c r="B46" s="212" t="str">
        <f>INDEX('Inntektsramme 2016'!$B$3:$B$146,MATCH(A46,'Inntektsramme 2016'!$A$3:$A$146,0))</f>
        <v>Herøya Nett AS</v>
      </c>
      <c r="C46" s="88">
        <v>47321</v>
      </c>
      <c r="D46" s="267">
        <v>0.24424000084400177</v>
      </c>
      <c r="E46" s="88">
        <f>VLOOKUP($A46,IRData!$A$3:$Q$146,17,FALSE)</f>
        <v>5126</v>
      </c>
      <c r="F46" s="88">
        <f>VLOOKUP($A46,IRData!$A$3:$W$146,23,FALSE)</f>
        <v>5127</v>
      </c>
      <c r="G46" s="89">
        <f t="shared" si="1"/>
        <v>1251.9742443263531</v>
      </c>
      <c r="H46" s="89">
        <f t="shared" si="2"/>
        <v>1252.2184843271971</v>
      </c>
      <c r="I46" s="88">
        <f>VLOOKUP($A46,IRData!$A$3:$M$146,13,FALSE)</f>
        <v>682</v>
      </c>
      <c r="J46" s="88">
        <f>VLOOKUP($A46,IRData!$A$3:$M$146,5,FALSE)</f>
        <v>0</v>
      </c>
      <c r="K46" s="90">
        <f t="shared" si="3"/>
        <v>50507.19272865355</v>
      </c>
      <c r="L46" s="66"/>
      <c r="M46" s="66"/>
    </row>
    <row r="47" spans="1:13" x14ac:dyDescent="0.2">
      <c r="A47" s="185">
        <v>1832014</v>
      </c>
      <c r="B47" s="212" t="str">
        <f>INDEX('Inntektsramme 2016'!$B$3:$B$146,MATCH(A47,'Inntektsramme 2016'!$A$3:$A$146,0))</f>
        <v>Hjartdal Elverk AS</v>
      </c>
      <c r="C47" s="88">
        <v>8566</v>
      </c>
      <c r="D47" s="267">
        <v>0.24424000084400177</v>
      </c>
      <c r="E47" s="88">
        <f>VLOOKUP($A47,IRData!$A$3:$Q$146,17,FALSE)</f>
        <v>1676</v>
      </c>
      <c r="F47" s="88">
        <f>VLOOKUP($A47,IRData!$A$3:$W$146,23,FALSE)</f>
        <v>0</v>
      </c>
      <c r="G47" s="89">
        <f t="shared" si="1"/>
        <v>409.34624141454697</v>
      </c>
      <c r="H47" s="89">
        <f t="shared" si="2"/>
        <v>0</v>
      </c>
      <c r="I47" s="88">
        <f>VLOOKUP($A47,IRData!$A$3:$M$146,13,FALSE)</f>
        <v>601</v>
      </c>
      <c r="J47" s="88">
        <f>VLOOKUP($A47,IRData!$A$3:$M$146,5,FALSE)</f>
        <v>0</v>
      </c>
      <c r="K47" s="90">
        <f t="shared" si="3"/>
        <v>9576.346241414547</v>
      </c>
      <c r="L47" s="66"/>
      <c r="M47" s="66"/>
    </row>
    <row r="48" spans="1:13" x14ac:dyDescent="0.2">
      <c r="A48" s="185">
        <v>822014</v>
      </c>
      <c r="B48" s="212" t="str">
        <f>INDEX('Inntektsramme 2016'!$B$3:$B$146,MATCH(A48,'Inntektsramme 2016'!$A$3:$A$146,0))</f>
        <v>Hurum Energiverk AS</v>
      </c>
      <c r="C48" s="88">
        <v>11609</v>
      </c>
      <c r="D48" s="267">
        <v>0.24519000947475433</v>
      </c>
      <c r="E48" s="88">
        <f>VLOOKUP($A48,IRData!$A$3:$Q$146,17,FALSE)</f>
        <v>11039</v>
      </c>
      <c r="F48" s="88">
        <f>VLOOKUP($A48,IRData!$A$3:$W$146,23,FALSE)</f>
        <v>0</v>
      </c>
      <c r="G48" s="89">
        <f t="shared" si="1"/>
        <v>2706.6525145918131</v>
      </c>
      <c r="H48" s="89">
        <f t="shared" si="2"/>
        <v>0</v>
      </c>
      <c r="I48" s="88">
        <f>VLOOKUP($A48,IRData!$A$3:$M$146,13,FALSE)</f>
        <v>1104</v>
      </c>
      <c r="J48" s="88">
        <f>VLOOKUP($A48,IRData!$A$3:$M$146,5,FALSE)</f>
        <v>0</v>
      </c>
      <c r="K48" s="90">
        <f t="shared" si="3"/>
        <v>15419.652514591813</v>
      </c>
      <c r="L48" s="66"/>
      <c r="M48" s="66"/>
    </row>
    <row r="49" spans="1:13" x14ac:dyDescent="0.2">
      <c r="A49" s="185">
        <v>2942014</v>
      </c>
      <c r="B49" s="212" t="str">
        <f>INDEX('Inntektsramme 2016'!$B$3:$B$146,MATCH(A49,'Inntektsramme 2016'!$A$3:$A$146,0))</f>
        <v>Hydro Aluminium AS</v>
      </c>
      <c r="C49" s="88">
        <v>3105</v>
      </c>
      <c r="D49" s="267">
        <v>0.26348000764846802</v>
      </c>
      <c r="E49" s="88">
        <f>VLOOKUP($A49,IRData!$A$3:$Q$146,17,FALSE)</f>
        <v>4877</v>
      </c>
      <c r="F49" s="88">
        <f>VLOOKUP($A49,IRData!$A$3:$W$146,23,FALSE)</f>
        <v>0</v>
      </c>
      <c r="G49" s="89">
        <f t="shared" si="1"/>
        <v>1284.9919973015785</v>
      </c>
      <c r="H49" s="89">
        <f t="shared" si="2"/>
        <v>0</v>
      </c>
      <c r="I49" s="88">
        <f>VLOOKUP($A49,IRData!$A$3:$M$146,13,FALSE)</f>
        <v>858</v>
      </c>
      <c r="J49" s="88">
        <f>VLOOKUP($A49,IRData!$A$3:$M$146,5,FALSE)</f>
        <v>0</v>
      </c>
      <c r="K49" s="90">
        <f t="shared" si="3"/>
        <v>5247.9919973015785</v>
      </c>
      <c r="L49" s="66"/>
      <c r="M49" s="66"/>
    </row>
    <row r="50" spans="1:13" x14ac:dyDescent="0.2">
      <c r="A50" s="185">
        <v>842014</v>
      </c>
      <c r="B50" s="212" t="str">
        <f>INDEX('Inntektsramme 2016'!$B$3:$B$146,MATCH(A50,'Inntektsramme 2016'!$A$3:$A$146,0))</f>
        <v>Høland og Setskog Elverk SA</v>
      </c>
      <c r="C50" s="88">
        <v>18266</v>
      </c>
      <c r="D50" s="267">
        <v>0.24519000947475433</v>
      </c>
      <c r="E50" s="88">
        <f>VLOOKUP($A50,IRData!$A$3:$Q$146,17,FALSE)</f>
        <v>11078</v>
      </c>
      <c r="F50" s="88">
        <f>VLOOKUP($A50,IRData!$A$3:$W$146,23,FALSE)</f>
        <v>0</v>
      </c>
      <c r="G50" s="89">
        <f t="shared" si="1"/>
        <v>2716.2149249613285</v>
      </c>
      <c r="H50" s="89">
        <f t="shared" si="2"/>
        <v>0</v>
      </c>
      <c r="I50" s="88">
        <f>VLOOKUP($A50,IRData!$A$3:$M$146,13,FALSE)</f>
        <v>582</v>
      </c>
      <c r="J50" s="88">
        <f>VLOOKUP($A50,IRData!$A$3:$M$146,5,FALSE)</f>
        <v>0</v>
      </c>
      <c r="K50" s="90">
        <f t="shared" si="3"/>
        <v>21564.214924961329</v>
      </c>
      <c r="L50" s="66"/>
      <c r="M50" s="66"/>
    </row>
    <row r="51" spans="1:13" x14ac:dyDescent="0.2">
      <c r="A51" s="185">
        <v>4332014</v>
      </c>
      <c r="B51" s="212" t="str">
        <f>INDEX('Inntektsramme 2016'!$B$3:$B$146,MATCH(A51,'Inntektsramme 2016'!$A$3:$A$146,0))</f>
        <v>Hålogaland Kraft AS</v>
      </c>
      <c r="C51" s="88">
        <v>72866</v>
      </c>
      <c r="D51" s="267">
        <v>0.27391999959945679</v>
      </c>
      <c r="E51" s="88">
        <f>VLOOKUP($A51,IRData!$A$3:$Q$146,17,FALSE)</f>
        <v>28475</v>
      </c>
      <c r="F51" s="88">
        <f>VLOOKUP($A51,IRData!$A$3:$W$146,23,FALSE)</f>
        <v>8505</v>
      </c>
      <c r="G51" s="89">
        <f t="shared" si="1"/>
        <v>7799.871988594532</v>
      </c>
      <c r="H51" s="89">
        <f t="shared" si="2"/>
        <v>2329.68959659338</v>
      </c>
      <c r="I51" s="88">
        <f>VLOOKUP($A51,IRData!$A$3:$M$146,13,FALSE)</f>
        <v>4233</v>
      </c>
      <c r="J51" s="88">
        <f>VLOOKUP($A51,IRData!$A$3:$M$146,5,FALSE)</f>
        <v>377</v>
      </c>
      <c r="K51" s="90">
        <f t="shared" si="3"/>
        <v>87605.561585187912</v>
      </c>
      <c r="L51" s="66"/>
      <c r="M51" s="66"/>
    </row>
    <row r="52" spans="1:13" x14ac:dyDescent="0.2">
      <c r="A52" s="185">
        <v>862014</v>
      </c>
      <c r="B52" s="212" t="str">
        <f>INDEX('Inntektsramme 2016'!$B$3:$B$146,MATCH(A52,'Inntektsramme 2016'!$A$3:$A$146,0))</f>
        <v>Istad Nett AS</v>
      </c>
      <c r="C52" s="88">
        <v>56841</v>
      </c>
      <c r="D52" s="267">
        <v>0.27448001503944397</v>
      </c>
      <c r="E52" s="88">
        <f>VLOOKUP($A52,IRData!$A$3:$Q$146,17,FALSE)</f>
        <v>29596</v>
      </c>
      <c r="F52" s="88">
        <f>VLOOKUP($A52,IRData!$A$3:$W$146,23,FALSE)</f>
        <v>9545</v>
      </c>
      <c r="G52" s="89">
        <f t="shared" si="1"/>
        <v>8123.5105251073837</v>
      </c>
      <c r="H52" s="89">
        <f t="shared" si="2"/>
        <v>2619.9117435514927</v>
      </c>
      <c r="I52" s="88">
        <f>VLOOKUP($A52,IRData!$A$3:$M$146,13,FALSE)</f>
        <v>4807</v>
      </c>
      <c r="J52" s="88">
        <f>VLOOKUP($A52,IRData!$A$3:$M$146,5,FALSE)</f>
        <v>487</v>
      </c>
      <c r="K52" s="90">
        <f t="shared" si="3"/>
        <v>72878.422268658876</v>
      </c>
      <c r="L52" s="66"/>
      <c r="M52" s="66"/>
    </row>
    <row r="53" spans="1:13" x14ac:dyDescent="0.2">
      <c r="A53" s="185">
        <v>882014</v>
      </c>
      <c r="B53" s="212" t="str">
        <f>INDEX('Inntektsramme 2016'!$B$3:$B$146,MATCH(A53,'Inntektsramme 2016'!$A$3:$A$146,0))</f>
        <v>Jæren Everk Kommunalt foretak i Hå</v>
      </c>
      <c r="C53" s="88">
        <v>19697</v>
      </c>
      <c r="D53" s="267">
        <v>0.24424000084400177</v>
      </c>
      <c r="E53" s="88">
        <f>VLOOKUP($A53,IRData!$A$3:$Q$146,17,FALSE)</f>
        <v>7599</v>
      </c>
      <c r="F53" s="88">
        <f>VLOOKUP($A53,IRData!$A$3:$W$146,23,FALSE)</f>
        <v>1270</v>
      </c>
      <c r="G53" s="89">
        <f t="shared" si="1"/>
        <v>1855.9797664135695</v>
      </c>
      <c r="H53" s="89">
        <f t="shared" si="2"/>
        <v>310.18480107188225</v>
      </c>
      <c r="I53" s="88">
        <f>VLOOKUP($A53,IRData!$A$3:$M$146,13,FALSE)</f>
        <v>1048</v>
      </c>
      <c r="J53" s="88">
        <f>VLOOKUP($A53,IRData!$A$3:$M$146,5,FALSE)</f>
        <v>0</v>
      </c>
      <c r="K53" s="90">
        <f t="shared" si="3"/>
        <v>22911.164567485452</v>
      </c>
      <c r="L53" s="66"/>
      <c r="M53" s="66"/>
    </row>
    <row r="54" spans="1:13" x14ac:dyDescent="0.2">
      <c r="A54" s="185">
        <v>912014</v>
      </c>
      <c r="B54" s="212" t="str">
        <f>INDEX('Inntektsramme 2016'!$B$3:$B$146,MATCH(A54,'Inntektsramme 2016'!$A$3:$A$146,0))</f>
        <v>Klepp Energi AS</v>
      </c>
      <c r="C54" s="88">
        <v>13463</v>
      </c>
      <c r="D54" s="267">
        <v>0.24424000084400177</v>
      </c>
      <c r="E54" s="88">
        <f>VLOOKUP($A54,IRData!$A$3:$Q$146,17,FALSE)</f>
        <v>10588</v>
      </c>
      <c r="F54" s="88">
        <f>VLOOKUP($A54,IRData!$A$3:$W$146,23,FALSE)</f>
        <v>0</v>
      </c>
      <c r="G54" s="89">
        <f t="shared" si="1"/>
        <v>2586.0131289362907</v>
      </c>
      <c r="H54" s="89">
        <f t="shared" si="2"/>
        <v>0</v>
      </c>
      <c r="I54" s="88">
        <f>VLOOKUP($A54,IRData!$A$3:$M$146,13,FALSE)</f>
        <v>419</v>
      </c>
      <c r="J54" s="88">
        <f>VLOOKUP($A54,IRData!$A$3:$M$146,5,FALSE)</f>
        <v>0</v>
      </c>
      <c r="K54" s="90">
        <f t="shared" si="3"/>
        <v>16468.013128936291</v>
      </c>
      <c r="L54" s="66"/>
      <c r="M54" s="66"/>
    </row>
    <row r="55" spans="1:13" x14ac:dyDescent="0.2">
      <c r="A55" s="185">
        <v>2882014</v>
      </c>
      <c r="B55" s="212" t="str">
        <f>INDEX('Inntektsramme 2016'!$B$3:$B$146,MATCH(A55,'Inntektsramme 2016'!$A$3:$A$146,0))</f>
        <v>Kraftverkene i Orkla DA</v>
      </c>
      <c r="C55" s="88">
        <v>1550</v>
      </c>
      <c r="D55" s="267">
        <v>0.27448001503944397</v>
      </c>
      <c r="E55" s="88">
        <f>VLOOKUP($A55,IRData!$A$3:$Q$146,17,FALSE)</f>
        <v>0</v>
      </c>
      <c r="F55" s="88">
        <f>VLOOKUP($A55,IRData!$A$3:$W$146,23,FALSE)</f>
        <v>9290</v>
      </c>
      <c r="G55" s="89">
        <f t="shared" si="1"/>
        <v>0</v>
      </c>
      <c r="H55" s="89">
        <f t="shared" si="2"/>
        <v>2549.9193397164345</v>
      </c>
      <c r="I55" s="88">
        <f>VLOOKUP($A55,IRData!$A$3:$M$146,13,FALSE)</f>
        <v>0</v>
      </c>
      <c r="J55" s="88">
        <f>VLOOKUP($A55,IRData!$A$3:$M$146,5,FALSE)</f>
        <v>0</v>
      </c>
      <c r="K55" s="90">
        <f t="shared" si="3"/>
        <v>4099.9193397164345</v>
      </c>
      <c r="L55" s="66"/>
      <c r="M55" s="66"/>
    </row>
    <row r="56" spans="1:13" x14ac:dyDescent="0.2">
      <c r="A56" s="185">
        <v>932014</v>
      </c>
      <c r="B56" s="212" t="str">
        <f>INDEX('Inntektsramme 2016'!$B$3:$B$146,MATCH(A56,'Inntektsramme 2016'!$A$3:$A$146,0))</f>
        <v>Kragerø Energi AS</v>
      </c>
      <c r="C56" s="88">
        <v>24167</v>
      </c>
      <c r="D56" s="267">
        <v>0.24424000084400177</v>
      </c>
      <c r="E56" s="88">
        <f>VLOOKUP($A56,IRData!$A$3:$Q$146,17,FALSE)</f>
        <v>8677</v>
      </c>
      <c r="F56" s="88">
        <f>VLOOKUP($A56,IRData!$A$3:$W$146,23,FALSE)</f>
        <v>729</v>
      </c>
      <c r="G56" s="89">
        <f t="shared" si="1"/>
        <v>2119.2704873234034</v>
      </c>
      <c r="H56" s="89">
        <f t="shared" si="2"/>
        <v>178.05096061527729</v>
      </c>
      <c r="I56" s="88">
        <f>VLOOKUP($A56,IRData!$A$3:$M$146,13,FALSE)</f>
        <v>1207</v>
      </c>
      <c r="J56" s="88">
        <f>VLOOKUP($A56,IRData!$A$3:$M$146,5,FALSE)</f>
        <v>0</v>
      </c>
      <c r="K56" s="90">
        <f t="shared" si="3"/>
        <v>27671.321447938681</v>
      </c>
      <c r="L56" s="66"/>
      <c r="M56" s="66"/>
    </row>
    <row r="57" spans="1:13" x14ac:dyDescent="0.2">
      <c r="A57" s="185">
        <v>952014</v>
      </c>
      <c r="B57" s="212" t="str">
        <f>INDEX('Inntektsramme 2016'!$B$3:$B$146,MATCH(A57,'Inntektsramme 2016'!$A$3:$A$146,0))</f>
        <v>Krødsherad Everk KF</v>
      </c>
      <c r="C57" s="88">
        <v>5980</v>
      </c>
      <c r="D57" s="267">
        <v>0.24519000947475433</v>
      </c>
      <c r="E57" s="88">
        <f>VLOOKUP($A57,IRData!$A$3:$Q$146,17,FALSE)</f>
        <v>3705</v>
      </c>
      <c r="F57" s="88">
        <f>VLOOKUP($A57,IRData!$A$3:$W$146,23,FALSE)</f>
        <v>0</v>
      </c>
      <c r="G57" s="89">
        <f t="shared" si="1"/>
        <v>908.42898510396481</v>
      </c>
      <c r="H57" s="89">
        <f t="shared" si="2"/>
        <v>0</v>
      </c>
      <c r="I57" s="88">
        <f>VLOOKUP($A57,IRData!$A$3:$M$146,13,FALSE)</f>
        <v>500</v>
      </c>
      <c r="J57" s="88">
        <f>VLOOKUP($A57,IRData!$A$3:$M$146,5,FALSE)</f>
        <v>0</v>
      </c>
      <c r="K57" s="90">
        <f t="shared" si="3"/>
        <v>7388.4289851039648</v>
      </c>
      <c r="L57" s="66"/>
      <c r="M57" s="66"/>
    </row>
    <row r="58" spans="1:13" x14ac:dyDescent="0.2">
      <c r="A58" s="185">
        <v>962014</v>
      </c>
      <c r="B58" s="212" t="str">
        <f>INDEX('Inntektsramme 2016'!$B$3:$B$146,MATCH(A58,'Inntektsramme 2016'!$A$3:$A$146,0))</f>
        <v>Kvam Kraftverk AS</v>
      </c>
      <c r="C58" s="88">
        <v>22811</v>
      </c>
      <c r="D58" s="267">
        <v>0.24316000938415527</v>
      </c>
      <c r="E58" s="88">
        <f>VLOOKUP($A58,IRData!$A$3:$Q$146,17,FALSE)</f>
        <v>7614</v>
      </c>
      <c r="F58" s="88">
        <f>VLOOKUP($A58,IRData!$A$3:$W$146,23,FALSE)</f>
        <v>0</v>
      </c>
      <c r="G58" s="89">
        <f t="shared" si="1"/>
        <v>1851.4203114509583</v>
      </c>
      <c r="H58" s="89">
        <f t="shared" si="2"/>
        <v>0</v>
      </c>
      <c r="I58" s="88">
        <f>VLOOKUP($A58,IRData!$A$3:$M$146,13,FALSE)</f>
        <v>1468</v>
      </c>
      <c r="J58" s="88">
        <f>VLOOKUP($A58,IRData!$A$3:$M$146,5,FALSE)</f>
        <v>0</v>
      </c>
      <c r="K58" s="90">
        <f t="shared" si="3"/>
        <v>26130.420311450958</v>
      </c>
      <c r="L58" s="66"/>
      <c r="M58" s="66"/>
    </row>
    <row r="59" spans="1:13" x14ac:dyDescent="0.2">
      <c r="A59" s="185">
        <v>1632014</v>
      </c>
      <c r="B59" s="212" t="str">
        <f>INDEX('Inntektsramme 2016'!$B$3:$B$146,MATCH(A59,'Inntektsramme 2016'!$A$3:$A$146,0))</f>
        <v>Kvikne-Rennebu Kraftlag AL</v>
      </c>
      <c r="C59" s="88">
        <v>18172</v>
      </c>
      <c r="D59" s="267">
        <v>0.27448001503944397</v>
      </c>
      <c r="E59" s="88">
        <f>VLOOKUP($A59,IRData!$A$3:$Q$146,17,FALSE)</f>
        <v>5367</v>
      </c>
      <c r="F59" s="88">
        <f>VLOOKUP($A59,IRData!$A$3:$W$146,23,FALSE)</f>
        <v>0</v>
      </c>
      <c r="G59" s="89">
        <f t="shared" si="1"/>
        <v>1473.1342407166958</v>
      </c>
      <c r="H59" s="89">
        <f t="shared" si="2"/>
        <v>0</v>
      </c>
      <c r="I59" s="88">
        <f>VLOOKUP($A59,IRData!$A$3:$M$146,13,FALSE)</f>
        <v>145</v>
      </c>
      <c r="J59" s="88">
        <f>VLOOKUP($A59,IRData!$A$3:$M$146,5,FALSE)</f>
        <v>0</v>
      </c>
      <c r="K59" s="90">
        <f t="shared" si="3"/>
        <v>19790.134240716696</v>
      </c>
      <c r="L59" s="66"/>
      <c r="M59" s="66"/>
    </row>
    <row r="60" spans="1:13" x14ac:dyDescent="0.2">
      <c r="A60" s="185">
        <v>972014</v>
      </c>
      <c r="B60" s="212" t="str">
        <f>INDEX('Inntektsramme 2016'!$B$3:$B$146,MATCH(A60,'Inntektsramme 2016'!$A$3:$A$146,0))</f>
        <v>Kvinnherad Energi AS</v>
      </c>
      <c r="C60" s="88">
        <v>30394</v>
      </c>
      <c r="D60" s="267">
        <v>0.24316000938415527</v>
      </c>
      <c r="E60" s="88">
        <f>VLOOKUP($A60,IRData!$A$3:$Q$146,17,FALSE)</f>
        <v>5814</v>
      </c>
      <c r="F60" s="88">
        <f>VLOOKUP($A60,IRData!$A$3:$W$146,23,FALSE)</f>
        <v>0</v>
      </c>
      <c r="G60" s="89">
        <f t="shared" si="1"/>
        <v>1413.7322945594788</v>
      </c>
      <c r="H60" s="89">
        <f t="shared" si="2"/>
        <v>0</v>
      </c>
      <c r="I60" s="88">
        <f>VLOOKUP($A60,IRData!$A$3:$M$146,13,FALSE)</f>
        <v>1014</v>
      </c>
      <c r="J60" s="88">
        <f>VLOOKUP($A60,IRData!$A$3:$M$146,5,FALSE)</f>
        <v>0</v>
      </c>
      <c r="K60" s="90">
        <f t="shared" si="3"/>
        <v>32821.732294559479</v>
      </c>
      <c r="L60" s="66"/>
      <c r="M60" s="66"/>
    </row>
    <row r="61" spans="1:13" x14ac:dyDescent="0.2">
      <c r="A61" s="185">
        <v>982014</v>
      </c>
      <c r="B61" s="212" t="str">
        <f>INDEX('Inntektsramme 2016'!$B$3:$B$146,MATCH(A61,'Inntektsramme 2016'!$A$3:$A$146,0))</f>
        <v>Kvænangen Kraftverk AS</v>
      </c>
      <c r="C61" s="88">
        <v>861</v>
      </c>
      <c r="D61" s="267">
        <v>0.27391999959945679</v>
      </c>
      <c r="E61" s="88">
        <f>VLOOKUP($A61,IRData!$A$3:$Q$146,17,FALSE)</f>
        <v>0</v>
      </c>
      <c r="F61" s="88">
        <f>VLOOKUP($A61,IRData!$A$3:$W$146,23,FALSE)</f>
        <v>0</v>
      </c>
      <c r="G61" s="89">
        <f t="shared" si="1"/>
        <v>0</v>
      </c>
      <c r="H61" s="89">
        <f t="shared" si="2"/>
        <v>0</v>
      </c>
      <c r="I61" s="88">
        <f>VLOOKUP($A61,IRData!$A$3:$M$146,13,FALSE)</f>
        <v>0</v>
      </c>
      <c r="J61" s="88">
        <f>VLOOKUP($A61,IRData!$A$3:$M$146,5,FALSE)</f>
        <v>0</v>
      </c>
      <c r="K61" s="90">
        <f t="shared" si="3"/>
        <v>861</v>
      </c>
      <c r="L61" s="66"/>
      <c r="M61" s="66"/>
    </row>
    <row r="62" spans="1:13" x14ac:dyDescent="0.2">
      <c r="A62" s="185">
        <v>1022014</v>
      </c>
      <c r="B62" s="212" t="str">
        <f>INDEX('Inntektsramme 2016'!$B$3:$B$146,MATCH(A62,'Inntektsramme 2016'!$A$3:$A$146,0))</f>
        <v>Lier Everk AS</v>
      </c>
      <c r="C62" s="88">
        <v>17668</v>
      </c>
      <c r="D62" s="267">
        <v>0.24519000947475433</v>
      </c>
      <c r="E62" s="88">
        <f>VLOOKUP($A62,IRData!$A$3:$Q$146,17,FALSE)</f>
        <v>26894</v>
      </c>
      <c r="F62" s="88">
        <f>VLOOKUP($A62,IRData!$A$3:$W$146,23,FALSE)</f>
        <v>0</v>
      </c>
      <c r="G62" s="89">
        <f t="shared" si="1"/>
        <v>6594.140114814043</v>
      </c>
      <c r="H62" s="89">
        <f t="shared" si="2"/>
        <v>0</v>
      </c>
      <c r="I62" s="88">
        <f>VLOOKUP($A62,IRData!$A$3:$M$146,13,FALSE)</f>
        <v>2694</v>
      </c>
      <c r="J62" s="88">
        <f>VLOOKUP($A62,IRData!$A$3:$M$146,5,FALSE)</f>
        <v>0</v>
      </c>
      <c r="K62" s="90">
        <f t="shared" si="3"/>
        <v>26956.140114814043</v>
      </c>
      <c r="L62" s="66"/>
      <c r="M62" s="66"/>
    </row>
    <row r="63" spans="1:13" x14ac:dyDescent="0.2">
      <c r="A63" s="185">
        <v>3542014</v>
      </c>
      <c r="B63" s="212" t="str">
        <f>INDEX('Inntektsramme 2016'!$B$3:$B$146,MATCH(A63,'Inntektsramme 2016'!$A$3:$A$146,0))</f>
        <v>Lofotkraft AS</v>
      </c>
      <c r="C63" s="88">
        <v>86127</v>
      </c>
      <c r="D63" s="267">
        <v>0.27391999959945679</v>
      </c>
      <c r="E63" s="88">
        <f>VLOOKUP($A63,IRData!$A$3:$Q$146,17,FALSE)</f>
        <v>33725</v>
      </c>
      <c r="F63" s="88">
        <f>VLOOKUP($A63,IRData!$A$3:$W$146,23,FALSE)</f>
        <v>14000</v>
      </c>
      <c r="G63" s="89">
        <f t="shared" si="1"/>
        <v>9237.9519864916801</v>
      </c>
      <c r="H63" s="89">
        <f t="shared" si="2"/>
        <v>3834.879994392395</v>
      </c>
      <c r="I63" s="88">
        <f>VLOOKUP($A63,IRData!$A$3:$M$146,13,FALSE)</f>
        <v>10821</v>
      </c>
      <c r="J63" s="88">
        <f>VLOOKUP($A63,IRData!$A$3:$M$146,5,FALSE)</f>
        <v>0</v>
      </c>
      <c r="K63" s="90">
        <f t="shared" si="3"/>
        <v>110020.83198088408</v>
      </c>
      <c r="L63" s="66"/>
      <c r="M63" s="66"/>
    </row>
    <row r="64" spans="1:13" x14ac:dyDescent="0.2">
      <c r="A64" s="185">
        <v>1032014</v>
      </c>
      <c r="B64" s="212" t="str">
        <f>INDEX('Inntektsramme 2016'!$B$3:$B$146,MATCH(A64,'Inntektsramme 2016'!$A$3:$A$146,0))</f>
        <v>Luostejok Kraftlag SA</v>
      </c>
      <c r="C64" s="88">
        <v>26956</v>
      </c>
      <c r="D64" s="267">
        <v>0.27391999959945679</v>
      </c>
      <c r="E64" s="88">
        <f>VLOOKUP($A64,IRData!$A$3:$Q$146,17,FALSE)</f>
        <v>6839</v>
      </c>
      <c r="F64" s="88">
        <f>VLOOKUP($A64,IRData!$A$3:$W$146,23,FALSE)</f>
        <v>1228</v>
      </c>
      <c r="G64" s="89">
        <f t="shared" si="1"/>
        <v>1873.338877260685</v>
      </c>
      <c r="H64" s="89">
        <f t="shared" si="2"/>
        <v>336.37375950813293</v>
      </c>
      <c r="I64" s="88">
        <f>VLOOKUP($A64,IRData!$A$3:$M$146,13,FALSE)</f>
        <v>3187</v>
      </c>
      <c r="J64" s="88">
        <f>VLOOKUP($A64,IRData!$A$3:$M$146,5,FALSE)</f>
        <v>0</v>
      </c>
      <c r="K64" s="90">
        <f t="shared" si="3"/>
        <v>32352.712636768818</v>
      </c>
      <c r="L64" s="66"/>
      <c r="M64" s="66"/>
    </row>
    <row r="65" spans="1:13" x14ac:dyDescent="0.2">
      <c r="A65" s="185">
        <v>1042014</v>
      </c>
      <c r="B65" s="212" t="str">
        <f>INDEX('Inntektsramme 2016'!$B$3:$B$146,MATCH(A65,'Inntektsramme 2016'!$A$3:$A$146,0))</f>
        <v>Luster Energiverk AS</v>
      </c>
      <c r="C65" s="88">
        <v>14445</v>
      </c>
      <c r="D65" s="267">
        <v>0.24519000947475433</v>
      </c>
      <c r="E65" s="88">
        <f>VLOOKUP($A65,IRData!$A$3:$Q$146,17,FALSE)</f>
        <v>6334</v>
      </c>
      <c r="F65" s="88">
        <f>VLOOKUP($A65,IRData!$A$3:$W$146,23,FALSE)</f>
        <v>0</v>
      </c>
      <c r="G65" s="89">
        <f t="shared" si="1"/>
        <v>1553.0335200130939</v>
      </c>
      <c r="H65" s="89">
        <f t="shared" si="2"/>
        <v>0</v>
      </c>
      <c r="I65" s="88">
        <f>VLOOKUP($A65,IRData!$A$3:$M$146,13,FALSE)</f>
        <v>852</v>
      </c>
      <c r="J65" s="88">
        <f>VLOOKUP($A65,IRData!$A$3:$M$146,5,FALSE)</f>
        <v>0</v>
      </c>
      <c r="K65" s="90">
        <f t="shared" si="3"/>
        <v>16850.033520013094</v>
      </c>
      <c r="L65" s="66"/>
      <c r="M65" s="66"/>
    </row>
    <row r="66" spans="1:13" x14ac:dyDescent="0.2">
      <c r="A66" s="185">
        <v>5112014</v>
      </c>
      <c r="B66" s="212" t="str">
        <f>INDEX('Inntektsramme 2016'!$B$3:$B$146,MATCH(A66,'Inntektsramme 2016'!$A$3:$A$146,0))</f>
        <v>Lyse Elnett AS</v>
      </c>
      <c r="C66" s="88">
        <v>332209</v>
      </c>
      <c r="D66" s="267">
        <v>0.24424000084400177</v>
      </c>
      <c r="E66" s="88">
        <f>VLOOKUP($A66,IRData!$A$3:$Q$146,17,FALSE)</f>
        <v>164014</v>
      </c>
      <c r="F66" s="88">
        <f>VLOOKUP($A66,IRData!$A$3:$W$146,23,FALSE)</f>
        <v>69550</v>
      </c>
      <c r="G66" s="89">
        <f t="shared" si="1"/>
        <v>40058.779498428106</v>
      </c>
      <c r="H66" s="89">
        <f t="shared" si="2"/>
        <v>16986.892058700323</v>
      </c>
      <c r="I66" s="88">
        <f>VLOOKUP($A66,IRData!$A$3:$M$146,13,FALSE)</f>
        <v>11955</v>
      </c>
      <c r="J66" s="88">
        <f>VLOOKUP($A66,IRData!$A$3:$M$146,5,FALSE)</f>
        <v>1111</v>
      </c>
      <c r="K66" s="90">
        <f t="shared" si="3"/>
        <v>402320.67155712843</v>
      </c>
      <c r="L66" s="66"/>
      <c r="M66" s="66"/>
    </row>
    <row r="67" spans="1:13" x14ac:dyDescent="0.2">
      <c r="A67" s="185">
        <v>5122014</v>
      </c>
      <c r="B67" s="212" t="str">
        <f>INDEX('Inntektsramme 2016'!$B$3:$B$146,MATCH(A67,'Inntektsramme 2016'!$A$3:$A$146,0))</f>
        <v>Lyse Produksjon AS</v>
      </c>
      <c r="C67" s="88">
        <v>1029</v>
      </c>
      <c r="D67" s="267">
        <v>0.24424000084400177</v>
      </c>
      <c r="E67" s="88">
        <f>VLOOKUP($A67,IRData!$A$3:$Q$146,17,FALSE)</f>
        <v>0</v>
      </c>
      <c r="F67" s="88">
        <f>VLOOKUP($A67,IRData!$A$3:$W$146,23,FALSE)</f>
        <v>0</v>
      </c>
      <c r="G67" s="89">
        <f t="shared" si="1"/>
        <v>0</v>
      </c>
      <c r="H67" s="89">
        <f t="shared" si="2"/>
        <v>0</v>
      </c>
      <c r="I67" s="88">
        <f>VLOOKUP($A67,IRData!$A$3:$M$146,13,FALSE)</f>
        <v>0</v>
      </c>
      <c r="J67" s="88">
        <f>VLOOKUP($A67,IRData!$A$3:$M$146,5,FALSE)</f>
        <v>0</v>
      </c>
      <c r="K67" s="90">
        <f t="shared" ref="K67:K98" si="4">C67+G67+H67+I67+J67</f>
        <v>1029</v>
      </c>
      <c r="L67" s="66"/>
      <c r="M67" s="66"/>
    </row>
    <row r="68" spans="1:13" x14ac:dyDescent="0.2">
      <c r="A68" s="185">
        <v>8722014</v>
      </c>
      <c r="B68" s="212" t="str">
        <f>INDEX('Inntektsramme 2016'!$B$3:$B$146,MATCH(A68,'Inntektsramme 2016'!$A$3:$A$146,0))</f>
        <v>LYSE SENTRALNETT AS</v>
      </c>
      <c r="C68" s="88">
        <v>18715</v>
      </c>
      <c r="D68" s="267">
        <v>0.24424000084400177</v>
      </c>
      <c r="E68" s="88">
        <f>VLOOKUP($A68,IRData!$A$3:$Q$146,17,FALSE)</f>
        <v>0</v>
      </c>
      <c r="F68" s="88">
        <f>VLOOKUP($A68,IRData!$A$3:$W$146,23,FALSE)</f>
        <v>0</v>
      </c>
      <c r="G68" s="89">
        <f t="shared" ref="G68:G131" si="5">D68*E68</f>
        <v>0</v>
      </c>
      <c r="H68" s="89">
        <f t="shared" ref="H68:H131" si="6">D68*F68</f>
        <v>0</v>
      </c>
      <c r="I68" s="88">
        <f>VLOOKUP($A68,IRData!$A$3:$M$146,13,FALSE)</f>
        <v>0</v>
      </c>
      <c r="J68" s="88">
        <f>VLOOKUP($A68,IRData!$A$3:$M$146,5,FALSE)</f>
        <v>0</v>
      </c>
      <c r="K68" s="90">
        <f t="shared" si="4"/>
        <v>18715</v>
      </c>
      <c r="L68" s="66"/>
      <c r="M68" s="66"/>
    </row>
    <row r="69" spans="1:13" x14ac:dyDescent="0.2">
      <c r="A69" s="185">
        <v>1062014</v>
      </c>
      <c r="B69" s="212" t="str">
        <f>INDEX('Inntektsramme 2016'!$B$3:$B$146,MATCH(A69,'Inntektsramme 2016'!$A$3:$A$146,0))</f>
        <v>Lærdal Energi AS</v>
      </c>
      <c r="C69" s="88">
        <v>16857</v>
      </c>
      <c r="D69" s="267">
        <v>0.24519000947475433</v>
      </c>
      <c r="E69" s="88">
        <f>VLOOKUP($A69,IRData!$A$3:$Q$146,17,FALSE)</f>
        <v>4842</v>
      </c>
      <c r="F69" s="88">
        <f>VLOOKUP($A69,IRData!$A$3:$W$146,23,FALSE)</f>
        <v>2438</v>
      </c>
      <c r="G69" s="89">
        <f t="shared" si="5"/>
        <v>1187.2100258767605</v>
      </c>
      <c r="H69" s="89">
        <f t="shared" si="6"/>
        <v>597.77324309945107</v>
      </c>
      <c r="I69" s="88">
        <f>VLOOKUP($A69,IRData!$A$3:$M$146,13,FALSE)</f>
        <v>2722</v>
      </c>
      <c r="J69" s="88">
        <f>VLOOKUP($A69,IRData!$A$3:$M$146,5,FALSE)</f>
        <v>0</v>
      </c>
      <c r="K69" s="90">
        <f t="shared" si="4"/>
        <v>21363.983268976212</v>
      </c>
      <c r="L69" s="66"/>
      <c r="M69" s="66"/>
    </row>
    <row r="70" spans="1:13" x14ac:dyDescent="0.2">
      <c r="A70" s="185">
        <v>1082014</v>
      </c>
      <c r="B70" s="212" t="str">
        <f>INDEX('Inntektsramme 2016'!$B$3:$B$146,MATCH(A70,'Inntektsramme 2016'!$A$3:$A$146,0))</f>
        <v>Løvenskiold Fossum Kraft</v>
      </c>
      <c r="C70" s="88">
        <v>1876</v>
      </c>
      <c r="D70" s="267">
        <v>0.24424000084400177</v>
      </c>
      <c r="E70" s="88">
        <f>VLOOKUP($A70,IRData!$A$3:$Q$146,17,FALSE)</f>
        <v>3076</v>
      </c>
      <c r="F70" s="88">
        <f>VLOOKUP($A70,IRData!$A$3:$W$146,23,FALSE)</f>
        <v>0</v>
      </c>
      <c r="G70" s="89">
        <f t="shared" si="5"/>
        <v>751.28224259614944</v>
      </c>
      <c r="H70" s="89">
        <f t="shared" si="6"/>
        <v>0</v>
      </c>
      <c r="I70" s="88">
        <f>VLOOKUP($A70,IRData!$A$3:$M$146,13,FALSE)</f>
        <v>0</v>
      </c>
      <c r="J70" s="88">
        <f>VLOOKUP($A70,IRData!$A$3:$M$146,5,FALSE)</f>
        <v>0</v>
      </c>
      <c r="K70" s="90">
        <f t="shared" si="4"/>
        <v>2627.2822425961494</v>
      </c>
      <c r="L70" s="66"/>
      <c r="M70" s="66"/>
    </row>
    <row r="71" spans="1:13" x14ac:dyDescent="0.2">
      <c r="A71" s="185">
        <v>1162014</v>
      </c>
      <c r="B71" s="212" t="str">
        <f>INDEX('Inntektsramme 2016'!$B$3:$B$146,MATCH(A71,'Inntektsramme 2016'!$A$3:$A$146,0))</f>
        <v>Meløy Energi AS</v>
      </c>
      <c r="C71" s="88">
        <v>20588</v>
      </c>
      <c r="D71" s="267">
        <v>0.27391999959945679</v>
      </c>
      <c r="E71" s="88">
        <f>VLOOKUP($A71,IRData!$A$3:$Q$146,17,FALSE)</f>
        <v>8472</v>
      </c>
      <c r="F71" s="88">
        <f>VLOOKUP($A71,IRData!$A$3:$W$146,23,FALSE)</f>
        <v>500</v>
      </c>
      <c r="G71" s="89">
        <f t="shared" si="5"/>
        <v>2320.6502366065979</v>
      </c>
      <c r="H71" s="89">
        <f t="shared" si="6"/>
        <v>136.95999979972839</v>
      </c>
      <c r="I71" s="88">
        <f>VLOOKUP($A71,IRData!$A$3:$M$146,13,FALSE)</f>
        <v>3236</v>
      </c>
      <c r="J71" s="88">
        <f>VLOOKUP($A71,IRData!$A$3:$M$146,5,FALSE)</f>
        <v>0</v>
      </c>
      <c r="K71" s="90">
        <f t="shared" si="4"/>
        <v>26281.610236406326</v>
      </c>
      <c r="L71" s="66"/>
      <c r="M71" s="66"/>
    </row>
    <row r="72" spans="1:13" x14ac:dyDescent="0.2">
      <c r="A72" s="185">
        <v>5912014</v>
      </c>
      <c r="B72" s="212" t="str">
        <f>INDEX('Inntektsramme 2016'!$B$3:$B$146,MATCH(A72,'Inntektsramme 2016'!$A$3:$A$146,0))</f>
        <v>Midt Nett Buskerud AS</v>
      </c>
      <c r="C72" s="88">
        <v>26921</v>
      </c>
      <c r="D72" s="267">
        <v>0.24519000947475433</v>
      </c>
      <c r="E72" s="88">
        <f>VLOOKUP($A72,IRData!$A$3:$Q$146,17,FALSE)</f>
        <v>17835</v>
      </c>
      <c r="F72" s="88">
        <f>VLOOKUP($A72,IRData!$A$3:$W$146,23,FALSE)</f>
        <v>1472</v>
      </c>
      <c r="G72" s="89">
        <f t="shared" si="5"/>
        <v>4372.9638189822435</v>
      </c>
      <c r="H72" s="89">
        <f t="shared" si="6"/>
        <v>360.91969394683838</v>
      </c>
      <c r="I72" s="88">
        <f>VLOOKUP($A72,IRData!$A$3:$M$146,13,FALSE)</f>
        <v>2200</v>
      </c>
      <c r="J72" s="88">
        <f>VLOOKUP($A72,IRData!$A$3:$M$146,5,FALSE)</f>
        <v>0</v>
      </c>
      <c r="K72" s="90">
        <f t="shared" si="4"/>
        <v>33854.883512929082</v>
      </c>
      <c r="L72" s="66"/>
      <c r="M72" s="66"/>
    </row>
    <row r="73" spans="1:13" x14ac:dyDescent="0.2">
      <c r="A73" s="185">
        <v>6592014</v>
      </c>
      <c r="B73" s="212" t="str">
        <f>INDEX('Inntektsramme 2016'!$B$3:$B$146,MATCH(A73,'Inntektsramme 2016'!$A$3:$A$146,0))</f>
        <v>Midt-Telemark Energi AS</v>
      </c>
      <c r="C73" s="88">
        <v>34582</v>
      </c>
      <c r="D73" s="267">
        <v>0.24424000084400177</v>
      </c>
      <c r="E73" s="88">
        <f>VLOOKUP($A73,IRData!$A$3:$Q$146,17,FALSE)</f>
        <v>15218</v>
      </c>
      <c r="F73" s="88">
        <f>VLOOKUP($A73,IRData!$A$3:$W$146,23,FALSE)</f>
        <v>1184</v>
      </c>
      <c r="G73" s="89">
        <f t="shared" si="5"/>
        <v>3716.8443328440189</v>
      </c>
      <c r="H73" s="89">
        <f t="shared" si="6"/>
        <v>289.1801609992981</v>
      </c>
      <c r="I73" s="88">
        <f>VLOOKUP($A73,IRData!$A$3:$M$146,13,FALSE)</f>
        <v>1303</v>
      </c>
      <c r="J73" s="88">
        <f>VLOOKUP($A73,IRData!$A$3:$M$146,5,FALSE)</f>
        <v>0</v>
      </c>
      <c r="K73" s="90">
        <f t="shared" si="4"/>
        <v>39891.024493843317</v>
      </c>
      <c r="L73" s="66"/>
      <c r="M73" s="66"/>
    </row>
    <row r="74" spans="1:13" x14ac:dyDescent="0.2">
      <c r="A74" s="185">
        <v>7432014</v>
      </c>
      <c r="B74" s="212" t="str">
        <f>INDEX('Inntektsramme 2016'!$B$3:$B$146,MATCH(A74,'Inntektsramme 2016'!$A$3:$A$146,0))</f>
        <v>Mo Industripark AS</v>
      </c>
      <c r="C74" s="88">
        <v>20174</v>
      </c>
      <c r="D74" s="267">
        <v>0.27391999959945679</v>
      </c>
      <c r="E74" s="88">
        <f>VLOOKUP($A74,IRData!$A$3:$Q$146,17,FALSE)</f>
        <v>311</v>
      </c>
      <c r="F74" s="88">
        <f>VLOOKUP($A74,IRData!$A$3:$W$146,23,FALSE)</f>
        <v>7469</v>
      </c>
      <c r="G74" s="89">
        <f t="shared" si="5"/>
        <v>85.189119875431061</v>
      </c>
      <c r="H74" s="89">
        <f t="shared" si="6"/>
        <v>2045.9084770083427</v>
      </c>
      <c r="I74" s="88">
        <f>VLOOKUP($A74,IRData!$A$3:$M$146,13,FALSE)</f>
        <v>570</v>
      </c>
      <c r="J74" s="88">
        <f>VLOOKUP($A74,IRData!$A$3:$M$146,5,FALSE)</f>
        <v>0</v>
      </c>
      <c r="K74" s="90">
        <f t="shared" si="4"/>
        <v>22875.097596883774</v>
      </c>
      <c r="L74" s="66"/>
      <c r="M74" s="66"/>
    </row>
    <row r="75" spans="1:13" x14ac:dyDescent="0.2">
      <c r="A75" s="185">
        <v>1212014</v>
      </c>
      <c r="B75" s="212" t="str">
        <f>INDEX('Inntektsramme 2016'!$B$3:$B$146,MATCH(A75,'Inntektsramme 2016'!$A$3:$A$146,0))</f>
        <v>Modalen Kraftlag BA</v>
      </c>
      <c r="C75" s="88">
        <v>1276</v>
      </c>
      <c r="D75" s="267">
        <v>0.24316000938415527</v>
      </c>
      <c r="E75" s="88">
        <f>VLOOKUP($A75,IRData!$A$3:$Q$146,17,FALSE)</f>
        <v>1110</v>
      </c>
      <c r="F75" s="88">
        <f>VLOOKUP($A75,IRData!$A$3:$W$146,23,FALSE)</f>
        <v>0</v>
      </c>
      <c r="G75" s="89">
        <f t="shared" si="5"/>
        <v>269.90761041641235</v>
      </c>
      <c r="H75" s="89">
        <f t="shared" si="6"/>
        <v>0</v>
      </c>
      <c r="I75" s="88">
        <f>VLOOKUP($A75,IRData!$A$3:$M$146,13,FALSE)</f>
        <v>103</v>
      </c>
      <c r="J75" s="88">
        <f>VLOOKUP($A75,IRData!$A$3:$M$146,5,FALSE)</f>
        <v>0</v>
      </c>
      <c r="K75" s="90">
        <f t="shared" si="4"/>
        <v>1648.9076104164124</v>
      </c>
      <c r="L75" s="66"/>
      <c r="M75" s="66"/>
    </row>
    <row r="76" spans="1:13" x14ac:dyDescent="0.2">
      <c r="A76" s="185">
        <v>4602014</v>
      </c>
      <c r="B76" s="212" t="str">
        <f>INDEX('Inntektsramme 2016'!$B$3:$B$146,MATCH(A76,'Inntektsramme 2016'!$A$3:$A$146,0))</f>
        <v>MØRENETT AS</v>
      </c>
      <c r="C76" s="88">
        <v>228128</v>
      </c>
      <c r="D76" s="267">
        <v>0.27448001503944397</v>
      </c>
      <c r="E76" s="88">
        <f>VLOOKUP($A76,IRData!$A$3:$Q$146,17,FALSE)</f>
        <v>79885</v>
      </c>
      <c r="F76" s="88">
        <f>VLOOKUP($A76,IRData!$A$3:$W$146,23,FALSE)</f>
        <v>51467</v>
      </c>
      <c r="G76" s="89">
        <f t="shared" si="5"/>
        <v>21926.836001425982</v>
      </c>
      <c r="H76" s="89">
        <f t="shared" si="6"/>
        <v>14126.662934035063</v>
      </c>
      <c r="I76" s="88">
        <f>VLOOKUP($A76,IRData!$A$3:$M$146,13,FALSE)</f>
        <v>14454</v>
      </c>
      <c r="J76" s="88">
        <f>VLOOKUP($A76,IRData!$A$3:$M$146,5,FALSE)</f>
        <v>734</v>
      </c>
      <c r="K76" s="90">
        <f t="shared" si="4"/>
        <v>279369.49893546104</v>
      </c>
      <c r="L76" s="66"/>
      <c r="M76" s="66"/>
    </row>
    <row r="77" spans="1:13" x14ac:dyDescent="0.2">
      <c r="A77" s="185">
        <v>6372014</v>
      </c>
      <c r="B77" s="212" t="str">
        <f>INDEX('Inntektsramme 2016'!$B$3:$B$146,MATCH(A77,'Inntektsramme 2016'!$A$3:$A$146,0))</f>
        <v>Nordkraft Nett AS</v>
      </c>
      <c r="C77" s="88">
        <v>55989</v>
      </c>
      <c r="D77" s="267">
        <v>0.27391999959945679</v>
      </c>
      <c r="E77" s="88">
        <f>VLOOKUP($A77,IRData!$A$3:$Q$146,17,FALSE)</f>
        <v>25564</v>
      </c>
      <c r="F77" s="88">
        <f>VLOOKUP($A77,IRData!$A$3:$W$146,23,FALSE)</f>
        <v>5213</v>
      </c>
      <c r="G77" s="89">
        <f t="shared" si="5"/>
        <v>7002.4908697605133</v>
      </c>
      <c r="H77" s="89">
        <f t="shared" si="6"/>
        <v>1427.9449579119682</v>
      </c>
      <c r="I77" s="88">
        <f>VLOOKUP($A77,IRData!$A$3:$M$146,13,FALSE)</f>
        <v>4107</v>
      </c>
      <c r="J77" s="88">
        <f>VLOOKUP($A77,IRData!$A$3:$M$146,5,FALSE)</f>
        <v>0</v>
      </c>
      <c r="K77" s="90">
        <f t="shared" si="4"/>
        <v>68526.435827672482</v>
      </c>
      <c r="L77" s="66"/>
      <c r="M77" s="66"/>
    </row>
    <row r="78" spans="1:13" x14ac:dyDescent="0.2">
      <c r="A78" s="185">
        <v>5932014</v>
      </c>
      <c r="B78" s="212" t="str">
        <f>INDEX('Inntektsramme 2016'!$B$3:$B$146,MATCH(A78,'Inntektsramme 2016'!$A$3:$A$146,0))</f>
        <v>Nesset Kraft AS</v>
      </c>
      <c r="C78" s="88">
        <v>13828</v>
      </c>
      <c r="D78" s="267">
        <v>0.27448001503944397</v>
      </c>
      <c r="E78" s="88">
        <f>VLOOKUP($A78,IRData!$A$3:$Q$146,17,FALSE)</f>
        <v>4035</v>
      </c>
      <c r="F78" s="88">
        <f>VLOOKUP($A78,IRData!$A$3:$W$146,23,FALSE)</f>
        <v>0</v>
      </c>
      <c r="G78" s="89">
        <f t="shared" si="5"/>
        <v>1107.5268606841564</v>
      </c>
      <c r="H78" s="89">
        <f t="shared" si="6"/>
        <v>0</v>
      </c>
      <c r="I78" s="88">
        <f>VLOOKUP($A78,IRData!$A$3:$M$146,13,FALSE)</f>
        <v>156</v>
      </c>
      <c r="J78" s="88">
        <f>VLOOKUP($A78,IRData!$A$3:$M$146,5,FALSE)</f>
        <v>0</v>
      </c>
      <c r="K78" s="90">
        <f t="shared" si="4"/>
        <v>15091.526860684156</v>
      </c>
      <c r="L78" s="66"/>
      <c r="M78" s="66"/>
    </row>
    <row r="79" spans="1:13" x14ac:dyDescent="0.2">
      <c r="A79" s="185">
        <v>1382014</v>
      </c>
      <c r="B79" s="212" t="str">
        <f>INDEX('Inntektsramme 2016'!$B$3:$B$146,MATCH(A79,'Inntektsramme 2016'!$A$3:$A$146,0))</f>
        <v>Nordkyn Kraftlag AL</v>
      </c>
      <c r="C79" s="88">
        <v>16024</v>
      </c>
      <c r="D79" s="267">
        <v>0.27391999959945679</v>
      </c>
      <c r="E79" s="88">
        <f>VLOOKUP($A79,IRData!$A$3:$Q$146,17,FALSE)</f>
        <v>5700</v>
      </c>
      <c r="F79" s="88">
        <f>VLOOKUP($A79,IRData!$A$3:$W$146,23,FALSE)</f>
        <v>9457</v>
      </c>
      <c r="G79" s="89">
        <f t="shared" si="5"/>
        <v>1561.3439977169037</v>
      </c>
      <c r="H79" s="89">
        <f t="shared" si="6"/>
        <v>2590.4614362120628</v>
      </c>
      <c r="I79" s="88">
        <f>VLOOKUP($A79,IRData!$A$3:$M$146,13,FALSE)</f>
        <v>1278</v>
      </c>
      <c r="J79" s="88">
        <f>VLOOKUP($A79,IRData!$A$3:$M$146,5,FALSE)</f>
        <v>0</v>
      </c>
      <c r="K79" s="90">
        <f t="shared" si="4"/>
        <v>21453.805433928967</v>
      </c>
      <c r="L79" s="66"/>
      <c r="M79" s="66"/>
    </row>
    <row r="80" spans="1:13" x14ac:dyDescent="0.2">
      <c r="A80" s="185">
        <v>7262014</v>
      </c>
      <c r="B80" s="212" t="str">
        <f>INDEX('Inntektsramme 2016'!$B$3:$B$146,MATCH(A80,'Inntektsramme 2016'!$A$3:$A$146,0))</f>
        <v>Nordlandsnett AS</v>
      </c>
      <c r="C80" s="88">
        <v>102365</v>
      </c>
      <c r="D80" s="267">
        <v>0.27391999959945679</v>
      </c>
      <c r="E80" s="88">
        <f>VLOOKUP($A80,IRData!$A$3:$Q$146,17,FALSE)</f>
        <v>49724</v>
      </c>
      <c r="F80" s="88">
        <f>VLOOKUP($A80,IRData!$A$3:$W$146,23,FALSE)</f>
        <v>45335</v>
      </c>
      <c r="G80" s="89">
        <f t="shared" si="5"/>
        <v>13620.398060083389</v>
      </c>
      <c r="H80" s="89">
        <f t="shared" si="6"/>
        <v>12418.163181841373</v>
      </c>
      <c r="I80" s="88">
        <f>VLOOKUP($A80,IRData!$A$3:$M$146,13,FALSE)</f>
        <v>8628</v>
      </c>
      <c r="J80" s="88">
        <f>VLOOKUP($A80,IRData!$A$3:$M$146,5,FALSE)</f>
        <v>937</v>
      </c>
      <c r="K80" s="90">
        <f t="shared" si="4"/>
        <v>137968.56124192476</v>
      </c>
      <c r="L80" s="66"/>
      <c r="M80" s="66"/>
    </row>
    <row r="81" spans="1:19" x14ac:dyDescent="0.2">
      <c r="A81" s="185">
        <v>3112014</v>
      </c>
      <c r="B81" s="212" t="str">
        <f>INDEX('Inntektsramme 2016'!$B$3:$B$146,MATCH(A81,'Inntektsramme 2016'!$A$3:$A$146,0))</f>
        <v>Nordmøre Energiverk AS</v>
      </c>
      <c r="C81" s="88">
        <v>95932</v>
      </c>
      <c r="D81" s="267">
        <v>0.27448001503944397</v>
      </c>
      <c r="E81" s="88">
        <f>VLOOKUP($A81,IRData!$A$3:$Q$146,17,FALSE)</f>
        <v>28618</v>
      </c>
      <c r="F81" s="88">
        <f>VLOOKUP($A81,IRData!$A$3:$W$146,23,FALSE)</f>
        <v>21695</v>
      </c>
      <c r="G81" s="89">
        <f t="shared" si="5"/>
        <v>7855.0690703988075</v>
      </c>
      <c r="H81" s="89">
        <f t="shared" si="6"/>
        <v>5954.8439262807369</v>
      </c>
      <c r="I81" s="88">
        <f>VLOOKUP($A81,IRData!$A$3:$M$146,13,FALSE)</f>
        <v>3523</v>
      </c>
      <c r="J81" s="88">
        <f>VLOOKUP($A81,IRData!$A$3:$M$146,5,FALSE)</f>
        <v>0</v>
      </c>
      <c r="K81" s="90">
        <f t="shared" si="4"/>
        <v>113264.91299667954</v>
      </c>
      <c r="L81" s="66"/>
      <c r="M81" s="66"/>
    </row>
    <row r="82" spans="1:19" x14ac:dyDescent="0.2">
      <c r="A82" s="185">
        <v>1322014</v>
      </c>
      <c r="B82" s="212" t="str">
        <f>INDEX('Inntektsramme 2016'!$B$3:$B$146,MATCH(A82,'Inntektsramme 2016'!$A$3:$A$146,0))</f>
        <v>Nord-Salten Kraft AS</v>
      </c>
      <c r="C82" s="88">
        <v>51043</v>
      </c>
      <c r="D82" s="267">
        <v>0.27391999959945679</v>
      </c>
      <c r="E82" s="88">
        <f>VLOOKUP($A82,IRData!$A$3:$Q$146,17,FALSE)</f>
        <v>7109</v>
      </c>
      <c r="F82" s="88">
        <f>VLOOKUP($A82,IRData!$A$3:$W$146,23,FALSE)</f>
        <v>14986</v>
      </c>
      <c r="G82" s="89">
        <f t="shared" si="5"/>
        <v>1947.2972771525383</v>
      </c>
      <c r="H82" s="89">
        <f t="shared" si="6"/>
        <v>4104.9651139974594</v>
      </c>
      <c r="I82" s="88">
        <f>VLOOKUP($A82,IRData!$A$3:$M$146,13,FALSE)</f>
        <v>1892</v>
      </c>
      <c r="J82" s="88">
        <f>VLOOKUP($A82,IRData!$A$3:$M$146,5,FALSE)</f>
        <v>0</v>
      </c>
      <c r="K82" s="90">
        <f t="shared" si="4"/>
        <v>58987.262391149998</v>
      </c>
      <c r="L82" s="66"/>
      <c r="M82" s="66"/>
    </row>
    <row r="83" spans="1:19" x14ac:dyDescent="0.2">
      <c r="A83" s="185">
        <v>6992014</v>
      </c>
      <c r="B83" s="212" t="str">
        <f>INDEX('Inntektsramme 2016'!$B$3:$B$146,MATCH(A83,'Inntektsramme 2016'!$A$3:$A$146,0))</f>
        <v>NTE Nett AS</v>
      </c>
      <c r="C83" s="88">
        <v>242529</v>
      </c>
      <c r="D83" s="267">
        <v>0.27445000410079956</v>
      </c>
      <c r="E83" s="88">
        <f>VLOOKUP($A83,IRData!$A$3:$Q$146,17,FALSE)</f>
        <v>84251</v>
      </c>
      <c r="F83" s="88">
        <f>VLOOKUP($A83,IRData!$A$3:$W$146,23,FALSE)</f>
        <v>46392</v>
      </c>
      <c r="G83" s="89">
        <f t="shared" si="5"/>
        <v>23122.687295496464</v>
      </c>
      <c r="H83" s="89">
        <f t="shared" si="6"/>
        <v>12732.284590244293</v>
      </c>
      <c r="I83" s="88">
        <f>VLOOKUP($A83,IRData!$A$3:$M$146,13,FALSE)</f>
        <v>16300</v>
      </c>
      <c r="J83" s="88">
        <f>VLOOKUP($A83,IRData!$A$3:$M$146,5,FALSE)</f>
        <v>1490</v>
      </c>
      <c r="K83" s="90">
        <f t="shared" si="4"/>
        <v>296173.97188574076</v>
      </c>
      <c r="L83" s="66"/>
      <c r="M83" s="66"/>
    </row>
    <row r="84" spans="1:19" x14ac:dyDescent="0.2">
      <c r="A84" s="185">
        <v>6132014</v>
      </c>
      <c r="B84" s="212" t="str">
        <f>INDEX('Inntektsramme 2016'!$B$3:$B$146,MATCH(A84,'Inntektsramme 2016'!$A$3:$A$146,0))</f>
        <v>Nordvest Nett AS</v>
      </c>
      <c r="C84" s="88">
        <v>16728</v>
      </c>
      <c r="D84" s="267">
        <v>0.27448001503944397</v>
      </c>
      <c r="E84" s="88">
        <f>VLOOKUP($A84,IRData!$A$3:$Q$146,17,FALSE)</f>
        <v>17063</v>
      </c>
      <c r="F84" s="88">
        <f>VLOOKUP($A84,IRData!$A$3:$W$146,23,FALSE)</f>
        <v>0</v>
      </c>
      <c r="G84" s="89">
        <f t="shared" si="5"/>
        <v>4683.4524966180325</v>
      </c>
      <c r="H84" s="89">
        <f t="shared" si="6"/>
        <v>0</v>
      </c>
      <c r="I84" s="88">
        <f>VLOOKUP($A84,IRData!$A$3:$M$146,13,FALSE)</f>
        <v>1560</v>
      </c>
      <c r="J84" s="88">
        <f>VLOOKUP($A84,IRData!$A$3:$M$146,5,FALSE)</f>
        <v>0</v>
      </c>
      <c r="K84" s="90">
        <f t="shared" si="4"/>
        <v>22971.452496618032</v>
      </c>
      <c r="L84" s="66"/>
      <c r="M84" s="66"/>
    </row>
    <row r="85" spans="1:19" s="68" customFormat="1" x14ac:dyDescent="0.2">
      <c r="A85" s="185">
        <v>1352014</v>
      </c>
      <c r="B85" s="212" t="str">
        <f>INDEX('Inntektsramme 2016'!$B$3:$B$146,MATCH(A85,'Inntektsramme 2016'!$A$3:$A$146,0))</f>
        <v>Nord-Østerdal Kraftlag SA</v>
      </c>
      <c r="C85" s="88">
        <v>37942</v>
      </c>
      <c r="D85" s="267">
        <v>0.24519000947475433</v>
      </c>
      <c r="E85" s="88">
        <f>VLOOKUP($A85,IRData!$A$3:$Q$146,17,FALSE)</f>
        <v>14398</v>
      </c>
      <c r="F85" s="88">
        <f>VLOOKUP($A85,IRData!$A$3:$W$146,23,FALSE)</f>
        <v>0</v>
      </c>
      <c r="G85" s="89">
        <f t="shared" si="5"/>
        <v>3530.2457564175129</v>
      </c>
      <c r="H85" s="89">
        <f t="shared" si="6"/>
        <v>0</v>
      </c>
      <c r="I85" s="88">
        <f>VLOOKUP($A85,IRData!$A$3:$M$146,13,FALSE)</f>
        <v>2464</v>
      </c>
      <c r="J85" s="88">
        <f>VLOOKUP($A85,IRData!$A$3:$M$146,5,FALSE)</f>
        <v>0</v>
      </c>
      <c r="K85" s="90">
        <f t="shared" si="4"/>
        <v>43936.245756417513</v>
      </c>
      <c r="M85" s="66"/>
      <c r="O85" s="66"/>
      <c r="S85" s="66"/>
    </row>
    <row r="86" spans="1:19" x14ac:dyDescent="0.2">
      <c r="A86" s="185">
        <v>3732014</v>
      </c>
      <c r="B86" s="212" t="str">
        <f>INDEX('Inntektsramme 2016'!$B$3:$B$146,MATCH(A86,'Inntektsramme 2016'!$A$3:$A$146,0))</f>
        <v>Nore Energi AS</v>
      </c>
      <c r="C86" s="88">
        <v>10397</v>
      </c>
      <c r="D86" s="267">
        <v>0.24519000947475433</v>
      </c>
      <c r="E86" s="88">
        <f>VLOOKUP($A86,IRData!$A$3:$Q$146,17,FALSE)</f>
        <v>1765</v>
      </c>
      <c r="F86" s="88">
        <f>VLOOKUP($A86,IRData!$A$3:$W$146,23,FALSE)</f>
        <v>0</v>
      </c>
      <c r="G86" s="89">
        <f t="shared" si="5"/>
        <v>432.7603667229414</v>
      </c>
      <c r="H86" s="89">
        <f t="shared" si="6"/>
        <v>0</v>
      </c>
      <c r="I86" s="88">
        <f>VLOOKUP($A86,IRData!$A$3:$M$146,13,FALSE)</f>
        <v>236</v>
      </c>
      <c r="J86" s="88">
        <f>VLOOKUP($A86,IRData!$A$3:$M$146,5,FALSE)</f>
        <v>0</v>
      </c>
      <c r="K86" s="90">
        <f t="shared" si="4"/>
        <v>11065.760366722941</v>
      </c>
      <c r="L86" s="66"/>
      <c r="M86" s="66"/>
    </row>
    <row r="87" spans="1:19" x14ac:dyDescent="0.2">
      <c r="A87" s="185">
        <v>1672014</v>
      </c>
      <c r="B87" s="212" t="str">
        <f>INDEX('Inntektsramme 2016'!$B$3:$B$146,MATCH(A87,'Inntektsramme 2016'!$A$3:$A$146,0))</f>
        <v>Hydro Energi AS</v>
      </c>
      <c r="C87" s="88">
        <v>89</v>
      </c>
      <c r="D87" s="267">
        <v>0.24394999444484711</v>
      </c>
      <c r="E87" s="88">
        <f>VLOOKUP($A87,IRData!$A$3:$Q$146,17,FALSE)</f>
        <v>832</v>
      </c>
      <c r="F87" s="88">
        <f>VLOOKUP($A87,IRData!$A$3:$W$146,23,FALSE)</f>
        <v>0</v>
      </c>
      <c r="G87" s="89">
        <f t="shared" si="5"/>
        <v>202.96639537811279</v>
      </c>
      <c r="H87" s="89">
        <f t="shared" si="6"/>
        <v>0</v>
      </c>
      <c r="I87" s="88">
        <f>VLOOKUP($A87,IRData!$A$3:$M$146,13,FALSE)</f>
        <v>0</v>
      </c>
      <c r="J87" s="88">
        <f>VLOOKUP($A87,IRData!$A$3:$M$146,5,FALSE)</f>
        <v>0</v>
      </c>
      <c r="K87" s="90">
        <f t="shared" si="4"/>
        <v>291.96639537811279</v>
      </c>
      <c r="L87" s="66"/>
      <c r="M87" s="66"/>
    </row>
    <row r="88" spans="1:19" x14ac:dyDescent="0.2">
      <c r="A88" s="185">
        <v>3492014</v>
      </c>
      <c r="B88" s="212" t="str">
        <f>INDEX('Inntektsramme 2016'!$B$3:$B$146,MATCH(A88,'Inntektsramme 2016'!$A$3:$A$146,0))</f>
        <v>Notodden Energi AS</v>
      </c>
      <c r="C88" s="88">
        <v>25442</v>
      </c>
      <c r="D88" s="267">
        <v>0.24424000084400177</v>
      </c>
      <c r="E88" s="88">
        <f>VLOOKUP($A88,IRData!$A$3:$Q$146,17,FALSE)</f>
        <v>10500</v>
      </c>
      <c r="F88" s="88">
        <f>VLOOKUP($A88,IRData!$A$3:$W$146,23,FALSE)</f>
        <v>3000</v>
      </c>
      <c r="G88" s="89">
        <f t="shared" si="5"/>
        <v>2564.5200088620186</v>
      </c>
      <c r="H88" s="89">
        <f t="shared" si="6"/>
        <v>732.72000253200531</v>
      </c>
      <c r="I88" s="88">
        <f>VLOOKUP($A88,IRData!$A$3:$M$146,13,FALSE)</f>
        <v>417</v>
      </c>
      <c r="J88" s="88">
        <f>VLOOKUP($A88,IRData!$A$3:$M$146,5,FALSE)</f>
        <v>0</v>
      </c>
      <c r="K88" s="90">
        <f t="shared" si="4"/>
        <v>29156.240011394024</v>
      </c>
      <c r="L88" s="66"/>
      <c r="M88" s="66"/>
    </row>
    <row r="89" spans="1:19" x14ac:dyDescent="0.2">
      <c r="A89" s="185">
        <v>1462014</v>
      </c>
      <c r="B89" s="212" t="str">
        <f>INDEX('Inntektsramme 2016'!$B$3:$B$146,MATCH(A89,'Inntektsramme 2016'!$A$3:$A$146,0))</f>
        <v>Odda Energi AS</v>
      </c>
      <c r="C89" s="88">
        <v>22010</v>
      </c>
      <c r="D89" s="267">
        <v>0.24424000084400177</v>
      </c>
      <c r="E89" s="88">
        <f>VLOOKUP($A89,IRData!$A$3:$Q$146,17,FALSE)</f>
        <v>8905</v>
      </c>
      <c r="F89" s="88">
        <f>VLOOKUP($A89,IRData!$A$3:$W$146,23,FALSE)</f>
        <v>20971</v>
      </c>
      <c r="G89" s="89">
        <f t="shared" si="5"/>
        <v>2174.9572075158358</v>
      </c>
      <c r="H89" s="89">
        <f t="shared" si="6"/>
        <v>5121.9570576995611</v>
      </c>
      <c r="I89" s="88">
        <f>VLOOKUP($A89,IRData!$A$3:$M$146,13,FALSE)</f>
        <v>1175</v>
      </c>
      <c r="J89" s="88">
        <f>VLOOKUP($A89,IRData!$A$3:$M$146,5,FALSE)</f>
        <v>0</v>
      </c>
      <c r="K89" s="90">
        <f t="shared" si="4"/>
        <v>30481.914265215397</v>
      </c>
      <c r="L89" s="66"/>
      <c r="M89" s="66"/>
    </row>
    <row r="90" spans="1:19" x14ac:dyDescent="0.2">
      <c r="A90" s="185">
        <v>1492014</v>
      </c>
      <c r="B90" s="212" t="str">
        <f>INDEX('Inntektsramme 2016'!$B$3:$B$146,MATCH(A90,'Inntektsramme 2016'!$A$3:$A$146,0))</f>
        <v>Oppdal Everk AS</v>
      </c>
      <c r="C90" s="88">
        <v>17041</v>
      </c>
      <c r="D90" s="267">
        <v>0.27448001503944397</v>
      </c>
      <c r="E90" s="88">
        <f>VLOOKUP($A90,IRData!$A$3:$Q$146,17,FALSE)</f>
        <v>4293</v>
      </c>
      <c r="F90" s="88">
        <f>VLOOKUP($A90,IRData!$A$3:$W$146,23,FALSE)</f>
        <v>0</v>
      </c>
      <c r="G90" s="89">
        <f t="shared" si="5"/>
        <v>1178.342704564333</v>
      </c>
      <c r="H90" s="89">
        <f t="shared" si="6"/>
        <v>0</v>
      </c>
      <c r="I90" s="88">
        <f>VLOOKUP($A90,IRData!$A$3:$M$146,13,FALSE)</f>
        <v>634</v>
      </c>
      <c r="J90" s="88">
        <f>VLOOKUP($A90,IRData!$A$3:$M$146,5,FALSE)</f>
        <v>0</v>
      </c>
      <c r="K90" s="90">
        <f t="shared" si="4"/>
        <v>18853.342704564333</v>
      </c>
      <c r="L90" s="66"/>
      <c r="M90" s="66"/>
    </row>
    <row r="91" spans="1:19" x14ac:dyDescent="0.2">
      <c r="A91" s="185">
        <v>1522014</v>
      </c>
      <c r="B91" s="212" t="str">
        <f>INDEX('Inntektsramme 2016'!$B$3:$B$146,MATCH(A91,'Inntektsramme 2016'!$A$3:$A$146,0))</f>
        <v>Opplandskraft DA</v>
      </c>
      <c r="C91" s="88">
        <v>1641</v>
      </c>
      <c r="D91" s="267">
        <v>0.27448001503944397</v>
      </c>
      <c r="E91" s="88">
        <f>VLOOKUP($A91,IRData!$A$3:$Q$146,17,FALSE)</f>
        <v>0</v>
      </c>
      <c r="F91" s="88">
        <f>VLOOKUP($A91,IRData!$A$3:$W$146,23,FALSE)</f>
        <v>15018</v>
      </c>
      <c r="G91" s="89">
        <f t="shared" si="5"/>
        <v>0</v>
      </c>
      <c r="H91" s="89">
        <f t="shared" si="6"/>
        <v>4122.1408658623695</v>
      </c>
      <c r="I91" s="88">
        <f>VLOOKUP($A91,IRData!$A$3:$M$146,13,FALSE)</f>
        <v>0</v>
      </c>
      <c r="J91" s="88">
        <f>VLOOKUP($A91,IRData!$A$3:$M$146,5,FALSE)</f>
        <v>0</v>
      </c>
      <c r="K91" s="90">
        <f t="shared" si="4"/>
        <v>5763.1408658623695</v>
      </c>
      <c r="L91" s="66"/>
      <c r="M91" s="66"/>
    </row>
    <row r="92" spans="1:19" x14ac:dyDescent="0.2">
      <c r="A92" s="185">
        <v>1532014</v>
      </c>
      <c r="B92" s="212" t="str">
        <f>INDEX('Inntektsramme 2016'!$B$3:$B$146,MATCH(A92,'Inntektsramme 2016'!$A$3:$A$146,0))</f>
        <v>Orkdal Energi AS</v>
      </c>
      <c r="C92" s="88">
        <v>13657</v>
      </c>
      <c r="D92" s="267">
        <v>0.27448001503944397</v>
      </c>
      <c r="E92" s="88">
        <f>VLOOKUP($A92,IRData!$A$3:$Q$146,17,FALSE)</f>
        <v>8694</v>
      </c>
      <c r="F92" s="88">
        <f>VLOOKUP($A92,IRData!$A$3:$W$146,23,FALSE)</f>
        <v>0</v>
      </c>
      <c r="G92" s="89">
        <f t="shared" si="5"/>
        <v>2386.3292507529259</v>
      </c>
      <c r="H92" s="89">
        <f t="shared" si="6"/>
        <v>0</v>
      </c>
      <c r="I92" s="88">
        <f>VLOOKUP($A92,IRData!$A$3:$M$146,13,FALSE)</f>
        <v>602</v>
      </c>
      <c r="J92" s="88">
        <f>VLOOKUP($A92,IRData!$A$3:$M$146,5,FALSE)</f>
        <v>0</v>
      </c>
      <c r="K92" s="90">
        <f t="shared" si="4"/>
        <v>16645.329250752926</v>
      </c>
      <c r="L92" s="66"/>
      <c r="M92" s="66"/>
    </row>
    <row r="93" spans="1:19" x14ac:dyDescent="0.2">
      <c r="A93" s="185">
        <v>1562014</v>
      </c>
      <c r="B93" s="212" t="str">
        <f>INDEX('Inntektsramme 2016'!$B$3:$B$146,MATCH(A93,'Inntektsramme 2016'!$A$3:$A$146,0))</f>
        <v>Porsa Kraftlag AS</v>
      </c>
      <c r="C93" s="88">
        <v>205</v>
      </c>
      <c r="D93" s="267">
        <v>0.27391999959945679</v>
      </c>
      <c r="E93" s="88">
        <f>VLOOKUP($A93,IRData!$A$3:$Q$146,17,FALSE)</f>
        <v>0</v>
      </c>
      <c r="F93" s="88">
        <f>VLOOKUP($A93,IRData!$A$3:$W$146,23,FALSE)</f>
        <v>0</v>
      </c>
      <c r="G93" s="89">
        <f t="shared" si="5"/>
        <v>0</v>
      </c>
      <c r="H93" s="89">
        <f t="shared" si="6"/>
        <v>0</v>
      </c>
      <c r="I93" s="88">
        <f>VLOOKUP($A93,IRData!$A$3:$M$146,13,FALSE)</f>
        <v>0</v>
      </c>
      <c r="J93" s="88">
        <f>VLOOKUP($A93,IRData!$A$3:$M$146,5,FALSE)</f>
        <v>0</v>
      </c>
      <c r="K93" s="90">
        <f t="shared" si="4"/>
        <v>205</v>
      </c>
      <c r="L93" s="66"/>
      <c r="M93" s="66"/>
    </row>
    <row r="94" spans="1:19" x14ac:dyDescent="0.2">
      <c r="A94" s="185">
        <v>1572014</v>
      </c>
      <c r="B94" s="212" t="str">
        <f>INDEX('Inntektsramme 2016'!$B$3:$B$146,MATCH(A94,'Inntektsramme 2016'!$A$3:$A$146,0))</f>
        <v>Rakkestad Energi AS</v>
      </c>
      <c r="C94" s="88">
        <v>14265</v>
      </c>
      <c r="D94" s="267">
        <v>0.24519000947475433</v>
      </c>
      <c r="E94" s="88">
        <f>VLOOKUP($A94,IRData!$A$3:$Q$146,17,FALSE)</f>
        <v>8260</v>
      </c>
      <c r="F94" s="88">
        <f>VLOOKUP($A94,IRData!$A$3:$W$146,23,FALSE)</f>
        <v>0</v>
      </c>
      <c r="G94" s="89">
        <f t="shared" si="5"/>
        <v>2025.2694782614708</v>
      </c>
      <c r="H94" s="89">
        <f t="shared" si="6"/>
        <v>0</v>
      </c>
      <c r="I94" s="88">
        <f>VLOOKUP($A94,IRData!$A$3:$M$146,13,FALSE)</f>
        <v>1358</v>
      </c>
      <c r="J94" s="88">
        <f>VLOOKUP($A94,IRData!$A$3:$M$146,5,FALSE)</f>
        <v>0</v>
      </c>
      <c r="K94" s="90">
        <f t="shared" si="4"/>
        <v>17648.269478261471</v>
      </c>
      <c r="L94" s="66"/>
      <c r="M94" s="66"/>
    </row>
    <row r="95" spans="1:19" x14ac:dyDescent="0.2">
      <c r="A95" s="185">
        <v>1612014</v>
      </c>
      <c r="B95" s="212" t="str">
        <f>INDEX('Inntektsramme 2016'!$B$3:$B$146,MATCH(A95,'Inntektsramme 2016'!$A$3:$A$146,0))</f>
        <v>Rauland Kraftforsyningslag SA</v>
      </c>
      <c r="C95" s="88">
        <v>15498</v>
      </c>
      <c r="D95" s="267">
        <v>0.24424000084400177</v>
      </c>
      <c r="E95" s="88">
        <f>VLOOKUP($A95,IRData!$A$3:$Q$146,17,FALSE)</f>
        <v>7710</v>
      </c>
      <c r="F95" s="88">
        <f>VLOOKUP($A95,IRData!$A$3:$W$146,23,FALSE)</f>
        <v>705</v>
      </c>
      <c r="G95" s="89">
        <f t="shared" si="5"/>
        <v>1883.0904065072536</v>
      </c>
      <c r="H95" s="89">
        <f t="shared" si="6"/>
        <v>172.18920059502125</v>
      </c>
      <c r="I95" s="88">
        <f>VLOOKUP($A95,IRData!$A$3:$M$146,13,FALSE)</f>
        <v>739</v>
      </c>
      <c r="J95" s="88">
        <f>VLOOKUP($A95,IRData!$A$3:$M$146,5,FALSE)</f>
        <v>0</v>
      </c>
      <c r="K95" s="90">
        <f t="shared" si="4"/>
        <v>18292.279607102275</v>
      </c>
      <c r="L95" s="66"/>
      <c r="M95" s="66"/>
    </row>
    <row r="96" spans="1:19" x14ac:dyDescent="0.2">
      <c r="A96" s="185">
        <v>1622014</v>
      </c>
      <c r="B96" s="212" t="str">
        <f>INDEX('Inntektsramme 2016'!$B$3:$B$146,MATCH(A96,'Inntektsramme 2016'!$A$3:$A$146,0))</f>
        <v>Rauma Energi AS</v>
      </c>
      <c r="C96" s="88">
        <v>24231</v>
      </c>
      <c r="D96" s="267">
        <v>0.27448001503944397</v>
      </c>
      <c r="E96" s="88">
        <f>VLOOKUP($A96,IRData!$A$3:$Q$146,17,FALSE)</f>
        <v>11128</v>
      </c>
      <c r="F96" s="88">
        <f>VLOOKUP($A96,IRData!$A$3:$W$146,23,FALSE)</f>
        <v>191</v>
      </c>
      <c r="G96" s="89">
        <f t="shared" si="5"/>
        <v>3054.4136073589325</v>
      </c>
      <c r="H96" s="89">
        <f t="shared" si="6"/>
        <v>52.425682872533798</v>
      </c>
      <c r="I96" s="88">
        <f>VLOOKUP($A96,IRData!$A$3:$M$146,13,FALSE)</f>
        <v>1106</v>
      </c>
      <c r="J96" s="88">
        <f>VLOOKUP($A96,IRData!$A$3:$M$146,5,FALSE)</f>
        <v>0</v>
      </c>
      <c r="K96" s="90">
        <f t="shared" si="4"/>
        <v>28443.839290231466</v>
      </c>
      <c r="L96" s="66"/>
      <c r="M96" s="66"/>
    </row>
    <row r="97" spans="1:13" x14ac:dyDescent="0.2">
      <c r="A97" s="185">
        <v>1642014</v>
      </c>
      <c r="B97" s="212" t="str">
        <f>INDEX('Inntektsramme 2016'!$B$3:$B$146,MATCH(A97,'Inntektsramme 2016'!$A$3:$A$146,0))</f>
        <v>Repvåg Kraftlag SA</v>
      </c>
      <c r="C97" s="88">
        <v>32880</v>
      </c>
      <c r="D97" s="267">
        <v>0.27391999959945679</v>
      </c>
      <c r="E97" s="88">
        <f>VLOOKUP($A97,IRData!$A$3:$Q$146,17,FALSE)</f>
        <v>7754</v>
      </c>
      <c r="F97" s="88">
        <f>VLOOKUP($A97,IRData!$A$3:$W$146,23,FALSE)</f>
        <v>6050</v>
      </c>
      <c r="G97" s="89">
        <f t="shared" si="5"/>
        <v>2123.9756768941879</v>
      </c>
      <c r="H97" s="89">
        <f t="shared" si="6"/>
        <v>1657.2159975767136</v>
      </c>
      <c r="I97" s="88">
        <f>VLOOKUP($A97,IRData!$A$3:$M$146,13,FALSE)</f>
        <v>2737</v>
      </c>
      <c r="J97" s="88">
        <f>VLOOKUP($A97,IRData!$A$3:$M$146,5,FALSE)</f>
        <v>0</v>
      </c>
      <c r="K97" s="90">
        <f t="shared" si="4"/>
        <v>39398.191674470901</v>
      </c>
      <c r="L97" s="66"/>
      <c r="M97" s="66"/>
    </row>
    <row r="98" spans="1:13" x14ac:dyDescent="0.2">
      <c r="A98" s="185">
        <v>6932014</v>
      </c>
      <c r="B98" s="212" t="str">
        <f>INDEX('Inntektsramme 2016'!$B$3:$B$146,MATCH(A98,'Inntektsramme 2016'!$A$3:$A$146,0))</f>
        <v>Ringeriks-Kraft Nett AS</v>
      </c>
      <c r="C98" s="88">
        <v>47050</v>
      </c>
      <c r="D98" s="267">
        <v>0.24519000947475433</v>
      </c>
      <c r="E98" s="88">
        <f>VLOOKUP($A98,IRData!$A$3:$Q$146,17,FALSE)</f>
        <v>31716</v>
      </c>
      <c r="F98" s="88">
        <f>VLOOKUP($A98,IRData!$A$3:$W$146,23,FALSE)</f>
        <v>0</v>
      </c>
      <c r="G98" s="89">
        <f t="shared" si="5"/>
        <v>7776.4463405013084</v>
      </c>
      <c r="H98" s="89">
        <f t="shared" si="6"/>
        <v>0</v>
      </c>
      <c r="I98" s="88">
        <f>VLOOKUP($A98,IRData!$A$3:$M$146,13,FALSE)</f>
        <v>4526</v>
      </c>
      <c r="J98" s="88">
        <f>VLOOKUP($A98,IRData!$A$3:$M$146,5,FALSE)</f>
        <v>0</v>
      </c>
      <c r="K98" s="90">
        <f t="shared" si="4"/>
        <v>59352.446340501308</v>
      </c>
      <c r="L98" s="66"/>
      <c r="M98" s="66"/>
    </row>
    <row r="99" spans="1:13" x14ac:dyDescent="0.2">
      <c r="A99" s="185">
        <v>1662014</v>
      </c>
      <c r="B99" s="212" t="str">
        <f>INDEX('Inntektsramme 2016'!$B$3:$B$146,MATCH(A99,'Inntektsramme 2016'!$A$3:$A$146,0))</f>
        <v>Rissa Kraftlag BA</v>
      </c>
      <c r="C99" s="88">
        <v>9271</v>
      </c>
      <c r="D99" s="267">
        <v>0.27448001503944397</v>
      </c>
      <c r="E99" s="88">
        <f>VLOOKUP($A99,IRData!$A$3:$Q$146,17,FALSE)</f>
        <v>3961</v>
      </c>
      <c r="F99" s="88">
        <f>VLOOKUP($A99,IRData!$A$3:$W$146,23,FALSE)</f>
        <v>0</v>
      </c>
      <c r="G99" s="89">
        <f t="shared" si="5"/>
        <v>1087.2153395712376</v>
      </c>
      <c r="H99" s="89">
        <f t="shared" si="6"/>
        <v>0</v>
      </c>
      <c r="I99" s="88">
        <f>VLOOKUP($A99,IRData!$A$3:$M$146,13,FALSE)</f>
        <v>901</v>
      </c>
      <c r="J99" s="88">
        <f>VLOOKUP($A99,IRData!$A$3:$M$146,5,FALSE)</f>
        <v>0</v>
      </c>
      <c r="K99" s="90">
        <f t="shared" ref="K99:K130" si="7">C99+G99+H99+I99+J99</f>
        <v>11259.215339571238</v>
      </c>
      <c r="L99" s="66"/>
      <c r="M99" s="66"/>
    </row>
    <row r="100" spans="1:13" x14ac:dyDescent="0.2">
      <c r="A100" s="185">
        <v>1682014</v>
      </c>
      <c r="B100" s="212" t="str">
        <f>INDEX('Inntektsramme 2016'!$B$3:$B$146,MATCH(A100,'Inntektsramme 2016'!$A$3:$A$146,0))</f>
        <v>Rollag Elektrisitetsverk SA</v>
      </c>
      <c r="C100" s="88">
        <v>7974</v>
      </c>
      <c r="D100" s="267">
        <v>0.24519000947475433</v>
      </c>
      <c r="E100" s="88">
        <f>VLOOKUP($A100,IRData!$A$3:$Q$146,17,FALSE)</f>
        <v>2257</v>
      </c>
      <c r="F100" s="88">
        <f>VLOOKUP($A100,IRData!$A$3:$W$146,23,FALSE)</f>
        <v>0</v>
      </c>
      <c r="G100" s="89">
        <f t="shared" si="5"/>
        <v>553.39385138452053</v>
      </c>
      <c r="H100" s="89">
        <f t="shared" si="6"/>
        <v>0</v>
      </c>
      <c r="I100" s="88">
        <f>VLOOKUP($A100,IRData!$A$3:$M$146,13,FALSE)</f>
        <v>229</v>
      </c>
      <c r="J100" s="88">
        <f>VLOOKUP($A100,IRData!$A$3:$M$146,5,FALSE)</f>
        <v>0</v>
      </c>
      <c r="K100" s="90">
        <f t="shared" si="7"/>
        <v>8756.3938513845205</v>
      </c>
      <c r="L100" s="66"/>
      <c r="M100" s="66"/>
    </row>
    <row r="101" spans="1:13" x14ac:dyDescent="0.2">
      <c r="A101" s="185">
        <v>1712014</v>
      </c>
      <c r="B101" s="212" t="str">
        <f>INDEX('Inntektsramme 2016'!$B$3:$B$146,MATCH(A101,'Inntektsramme 2016'!$A$3:$A$146,0))</f>
        <v>Rødøy-Lurøy Kraftverk AS</v>
      </c>
      <c r="C101" s="88">
        <v>28215</v>
      </c>
      <c r="D101" s="267">
        <v>0.27391999959945679</v>
      </c>
      <c r="E101" s="88">
        <f>VLOOKUP($A101,IRData!$A$3:$Q$146,17,FALSE)</f>
        <v>10069</v>
      </c>
      <c r="F101" s="88">
        <f>VLOOKUP($A101,IRData!$A$3:$W$146,23,FALSE)</f>
        <v>0</v>
      </c>
      <c r="G101" s="89">
        <f t="shared" si="5"/>
        <v>2758.1004759669304</v>
      </c>
      <c r="H101" s="89">
        <f t="shared" si="6"/>
        <v>0</v>
      </c>
      <c r="I101" s="88">
        <f>VLOOKUP($A101,IRData!$A$3:$M$146,13,FALSE)</f>
        <v>3055</v>
      </c>
      <c r="J101" s="88">
        <f>VLOOKUP($A101,IRData!$A$3:$M$146,5,FALSE)</f>
        <v>0</v>
      </c>
      <c r="K101" s="90">
        <f t="shared" si="7"/>
        <v>34028.10047596693</v>
      </c>
      <c r="L101" s="66"/>
      <c r="M101" s="66"/>
    </row>
    <row r="102" spans="1:13" x14ac:dyDescent="0.2">
      <c r="A102" s="185">
        <v>1732014</v>
      </c>
      <c r="B102" s="212" t="str">
        <f>INDEX('Inntektsramme 2016'!$B$3:$B$146,MATCH(A102,'Inntektsramme 2016'!$A$3:$A$146,0))</f>
        <v>Røros Elektrisitetsverk AS</v>
      </c>
      <c r="C102" s="88">
        <v>17869</v>
      </c>
      <c r="D102" s="267">
        <v>0.27448001503944397</v>
      </c>
      <c r="E102" s="88">
        <f>VLOOKUP($A102,IRData!$A$3:$Q$146,17,FALSE)</f>
        <v>6841</v>
      </c>
      <c r="F102" s="88">
        <f>VLOOKUP($A102,IRData!$A$3:$W$146,23,FALSE)</f>
        <v>785</v>
      </c>
      <c r="G102" s="89">
        <f t="shared" si="5"/>
        <v>1877.7177828848362</v>
      </c>
      <c r="H102" s="89">
        <f t="shared" si="6"/>
        <v>215.46681180596352</v>
      </c>
      <c r="I102" s="88">
        <f>VLOOKUP($A102,IRData!$A$3:$M$146,13,FALSE)</f>
        <v>941</v>
      </c>
      <c r="J102" s="88">
        <f>VLOOKUP($A102,IRData!$A$3:$M$146,5,FALSE)</f>
        <v>0</v>
      </c>
      <c r="K102" s="90">
        <f t="shared" si="7"/>
        <v>20903.1845946908</v>
      </c>
      <c r="L102" s="66"/>
      <c r="M102" s="66"/>
    </row>
    <row r="103" spans="1:13" x14ac:dyDescent="0.2">
      <c r="A103" s="185">
        <v>1812014</v>
      </c>
      <c r="B103" s="212" t="str">
        <f>INDEX('Inntektsramme 2016'!$B$3:$B$146,MATCH(A103,'Inntektsramme 2016'!$A$3:$A$146,0))</f>
        <v>Sandøy Energi AS</v>
      </c>
      <c r="C103" s="88">
        <v>6985</v>
      </c>
      <c r="D103" s="267">
        <v>0.27448001503944397</v>
      </c>
      <c r="E103" s="88">
        <f>VLOOKUP($A103,IRData!$A$3:$Q$146,17,FALSE)</f>
        <v>1594</v>
      </c>
      <c r="F103" s="88">
        <f>VLOOKUP($A103,IRData!$A$3:$W$146,23,FALSE)</f>
        <v>0</v>
      </c>
      <c r="G103" s="89">
        <f t="shared" si="5"/>
        <v>437.52114397287369</v>
      </c>
      <c r="H103" s="89">
        <f t="shared" si="6"/>
        <v>0</v>
      </c>
      <c r="I103" s="88">
        <f>VLOOKUP($A103,IRData!$A$3:$M$146,13,FALSE)</f>
        <v>0</v>
      </c>
      <c r="J103" s="88">
        <f>VLOOKUP($A103,IRData!$A$3:$M$146,5,FALSE)</f>
        <v>0</v>
      </c>
      <c r="K103" s="90">
        <f t="shared" si="7"/>
        <v>7422.5211439728737</v>
      </c>
      <c r="L103" s="66"/>
      <c r="M103" s="66"/>
    </row>
    <row r="104" spans="1:13" x14ac:dyDescent="0.2">
      <c r="A104" s="185">
        <v>1842014</v>
      </c>
      <c r="B104" s="212" t="str">
        <f>INDEX('Inntektsramme 2016'!$B$3:$B$146,MATCH(A104,'Inntektsramme 2016'!$A$3:$A$146,0))</f>
        <v>Selbu Energiverk AS</v>
      </c>
      <c r="C104" s="88">
        <v>11379</v>
      </c>
      <c r="D104" s="267">
        <v>0.27448001503944397</v>
      </c>
      <c r="E104" s="88">
        <f>VLOOKUP($A104,IRData!$A$3:$Q$146,17,FALSE)</f>
        <v>4203</v>
      </c>
      <c r="F104" s="88">
        <f>VLOOKUP($A104,IRData!$A$3:$W$146,23,FALSE)</f>
        <v>139</v>
      </c>
      <c r="G104" s="89">
        <f t="shared" si="5"/>
        <v>1153.639503210783</v>
      </c>
      <c r="H104" s="89">
        <f t="shared" si="6"/>
        <v>38.152722090482712</v>
      </c>
      <c r="I104" s="88">
        <f>VLOOKUP($A104,IRData!$A$3:$M$146,13,FALSE)</f>
        <v>1561</v>
      </c>
      <c r="J104" s="88">
        <f>VLOOKUP($A104,IRData!$A$3:$M$146,5,FALSE)</f>
        <v>0</v>
      </c>
      <c r="K104" s="90">
        <f t="shared" si="7"/>
        <v>14131.792225301266</v>
      </c>
      <c r="L104" s="66"/>
      <c r="M104" s="66"/>
    </row>
    <row r="105" spans="1:13" x14ac:dyDescent="0.2">
      <c r="A105" s="185">
        <v>2692014</v>
      </c>
      <c r="B105" s="212" t="str">
        <f>INDEX('Inntektsramme 2016'!$B$3:$B$146,MATCH(A105,'Inntektsramme 2016'!$A$3:$A$146,0))</f>
        <v>SFE Nett AS</v>
      </c>
      <c r="C105" s="88">
        <v>170129</v>
      </c>
      <c r="D105" s="267">
        <v>0.24810999631881714</v>
      </c>
      <c r="E105" s="88">
        <f>VLOOKUP($A105,IRData!$A$3:$Q$146,17,FALSE)</f>
        <v>34567</v>
      </c>
      <c r="F105" s="88">
        <f>VLOOKUP($A105,IRData!$A$3:$W$146,23,FALSE)</f>
        <v>25632</v>
      </c>
      <c r="G105" s="89">
        <f t="shared" si="5"/>
        <v>8576.418242752552</v>
      </c>
      <c r="H105" s="89">
        <f t="shared" si="6"/>
        <v>6359.5554256439209</v>
      </c>
      <c r="I105" s="88">
        <f>VLOOKUP($A105,IRData!$A$3:$M$146,13,FALSE)</f>
        <v>12729</v>
      </c>
      <c r="J105" s="88">
        <f>VLOOKUP($A105,IRData!$A$3:$M$146,5,FALSE)</f>
        <v>1628</v>
      </c>
      <c r="K105" s="90">
        <f t="shared" si="7"/>
        <v>199421.97366839647</v>
      </c>
      <c r="L105" s="66"/>
      <c r="M105" s="66"/>
    </row>
    <row r="106" spans="1:13" x14ac:dyDescent="0.2">
      <c r="A106" s="185">
        <v>1872014</v>
      </c>
      <c r="B106" s="212" t="str">
        <f>INDEX('Inntektsramme 2016'!$B$3:$B$146,MATCH(A106,'Inntektsramme 2016'!$A$3:$A$146,0))</f>
        <v>Sira Kvina Kraftselskap</v>
      </c>
      <c r="C106" s="88">
        <v>3694</v>
      </c>
      <c r="D106" s="267">
        <v>0.24424000084400177</v>
      </c>
      <c r="E106" s="88">
        <f>VLOOKUP($A106,IRData!$A$3:$Q$146,17,FALSE)</f>
        <v>737</v>
      </c>
      <c r="F106" s="88">
        <f>VLOOKUP($A106,IRData!$A$3:$W$146,23,FALSE)</f>
        <v>0</v>
      </c>
      <c r="G106" s="89">
        <f t="shared" si="5"/>
        <v>180.0048806220293</v>
      </c>
      <c r="H106" s="89">
        <f t="shared" si="6"/>
        <v>0</v>
      </c>
      <c r="I106" s="88">
        <f>VLOOKUP($A106,IRData!$A$3:$M$146,13,FALSE)</f>
        <v>0</v>
      </c>
      <c r="J106" s="88">
        <f>VLOOKUP($A106,IRData!$A$3:$M$146,5,FALSE)</f>
        <v>0</v>
      </c>
      <c r="K106" s="90">
        <f t="shared" si="7"/>
        <v>3874.0048806220293</v>
      </c>
      <c r="L106" s="66"/>
      <c r="M106" s="66"/>
    </row>
    <row r="107" spans="1:13" x14ac:dyDescent="0.2">
      <c r="A107" s="185">
        <v>6112014</v>
      </c>
      <c r="B107" s="212" t="str">
        <f>INDEX('Inntektsramme 2016'!$B$3:$B$146,MATCH(A107,'Inntektsramme 2016'!$A$3:$A$146,0))</f>
        <v>Skagerak Nett AS</v>
      </c>
      <c r="C107" s="88">
        <v>414086</v>
      </c>
      <c r="D107" s="267">
        <v>0.24424000084400177</v>
      </c>
      <c r="E107" s="88">
        <f>VLOOKUP($A107,IRData!$A$3:$Q$146,17,FALSE)</f>
        <v>226897</v>
      </c>
      <c r="F107" s="88">
        <f>VLOOKUP($A107,IRData!$A$3:$W$146,23,FALSE)</f>
        <v>204551</v>
      </c>
      <c r="G107" s="89">
        <f t="shared" si="5"/>
        <v>55417.32347150147</v>
      </c>
      <c r="H107" s="89">
        <f t="shared" si="6"/>
        <v>49959.536412641406</v>
      </c>
      <c r="I107" s="88">
        <f>VLOOKUP($A107,IRData!$A$3:$M$146,13,FALSE)</f>
        <v>44818</v>
      </c>
      <c r="J107" s="88">
        <f>VLOOKUP($A107,IRData!$A$3:$M$146,5,FALSE)</f>
        <v>1022</v>
      </c>
      <c r="K107" s="90">
        <f t="shared" si="7"/>
        <v>565302.85988414288</v>
      </c>
      <c r="L107" s="66"/>
      <c r="M107" s="66"/>
    </row>
    <row r="108" spans="1:13" x14ac:dyDescent="0.2">
      <c r="A108" s="185">
        <v>1942014</v>
      </c>
      <c r="B108" s="212" t="str">
        <f>INDEX('Inntektsramme 2016'!$B$3:$B$146,MATCH(A108,'Inntektsramme 2016'!$A$3:$A$146,0))</f>
        <v>Skjåk Energi KF</v>
      </c>
      <c r="C108" s="88">
        <v>10999</v>
      </c>
      <c r="D108" s="267">
        <v>0.24519000947475433</v>
      </c>
      <c r="E108" s="88">
        <f>VLOOKUP($A108,IRData!$A$3:$Q$146,17,FALSE)</f>
        <v>1740</v>
      </c>
      <c r="F108" s="88">
        <f>VLOOKUP($A108,IRData!$A$3:$W$146,23,FALSE)</f>
        <v>0</v>
      </c>
      <c r="G108" s="89">
        <f t="shared" si="5"/>
        <v>426.63061648607254</v>
      </c>
      <c r="H108" s="89">
        <f t="shared" si="6"/>
        <v>0</v>
      </c>
      <c r="I108" s="88">
        <f>VLOOKUP($A108,IRData!$A$3:$M$146,13,FALSE)</f>
        <v>430</v>
      </c>
      <c r="J108" s="88">
        <f>VLOOKUP($A108,IRData!$A$3:$M$146,5,FALSE)</f>
        <v>0</v>
      </c>
      <c r="K108" s="90">
        <f t="shared" si="7"/>
        <v>11855.630616486073</v>
      </c>
      <c r="L108" s="66"/>
      <c r="M108" s="66"/>
    </row>
    <row r="109" spans="1:13" x14ac:dyDescent="0.2">
      <c r="A109" s="185">
        <v>2102014</v>
      </c>
      <c r="B109" s="212" t="str">
        <f>INDEX('Inntektsramme 2016'!$B$3:$B$146,MATCH(A109,'Inntektsramme 2016'!$A$3:$A$146,0))</f>
        <v>SKL Nett AS</v>
      </c>
      <c r="C109" s="88">
        <v>74483</v>
      </c>
      <c r="D109" s="267">
        <v>0.24316000938415527</v>
      </c>
      <c r="E109" s="88">
        <f>VLOOKUP($A109,IRData!$A$3:$Q$146,17,FALSE)</f>
        <v>12129</v>
      </c>
      <c r="F109" s="88">
        <f>VLOOKUP($A109,IRData!$A$3:$W$146,23,FALSE)</f>
        <v>33313</v>
      </c>
      <c r="G109" s="89">
        <f t="shared" si="5"/>
        <v>2949.2877538204193</v>
      </c>
      <c r="H109" s="89">
        <f t="shared" si="6"/>
        <v>8100.3893926143646</v>
      </c>
      <c r="I109" s="88">
        <f>VLOOKUP($A109,IRData!$A$3:$M$146,13,FALSE)</f>
        <v>3481</v>
      </c>
      <c r="J109" s="88">
        <f>VLOOKUP($A109,IRData!$A$3:$M$146,5,FALSE)</f>
        <v>440</v>
      </c>
      <c r="K109" s="90">
        <f t="shared" si="7"/>
        <v>89453.677146434784</v>
      </c>
      <c r="L109" s="66"/>
      <c r="M109" s="66"/>
    </row>
    <row r="110" spans="1:13" x14ac:dyDescent="0.2">
      <c r="A110" s="185">
        <v>1962014</v>
      </c>
      <c r="B110" s="212" t="str">
        <f>INDEX('Inntektsramme 2016'!$B$3:$B$146,MATCH(A110,'Inntektsramme 2016'!$A$3:$A$146,0))</f>
        <v>Skånevik Ølen Kraftlag SA</v>
      </c>
      <c r="C110" s="88">
        <v>12671</v>
      </c>
      <c r="D110" s="267">
        <v>0.24424000084400177</v>
      </c>
      <c r="E110" s="88">
        <f>VLOOKUP($A110,IRData!$A$3:$Q$146,17,FALSE)</f>
        <v>4089</v>
      </c>
      <c r="F110" s="88">
        <f>VLOOKUP($A110,IRData!$A$3:$W$146,23,FALSE)</f>
        <v>0</v>
      </c>
      <c r="G110" s="89">
        <f t="shared" si="5"/>
        <v>998.69736345112324</v>
      </c>
      <c r="H110" s="89">
        <f t="shared" si="6"/>
        <v>0</v>
      </c>
      <c r="I110" s="88">
        <f>VLOOKUP($A110,IRData!$A$3:$M$146,13,FALSE)</f>
        <v>1946</v>
      </c>
      <c r="J110" s="88">
        <f>VLOOKUP($A110,IRData!$A$3:$M$146,5,FALSE)</f>
        <v>0</v>
      </c>
      <c r="K110" s="90">
        <f t="shared" si="7"/>
        <v>15615.697363451123</v>
      </c>
      <c r="L110" s="66"/>
      <c r="M110" s="66"/>
    </row>
    <row r="111" spans="1:13" x14ac:dyDescent="0.2">
      <c r="A111" s="185">
        <v>1972014</v>
      </c>
      <c r="B111" s="212" t="str">
        <f>INDEX('Inntektsramme 2016'!$B$3:$B$146,MATCH(A111,'Inntektsramme 2016'!$A$3:$A$146,0))</f>
        <v>Sognekraft AS</v>
      </c>
      <c r="C111" s="88">
        <v>54287</v>
      </c>
      <c r="D111" s="267">
        <v>0.24316000938415527</v>
      </c>
      <c r="E111" s="88">
        <f>VLOOKUP($A111,IRData!$A$3:$Q$146,17,FALSE)</f>
        <v>11701</v>
      </c>
      <c r="F111" s="88">
        <f>VLOOKUP($A111,IRData!$A$3:$W$146,23,FALSE)</f>
        <v>5964</v>
      </c>
      <c r="G111" s="89">
        <f t="shared" si="5"/>
        <v>2845.2152698040009</v>
      </c>
      <c r="H111" s="89">
        <f t="shared" si="6"/>
        <v>1450.2062959671021</v>
      </c>
      <c r="I111" s="88">
        <f>VLOOKUP($A111,IRData!$A$3:$M$146,13,FALSE)</f>
        <v>2613</v>
      </c>
      <c r="J111" s="88">
        <f>VLOOKUP($A111,IRData!$A$3:$M$146,5,FALSE)</f>
        <v>0</v>
      </c>
      <c r="K111" s="90">
        <f t="shared" si="7"/>
        <v>61195.421565771103</v>
      </c>
      <c r="L111" s="66"/>
      <c r="M111" s="66"/>
    </row>
    <row r="112" spans="1:13" x14ac:dyDescent="0.2">
      <c r="A112" s="185">
        <v>6692014</v>
      </c>
      <c r="B112" s="212" t="str">
        <f>INDEX('Inntektsramme 2016'!$B$3:$B$146,MATCH(A112,'Inntektsramme 2016'!$A$3:$A$146,0))</f>
        <v>Stange Energi Nett AS</v>
      </c>
      <c r="C112" s="88">
        <v>28117</v>
      </c>
      <c r="D112" s="267">
        <v>0.24519000947475433</v>
      </c>
      <c r="E112" s="88">
        <f>VLOOKUP($A112,IRData!$A$3:$Q$146,17,FALSE)</f>
        <v>13234</v>
      </c>
      <c r="F112" s="88">
        <f>VLOOKUP($A112,IRData!$A$3:$W$146,23,FALSE)</f>
        <v>1111</v>
      </c>
      <c r="G112" s="89">
        <f t="shared" si="5"/>
        <v>3244.8445853888988</v>
      </c>
      <c r="H112" s="89">
        <f t="shared" si="6"/>
        <v>272.40610052645206</v>
      </c>
      <c r="I112" s="88">
        <f>VLOOKUP($A112,IRData!$A$3:$M$146,13,FALSE)</f>
        <v>1605</v>
      </c>
      <c r="J112" s="88">
        <f>VLOOKUP($A112,IRData!$A$3:$M$146,5,FALSE)</f>
        <v>0</v>
      </c>
      <c r="K112" s="90">
        <f t="shared" si="7"/>
        <v>33239.250685915351</v>
      </c>
      <c r="L112" s="66"/>
      <c r="M112" s="66"/>
    </row>
    <row r="113" spans="1:13" x14ac:dyDescent="0.2">
      <c r="A113" s="185">
        <v>6852014</v>
      </c>
      <c r="B113" s="212" t="str">
        <f>INDEX('Inntektsramme 2016'!$B$3:$B$146,MATCH(A113,'Inntektsramme 2016'!$A$3:$A$146,0))</f>
        <v>Statkraft Energi AS</v>
      </c>
      <c r="C113" s="88">
        <v>273</v>
      </c>
      <c r="D113" s="267">
        <v>0.27391999959945679</v>
      </c>
      <c r="E113" s="88">
        <f>VLOOKUP($A113,IRData!$A$3:$Q$146,17,FALSE)</f>
        <v>0</v>
      </c>
      <c r="F113" s="88">
        <f>VLOOKUP($A113,IRData!$A$3:$W$146,23,FALSE)</f>
        <v>1266</v>
      </c>
      <c r="G113" s="89">
        <f t="shared" si="5"/>
        <v>0</v>
      </c>
      <c r="H113" s="89">
        <f t="shared" si="6"/>
        <v>346.78271949291229</v>
      </c>
      <c r="I113" s="88">
        <f>VLOOKUP($A113,IRData!$A$3:$M$146,13,FALSE)</f>
        <v>0</v>
      </c>
      <c r="J113" s="88">
        <f>VLOOKUP($A113,IRData!$A$3:$M$146,5,FALSE)</f>
        <v>0</v>
      </c>
      <c r="K113" s="90">
        <f t="shared" si="7"/>
        <v>619.78271949291229</v>
      </c>
      <c r="L113" s="66"/>
      <c r="M113" s="66"/>
    </row>
    <row r="114" spans="1:13" x14ac:dyDescent="0.2">
      <c r="A114" s="185">
        <v>2042014</v>
      </c>
      <c r="B114" s="212" t="str">
        <f>INDEX('Inntektsramme 2016'!$B$3:$B$146,MATCH(A114,'Inntektsramme 2016'!$A$3:$A$146,0))</f>
        <v>Stranda Energi AS</v>
      </c>
      <c r="C114" s="88">
        <v>10039</v>
      </c>
      <c r="D114" s="267">
        <v>0.27448001503944397</v>
      </c>
      <c r="E114" s="88">
        <f>VLOOKUP($A114,IRData!$A$3:$Q$146,17,FALSE)</f>
        <v>9817</v>
      </c>
      <c r="F114" s="88">
        <f>VLOOKUP($A114,IRData!$A$3:$W$146,23,FALSE)</f>
        <v>0</v>
      </c>
      <c r="G114" s="89">
        <f t="shared" si="5"/>
        <v>2694.5703076422215</v>
      </c>
      <c r="H114" s="89">
        <f t="shared" si="6"/>
        <v>0</v>
      </c>
      <c r="I114" s="88">
        <f>VLOOKUP($A114,IRData!$A$3:$M$146,13,FALSE)</f>
        <v>1998</v>
      </c>
      <c r="J114" s="88">
        <f>VLOOKUP($A114,IRData!$A$3:$M$146,5,FALSE)</f>
        <v>0</v>
      </c>
      <c r="K114" s="90">
        <f t="shared" si="7"/>
        <v>14731.570307642221</v>
      </c>
      <c r="L114" s="66"/>
      <c r="M114" s="66"/>
    </row>
    <row r="115" spans="1:13" x14ac:dyDescent="0.2">
      <c r="A115" s="185">
        <v>2052014</v>
      </c>
      <c r="B115" s="212" t="str">
        <f>INDEX('Inntektsramme 2016'!$B$3:$B$146,MATCH(A115,'Inntektsramme 2016'!$A$3:$A$146,0))</f>
        <v>Stryn Energi AS</v>
      </c>
      <c r="C115" s="88">
        <v>14812</v>
      </c>
      <c r="D115" s="267">
        <v>0.24519000947475433</v>
      </c>
      <c r="E115" s="88">
        <f>VLOOKUP($A115,IRData!$A$3:$Q$146,17,FALSE)</f>
        <v>8989</v>
      </c>
      <c r="F115" s="88">
        <f>VLOOKUP($A115,IRData!$A$3:$W$146,23,FALSE)</f>
        <v>0</v>
      </c>
      <c r="G115" s="89">
        <f t="shared" si="5"/>
        <v>2204.0129951685667</v>
      </c>
      <c r="H115" s="89">
        <f t="shared" si="6"/>
        <v>0</v>
      </c>
      <c r="I115" s="88">
        <f>VLOOKUP($A115,IRData!$A$3:$M$146,13,FALSE)</f>
        <v>673</v>
      </c>
      <c r="J115" s="88">
        <f>VLOOKUP($A115,IRData!$A$3:$M$146,5,FALSE)</f>
        <v>0</v>
      </c>
      <c r="K115" s="90">
        <f t="shared" si="7"/>
        <v>17689.012995168567</v>
      </c>
      <c r="L115" s="66"/>
      <c r="M115" s="66"/>
    </row>
    <row r="116" spans="1:13" x14ac:dyDescent="0.2">
      <c r="A116" s="185">
        <v>2062014</v>
      </c>
      <c r="B116" s="212" t="str">
        <f>INDEX('Inntektsramme 2016'!$B$3:$B$146,MATCH(A116,'Inntektsramme 2016'!$A$3:$A$146,0))</f>
        <v>Suldal Elverk KF</v>
      </c>
      <c r="C116" s="88">
        <v>18624</v>
      </c>
      <c r="D116" s="267">
        <v>0.24424000084400177</v>
      </c>
      <c r="E116" s="88">
        <f>VLOOKUP($A116,IRData!$A$3:$Q$146,17,FALSE)</f>
        <v>4676</v>
      </c>
      <c r="F116" s="88">
        <f>VLOOKUP($A116,IRData!$A$3:$W$146,23,FALSE)</f>
        <v>3419</v>
      </c>
      <c r="G116" s="89">
        <f t="shared" si="5"/>
        <v>1142.0662439465523</v>
      </c>
      <c r="H116" s="89">
        <f t="shared" si="6"/>
        <v>835.05656288564205</v>
      </c>
      <c r="I116" s="88">
        <f>VLOOKUP($A116,IRData!$A$3:$M$146,13,FALSE)</f>
        <v>2253</v>
      </c>
      <c r="J116" s="88">
        <f>VLOOKUP($A116,IRData!$A$3:$M$146,5,FALSE)</f>
        <v>0</v>
      </c>
      <c r="K116" s="90">
        <f t="shared" si="7"/>
        <v>22854.122806832194</v>
      </c>
      <c r="L116" s="66"/>
      <c r="M116" s="66"/>
    </row>
    <row r="117" spans="1:13" x14ac:dyDescent="0.2">
      <c r="A117" s="185">
        <v>5992014</v>
      </c>
      <c r="B117" s="212" t="str">
        <f>INDEX('Inntektsramme 2016'!$B$3:$B$146,MATCH(A117,'Inntektsramme 2016'!$A$3:$A$146,0))</f>
        <v>Sunndal Energi KF</v>
      </c>
      <c r="C117" s="88">
        <v>16474</v>
      </c>
      <c r="D117" s="267">
        <v>0.27448001503944397</v>
      </c>
      <c r="E117" s="88">
        <f>VLOOKUP($A117,IRData!$A$3:$Q$146,17,FALSE)</f>
        <v>4234</v>
      </c>
      <c r="F117" s="88">
        <f>VLOOKUP($A117,IRData!$A$3:$W$146,23,FALSE)</f>
        <v>0</v>
      </c>
      <c r="G117" s="89">
        <f t="shared" si="5"/>
        <v>1162.1483836770058</v>
      </c>
      <c r="H117" s="89">
        <f t="shared" si="6"/>
        <v>0</v>
      </c>
      <c r="I117" s="88">
        <f>VLOOKUP($A117,IRData!$A$3:$M$146,13,FALSE)</f>
        <v>383</v>
      </c>
      <c r="J117" s="88">
        <f>VLOOKUP($A117,IRData!$A$3:$M$146,5,FALSE)</f>
        <v>0</v>
      </c>
      <c r="K117" s="90">
        <f t="shared" si="7"/>
        <v>18019.148383677006</v>
      </c>
      <c r="L117" s="66"/>
      <c r="M117" s="66"/>
    </row>
    <row r="118" spans="1:13" x14ac:dyDescent="0.2">
      <c r="A118" s="185">
        <v>562014</v>
      </c>
      <c r="B118" s="212" t="str">
        <f>INDEX('Inntektsramme 2016'!$B$3:$B$146,MATCH(A118,'Inntektsramme 2016'!$A$3:$A$146,0))</f>
        <v>Sunnfjord Energi AS</v>
      </c>
      <c r="C118" s="88">
        <v>86790</v>
      </c>
      <c r="D118" s="267">
        <v>0.24316000938415527</v>
      </c>
      <c r="E118" s="88">
        <f>VLOOKUP($A118,IRData!$A$3:$Q$146,17,FALSE)</f>
        <v>18826</v>
      </c>
      <c r="F118" s="88">
        <f>VLOOKUP($A118,IRData!$A$3:$W$146,23,FALSE)</f>
        <v>7675</v>
      </c>
      <c r="G118" s="89">
        <f t="shared" si="5"/>
        <v>4577.7303366661072</v>
      </c>
      <c r="H118" s="89">
        <f t="shared" si="6"/>
        <v>1866.2530720233917</v>
      </c>
      <c r="I118" s="88">
        <f>VLOOKUP($A118,IRData!$A$3:$M$146,13,FALSE)</f>
        <v>5585</v>
      </c>
      <c r="J118" s="88">
        <f>VLOOKUP($A118,IRData!$A$3:$M$146,5,FALSE)</f>
        <v>0</v>
      </c>
      <c r="K118" s="90">
        <f t="shared" si="7"/>
        <v>98818.983408689499</v>
      </c>
      <c r="L118" s="66"/>
      <c r="M118" s="66"/>
    </row>
    <row r="119" spans="1:13" x14ac:dyDescent="0.2">
      <c r="A119" s="185">
        <v>2742014</v>
      </c>
      <c r="B119" s="212" t="str">
        <f>INDEX('Inntektsramme 2016'!$B$3:$B$146,MATCH(A119,'Inntektsramme 2016'!$A$3:$A$146,0))</f>
        <v>Svorka Energi AS</v>
      </c>
      <c r="C119" s="88">
        <v>26939</v>
      </c>
      <c r="D119" s="267">
        <v>0.27448001503944397</v>
      </c>
      <c r="E119" s="88">
        <f>VLOOKUP($A119,IRData!$A$3:$Q$146,17,FALSE)</f>
        <v>10002</v>
      </c>
      <c r="F119" s="88">
        <f>VLOOKUP($A119,IRData!$A$3:$W$146,23,FALSE)</f>
        <v>1517</v>
      </c>
      <c r="G119" s="89">
        <f t="shared" si="5"/>
        <v>2745.3491104245186</v>
      </c>
      <c r="H119" s="89">
        <f t="shared" si="6"/>
        <v>416.3861828148365</v>
      </c>
      <c r="I119" s="88">
        <f>VLOOKUP($A119,IRData!$A$3:$M$146,13,FALSE)</f>
        <v>1965</v>
      </c>
      <c r="J119" s="88">
        <f>VLOOKUP($A119,IRData!$A$3:$M$146,5,FALSE)</f>
        <v>0</v>
      </c>
      <c r="K119" s="90">
        <f t="shared" si="7"/>
        <v>32065.735293239355</v>
      </c>
      <c r="L119" s="66"/>
      <c r="M119" s="66"/>
    </row>
    <row r="120" spans="1:13" x14ac:dyDescent="0.2">
      <c r="A120" s="185">
        <v>6522014</v>
      </c>
      <c r="B120" s="212" t="str">
        <f>INDEX('Inntektsramme 2016'!$B$3:$B$146,MATCH(A120,'Inntektsramme 2016'!$A$3:$A$146,0))</f>
        <v>Svorka Produksjon AS</v>
      </c>
      <c r="C120" s="88">
        <v>435</v>
      </c>
      <c r="D120" s="267">
        <v>0.27448001503944397</v>
      </c>
      <c r="E120" s="88">
        <f>VLOOKUP($A120,IRData!$A$3:$Q$146,17,FALSE)</f>
        <v>0</v>
      </c>
      <c r="F120" s="88">
        <f>VLOOKUP($A120,IRData!$A$3:$W$146,23,FALSE)</f>
        <v>0</v>
      </c>
      <c r="G120" s="89">
        <f t="shared" si="5"/>
        <v>0</v>
      </c>
      <c r="H120" s="89">
        <f t="shared" si="6"/>
        <v>0</v>
      </c>
      <c r="I120" s="88">
        <f>VLOOKUP($A120,IRData!$A$3:$M$146,13,FALSE)</f>
        <v>0</v>
      </c>
      <c r="J120" s="88">
        <f>VLOOKUP($A120,IRData!$A$3:$M$146,5,FALSE)</f>
        <v>0</v>
      </c>
      <c r="K120" s="90">
        <f t="shared" si="7"/>
        <v>435</v>
      </c>
      <c r="L120" s="66"/>
      <c r="M120" s="66"/>
    </row>
    <row r="121" spans="1:13" x14ac:dyDescent="0.2">
      <c r="A121" s="185">
        <v>2132014</v>
      </c>
      <c r="B121" s="212" t="str">
        <f>INDEX('Inntektsramme 2016'!$B$3:$B$146,MATCH(A121,'Inntektsramme 2016'!$A$3:$A$146,0))</f>
        <v>Sykkylven Energi AS</v>
      </c>
      <c r="C121" s="88">
        <v>7957</v>
      </c>
      <c r="D121" s="267">
        <v>0.27448001503944397</v>
      </c>
      <c r="E121" s="88">
        <f>VLOOKUP($A121,IRData!$A$3:$Q$146,17,FALSE)</f>
        <v>5738</v>
      </c>
      <c r="F121" s="88">
        <f>VLOOKUP($A121,IRData!$A$3:$W$146,23,FALSE)</f>
        <v>0</v>
      </c>
      <c r="G121" s="89">
        <f t="shared" si="5"/>
        <v>1574.9663262963295</v>
      </c>
      <c r="H121" s="89">
        <f t="shared" si="6"/>
        <v>0</v>
      </c>
      <c r="I121" s="88">
        <f>VLOOKUP($A121,IRData!$A$3:$M$146,13,FALSE)</f>
        <v>897</v>
      </c>
      <c r="J121" s="88">
        <f>VLOOKUP($A121,IRData!$A$3:$M$146,5,FALSE)</f>
        <v>0</v>
      </c>
      <c r="K121" s="90">
        <f t="shared" si="7"/>
        <v>10428.966326296329</v>
      </c>
      <c r="L121" s="66"/>
      <c r="M121" s="66"/>
    </row>
    <row r="122" spans="1:13" x14ac:dyDescent="0.2">
      <c r="A122" s="185">
        <v>2142014</v>
      </c>
      <c r="B122" s="212" t="str">
        <f>INDEX('Inntektsramme 2016'!$B$3:$B$146,MATCH(A122,'Inntektsramme 2016'!$A$3:$A$146,0))</f>
        <v>Sør Aurdal Energi AS</v>
      </c>
      <c r="C122" s="88">
        <v>10839</v>
      </c>
      <c r="D122" s="267">
        <v>0.24519000947475433</v>
      </c>
      <c r="E122" s="88">
        <f>VLOOKUP($A122,IRData!$A$3:$Q$146,17,FALSE)</f>
        <v>5602</v>
      </c>
      <c r="F122" s="88">
        <f>VLOOKUP($A122,IRData!$A$3:$W$146,23,FALSE)</f>
        <v>0</v>
      </c>
      <c r="G122" s="89">
        <f t="shared" si="5"/>
        <v>1373.5544330775738</v>
      </c>
      <c r="H122" s="89">
        <f t="shared" si="6"/>
        <v>0</v>
      </c>
      <c r="I122" s="88">
        <f>VLOOKUP($A122,IRData!$A$3:$M$146,13,FALSE)</f>
        <v>553</v>
      </c>
      <c r="J122" s="88">
        <f>VLOOKUP($A122,IRData!$A$3:$M$146,5,FALSE)</f>
        <v>0</v>
      </c>
      <c r="K122" s="90">
        <f t="shared" si="7"/>
        <v>12765.554433077574</v>
      </c>
      <c r="L122" s="66"/>
      <c r="M122" s="66"/>
    </row>
    <row r="123" spans="1:13" x14ac:dyDescent="0.2">
      <c r="A123" s="185">
        <v>2182014</v>
      </c>
      <c r="B123" s="212" t="str">
        <f>INDEX('Inntektsramme 2016'!$B$3:$B$146,MATCH(A123,'Inntektsramme 2016'!$A$3:$A$146,0))</f>
        <v>Sørfold Kraftlag SA</v>
      </c>
      <c r="C123" s="88">
        <v>13966</v>
      </c>
      <c r="D123" s="267">
        <v>0.27391999959945679</v>
      </c>
      <c r="E123" s="88">
        <f>VLOOKUP($A123,IRData!$A$3:$Q$146,17,FALSE)</f>
        <v>2621</v>
      </c>
      <c r="F123" s="88">
        <f>VLOOKUP($A123,IRData!$A$3:$W$146,23,FALSE)</f>
        <v>0</v>
      </c>
      <c r="G123" s="89">
        <f t="shared" si="5"/>
        <v>717.94431895017624</v>
      </c>
      <c r="H123" s="89">
        <f t="shared" si="6"/>
        <v>0</v>
      </c>
      <c r="I123" s="88">
        <f>VLOOKUP($A123,IRData!$A$3:$M$146,13,FALSE)</f>
        <v>600</v>
      </c>
      <c r="J123" s="88">
        <f>VLOOKUP($A123,IRData!$A$3:$M$146,5,FALSE)</f>
        <v>0</v>
      </c>
      <c r="K123" s="90">
        <f t="shared" si="7"/>
        <v>15283.944318950176</v>
      </c>
      <c r="L123" s="66"/>
      <c r="M123" s="66"/>
    </row>
    <row r="124" spans="1:13" x14ac:dyDescent="0.2">
      <c r="A124" s="185">
        <v>2222014</v>
      </c>
      <c r="B124" s="212" t="str">
        <f>INDEX('Inntektsramme 2016'!$B$3:$B$146,MATCH(A124,'Inntektsramme 2016'!$A$3:$A$146,0))</f>
        <v>Tinfos AS</v>
      </c>
      <c r="C124" s="88">
        <v>512</v>
      </c>
      <c r="D124" s="267">
        <v>0.24424000084400177</v>
      </c>
      <c r="E124" s="88">
        <f>VLOOKUP($A124,IRData!$A$3:$Q$146,17,FALSE)</f>
        <v>186</v>
      </c>
      <c r="F124" s="88">
        <f>VLOOKUP($A124,IRData!$A$3:$W$146,23,FALSE)</f>
        <v>985</v>
      </c>
      <c r="G124" s="89">
        <f t="shared" si="5"/>
        <v>45.428640156984329</v>
      </c>
      <c r="H124" s="89">
        <f t="shared" si="6"/>
        <v>240.57640083134174</v>
      </c>
      <c r="I124" s="88">
        <f>VLOOKUP($A124,IRData!$A$3:$M$146,13,FALSE)</f>
        <v>0</v>
      </c>
      <c r="J124" s="88">
        <f>VLOOKUP($A124,IRData!$A$3:$M$146,5,FALSE)</f>
        <v>0</v>
      </c>
      <c r="K124" s="90">
        <f t="shared" si="7"/>
        <v>798.00504098832607</v>
      </c>
      <c r="L124" s="66"/>
      <c r="M124" s="66"/>
    </row>
    <row r="125" spans="1:13" x14ac:dyDescent="0.2">
      <c r="A125" s="185">
        <v>2232014</v>
      </c>
      <c r="B125" s="212" t="str">
        <f>INDEX('Inntektsramme 2016'!$B$3:$B$146,MATCH(A125,'Inntektsramme 2016'!$A$3:$A$146,0))</f>
        <v>Tinn Energi AS</v>
      </c>
      <c r="C125" s="88">
        <v>23991</v>
      </c>
      <c r="D125" s="267">
        <v>0.24424000084400177</v>
      </c>
      <c r="E125" s="88">
        <f>VLOOKUP($A125,IRData!$A$3:$Q$146,17,FALSE)</f>
        <v>12804</v>
      </c>
      <c r="F125" s="88">
        <f>VLOOKUP($A125,IRData!$A$3:$W$146,23,FALSE)</f>
        <v>0</v>
      </c>
      <c r="G125" s="89">
        <f t="shared" si="5"/>
        <v>3127.2489708065987</v>
      </c>
      <c r="H125" s="89">
        <f t="shared" si="6"/>
        <v>0</v>
      </c>
      <c r="I125" s="88">
        <f>VLOOKUP($A125,IRData!$A$3:$M$146,13,FALSE)</f>
        <v>2798</v>
      </c>
      <c r="J125" s="88">
        <f>VLOOKUP($A125,IRData!$A$3:$M$146,5,FALSE)</f>
        <v>0</v>
      </c>
      <c r="K125" s="90">
        <f t="shared" si="7"/>
        <v>29916.248970806599</v>
      </c>
      <c r="L125" s="66"/>
      <c r="M125" s="66"/>
    </row>
    <row r="126" spans="1:13" x14ac:dyDescent="0.2">
      <c r="A126" s="185">
        <v>632014</v>
      </c>
      <c r="B126" s="212" t="str">
        <f>INDEX('Inntektsramme 2016'!$B$3:$B$146,MATCH(A126,'Inntektsramme 2016'!$A$3:$A$146,0))</f>
        <v>Trollfjord Kraft AS</v>
      </c>
      <c r="C126" s="88">
        <v>23965</v>
      </c>
      <c r="D126" s="267">
        <v>0.27391999959945679</v>
      </c>
      <c r="E126" s="88">
        <f>VLOOKUP($A126,IRData!$A$3:$Q$146,17,FALSE)</f>
        <v>7855</v>
      </c>
      <c r="F126" s="88">
        <f>VLOOKUP($A126,IRData!$A$3:$W$146,23,FALSE)</f>
        <v>4563</v>
      </c>
      <c r="G126" s="89">
        <f t="shared" si="5"/>
        <v>2151.6415968537331</v>
      </c>
      <c r="H126" s="89">
        <f t="shared" si="6"/>
        <v>1249.8969581723213</v>
      </c>
      <c r="I126" s="88">
        <f>VLOOKUP($A126,IRData!$A$3:$M$146,13,FALSE)</f>
        <v>6682</v>
      </c>
      <c r="J126" s="88">
        <f>VLOOKUP($A126,IRData!$A$3:$M$146,5,FALSE)</f>
        <v>0</v>
      </c>
      <c r="K126" s="90">
        <f t="shared" si="7"/>
        <v>34048.538555026054</v>
      </c>
      <c r="L126" s="66"/>
      <c r="M126" s="66"/>
    </row>
    <row r="127" spans="1:13" x14ac:dyDescent="0.2">
      <c r="A127" s="185">
        <v>2272014</v>
      </c>
      <c r="B127" s="212" t="str">
        <f>INDEX('Inntektsramme 2016'!$B$3:$B$146,MATCH(A127,'Inntektsramme 2016'!$A$3:$A$146,0))</f>
        <v>Troms Kraft Nett AS</v>
      </c>
      <c r="C127" s="88">
        <v>186702</v>
      </c>
      <c r="D127" s="267">
        <v>0.27391999959945679</v>
      </c>
      <c r="E127" s="88">
        <f>VLOOKUP($A127,IRData!$A$3:$Q$146,17,FALSE)</f>
        <v>93597</v>
      </c>
      <c r="F127" s="88">
        <f>VLOOKUP($A127,IRData!$A$3:$W$146,23,FALSE)</f>
        <v>77952</v>
      </c>
      <c r="G127" s="89">
        <f t="shared" si="5"/>
        <v>25638.090202510357</v>
      </c>
      <c r="H127" s="89">
        <f t="shared" si="6"/>
        <v>21352.611808776855</v>
      </c>
      <c r="I127" s="88">
        <f>VLOOKUP($A127,IRData!$A$3:$M$146,13,FALSE)</f>
        <v>27172</v>
      </c>
      <c r="J127" s="88">
        <f>VLOOKUP($A127,IRData!$A$3:$M$146,5,FALSE)</f>
        <v>1248</v>
      </c>
      <c r="K127" s="90">
        <f t="shared" si="7"/>
        <v>262112.70201128721</v>
      </c>
      <c r="L127" s="66"/>
      <c r="M127" s="66"/>
    </row>
    <row r="128" spans="1:13" x14ac:dyDescent="0.2">
      <c r="A128" s="185">
        <v>2312014</v>
      </c>
      <c r="B128" s="212" t="str">
        <f>INDEX('Inntektsramme 2016'!$B$3:$B$146,MATCH(A128,'Inntektsramme 2016'!$A$3:$A$146,0))</f>
        <v>Trøgstad Elverk AS</v>
      </c>
      <c r="C128" s="88">
        <v>10025</v>
      </c>
      <c r="D128" s="267">
        <v>0.24519000947475433</v>
      </c>
      <c r="E128" s="88">
        <f>VLOOKUP($A128,IRData!$A$3:$Q$146,17,FALSE)</f>
        <v>6046</v>
      </c>
      <c r="F128" s="88">
        <f>VLOOKUP($A128,IRData!$A$3:$W$146,23,FALSE)</f>
        <v>0</v>
      </c>
      <c r="G128" s="89">
        <f t="shared" si="5"/>
        <v>1482.4187972843647</v>
      </c>
      <c r="H128" s="89">
        <f t="shared" si="6"/>
        <v>0</v>
      </c>
      <c r="I128" s="88">
        <f>VLOOKUP($A128,IRData!$A$3:$M$146,13,FALSE)</f>
        <v>297</v>
      </c>
      <c r="J128" s="88">
        <f>VLOOKUP($A128,IRData!$A$3:$M$146,5,FALSE)</f>
        <v>0</v>
      </c>
      <c r="K128" s="90">
        <f t="shared" si="7"/>
        <v>11804.418797284365</v>
      </c>
      <c r="L128" s="66"/>
      <c r="M128" s="66"/>
    </row>
    <row r="129" spans="1:13" x14ac:dyDescent="0.2">
      <c r="A129" s="185">
        <v>4842014</v>
      </c>
      <c r="B129" s="212" t="str">
        <f>INDEX('Inntektsramme 2016'!$B$3:$B$146,MATCH(A129,'Inntektsramme 2016'!$A$3:$A$146,0))</f>
        <v>TrønderEnergi Kraft AS</v>
      </c>
      <c r="C129" s="88">
        <v>936</v>
      </c>
      <c r="D129" s="267">
        <v>0.27448001503944397</v>
      </c>
      <c r="E129" s="88">
        <f>VLOOKUP($A129,IRData!$A$3:$Q$146,17,FALSE)</f>
        <v>0</v>
      </c>
      <c r="F129" s="88">
        <f>VLOOKUP($A129,IRData!$A$3:$W$146,23,FALSE)</f>
        <v>7181</v>
      </c>
      <c r="G129" s="89">
        <f t="shared" si="5"/>
        <v>0</v>
      </c>
      <c r="H129" s="89">
        <f t="shared" si="6"/>
        <v>1971.0409879982471</v>
      </c>
      <c r="I129" s="88">
        <f>VLOOKUP($A129,IRData!$A$3:$M$146,13,FALSE)</f>
        <v>0</v>
      </c>
      <c r="J129" s="88">
        <f>VLOOKUP($A129,IRData!$A$3:$M$146,5,FALSE)</f>
        <v>0</v>
      </c>
      <c r="K129" s="90">
        <f t="shared" si="7"/>
        <v>2907.0409879982471</v>
      </c>
      <c r="L129" s="66"/>
      <c r="M129" s="66"/>
    </row>
    <row r="130" spans="1:13" x14ac:dyDescent="0.2">
      <c r="A130" s="185">
        <v>2152014</v>
      </c>
      <c r="B130" s="212" t="str">
        <f>INDEX('Inntektsramme 2016'!$B$3:$B$146,MATCH(A130,'Inntektsramme 2016'!$A$3:$A$146,0))</f>
        <v>TrønderEnergi Nett AS</v>
      </c>
      <c r="C130" s="88">
        <v>233149</v>
      </c>
      <c r="D130" s="267">
        <v>0.27448001503944397</v>
      </c>
      <c r="E130" s="88">
        <f>VLOOKUP($A130,IRData!$A$3:$Q$146,17,FALSE)</f>
        <v>153540</v>
      </c>
      <c r="F130" s="88">
        <f>VLOOKUP($A130,IRData!$A$3:$W$146,23,FALSE)</f>
        <v>97862</v>
      </c>
      <c r="G130" s="89">
        <f t="shared" si="5"/>
        <v>42143.661509156227</v>
      </c>
      <c r="H130" s="89">
        <f t="shared" si="6"/>
        <v>26861.163231790066</v>
      </c>
      <c r="I130" s="88">
        <f>VLOOKUP($A130,IRData!$A$3:$M$146,13,FALSE)</f>
        <v>15236</v>
      </c>
      <c r="J130" s="88">
        <f>VLOOKUP($A130,IRData!$A$3:$M$146,5,FALSE)</f>
        <v>1760</v>
      </c>
      <c r="K130" s="90">
        <f t="shared" si="7"/>
        <v>319149.82474094629</v>
      </c>
      <c r="L130" s="66"/>
      <c r="M130" s="66"/>
    </row>
    <row r="131" spans="1:13" x14ac:dyDescent="0.2">
      <c r="A131" s="185">
        <v>2342014</v>
      </c>
      <c r="B131" s="212" t="str">
        <f>INDEX('Inntektsramme 2016'!$B$3:$B$146,MATCH(A131,'Inntektsramme 2016'!$A$3:$A$146,0))</f>
        <v>Tysnes Kraftlag SA</v>
      </c>
      <c r="C131" s="88">
        <v>20034</v>
      </c>
      <c r="D131" s="267">
        <v>0.24316000938415527</v>
      </c>
      <c r="E131" s="88">
        <f>VLOOKUP($A131,IRData!$A$3:$Q$146,17,FALSE)</f>
        <v>2137</v>
      </c>
      <c r="F131" s="88">
        <f>VLOOKUP($A131,IRData!$A$3:$W$146,23,FALSE)</f>
        <v>0</v>
      </c>
      <c r="G131" s="89">
        <f t="shared" si="5"/>
        <v>519.63294005393982</v>
      </c>
      <c r="H131" s="89">
        <f t="shared" si="6"/>
        <v>0</v>
      </c>
      <c r="I131" s="88">
        <f>VLOOKUP($A131,IRData!$A$3:$M$146,13,FALSE)</f>
        <v>678</v>
      </c>
      <c r="J131" s="88">
        <f>VLOOKUP($A131,IRData!$A$3:$M$146,5,FALSE)</f>
        <v>0</v>
      </c>
      <c r="K131" s="90">
        <f t="shared" ref="K131:K146" si="8">C131+G131+H131+I131+J131</f>
        <v>21231.63294005394</v>
      </c>
      <c r="L131" s="66"/>
      <c r="M131" s="66"/>
    </row>
    <row r="132" spans="1:13" x14ac:dyDescent="0.2">
      <c r="A132" s="185">
        <v>2872014</v>
      </c>
      <c r="B132" s="212" t="str">
        <f>INDEX('Inntektsramme 2016'!$B$3:$B$146,MATCH(A132,'Inntektsramme 2016'!$A$3:$A$146,0))</f>
        <v>Ustekveikja Kraftverk DA</v>
      </c>
      <c r="C132" s="88">
        <v>0</v>
      </c>
      <c r="D132" s="267">
        <v>0.24519000947475433</v>
      </c>
      <c r="E132" s="88">
        <f>VLOOKUP($A132,IRData!$A$3:$Q$146,17,FALSE)</f>
        <v>0</v>
      </c>
      <c r="F132" s="88">
        <f>VLOOKUP($A132,IRData!$A$3:$W$146,23,FALSE)</f>
        <v>0</v>
      </c>
      <c r="G132" s="89">
        <f t="shared" ref="G132:G146" si="9">D132*E132</f>
        <v>0</v>
      </c>
      <c r="H132" s="89">
        <f t="shared" ref="H132:H146" si="10">D132*F132</f>
        <v>0</v>
      </c>
      <c r="I132" s="88">
        <f>VLOOKUP($A132,IRData!$A$3:$M$146,13,FALSE)</f>
        <v>0</v>
      </c>
      <c r="J132" s="88">
        <f>VLOOKUP($A132,IRData!$A$3:$M$146,5,FALSE)</f>
        <v>0</v>
      </c>
      <c r="K132" s="90">
        <f t="shared" si="8"/>
        <v>0</v>
      </c>
      <c r="L132" s="66"/>
      <c r="M132" s="66"/>
    </row>
    <row r="133" spans="1:13" x14ac:dyDescent="0.2">
      <c r="A133" s="185">
        <v>2422014</v>
      </c>
      <c r="B133" s="212" t="str">
        <f>INDEX('Inntektsramme 2016'!$B$3:$B$146,MATCH(A133,'Inntektsramme 2016'!$A$3:$A$146,0))</f>
        <v>Uvdal Kraftforsyning SA</v>
      </c>
      <c r="C133" s="88">
        <v>7201</v>
      </c>
      <c r="D133" s="267">
        <v>0.24424000084400177</v>
      </c>
      <c r="E133" s="88">
        <f>VLOOKUP($A133,IRData!$A$3:$Q$146,17,FALSE)</f>
        <v>1586</v>
      </c>
      <c r="F133" s="88">
        <f>VLOOKUP($A133,IRData!$A$3:$W$146,23,FALSE)</f>
        <v>0</v>
      </c>
      <c r="G133" s="89">
        <f t="shared" si="9"/>
        <v>387.36464133858681</v>
      </c>
      <c r="H133" s="89">
        <f t="shared" si="10"/>
        <v>0</v>
      </c>
      <c r="I133" s="88">
        <f>VLOOKUP($A133,IRData!$A$3:$M$146,13,FALSE)</f>
        <v>95</v>
      </c>
      <c r="J133" s="88">
        <f>VLOOKUP($A133,IRData!$A$3:$M$146,5,FALSE)</f>
        <v>0</v>
      </c>
      <c r="K133" s="90">
        <f t="shared" si="8"/>
        <v>7683.3646413385868</v>
      </c>
      <c r="L133" s="66"/>
      <c r="M133" s="66"/>
    </row>
    <row r="134" spans="1:13" x14ac:dyDescent="0.2">
      <c r="A134" s="185">
        <v>3062014</v>
      </c>
      <c r="B134" s="212" t="str">
        <f>INDEX('Inntektsramme 2016'!$B$3:$B$146,MATCH(A134,'Inntektsramme 2016'!$A$3:$A$146,0))</f>
        <v>Valdres Energiverk AS</v>
      </c>
      <c r="C134" s="88">
        <v>24506</v>
      </c>
      <c r="D134" s="267">
        <v>0.24519000947475433</v>
      </c>
      <c r="E134" s="88">
        <f>VLOOKUP($A134,IRData!$A$3:$Q$146,17,FALSE)</f>
        <v>15030</v>
      </c>
      <c r="F134" s="88">
        <f>VLOOKUP($A134,IRData!$A$3:$W$146,23,FALSE)</f>
        <v>0</v>
      </c>
      <c r="G134" s="89">
        <f t="shared" si="9"/>
        <v>3685.2058424055576</v>
      </c>
      <c r="H134" s="89">
        <f t="shared" si="10"/>
        <v>0</v>
      </c>
      <c r="I134" s="88">
        <f>VLOOKUP($A134,IRData!$A$3:$M$146,13,FALSE)</f>
        <v>1833</v>
      </c>
      <c r="J134" s="88">
        <f>VLOOKUP($A134,IRData!$A$3:$M$146,5,FALSE)</f>
        <v>0</v>
      </c>
      <c r="K134" s="90">
        <f t="shared" si="8"/>
        <v>30024.205842405558</v>
      </c>
      <c r="L134" s="66"/>
      <c r="M134" s="66"/>
    </row>
    <row r="135" spans="1:13" x14ac:dyDescent="0.2">
      <c r="A135" s="185">
        <v>2482014</v>
      </c>
      <c r="B135" s="212" t="str">
        <f>INDEX('Inntektsramme 2016'!$B$3:$B$146,MATCH(A135,'Inntektsramme 2016'!$A$3:$A$146,0))</f>
        <v>Vang Energiverk KF</v>
      </c>
      <c r="C135" s="88">
        <v>11034</v>
      </c>
      <c r="D135" s="267">
        <v>0.24519000947475433</v>
      </c>
      <c r="E135" s="88">
        <f>VLOOKUP($A135,IRData!$A$3:$Q$146,17,FALSE)</f>
        <v>2718</v>
      </c>
      <c r="F135" s="88">
        <f>VLOOKUP($A135,IRData!$A$3:$W$146,23,FALSE)</f>
        <v>0</v>
      </c>
      <c r="G135" s="89">
        <f t="shared" si="9"/>
        <v>666.42644575238228</v>
      </c>
      <c r="H135" s="89">
        <f t="shared" si="10"/>
        <v>0</v>
      </c>
      <c r="I135" s="88">
        <f>VLOOKUP($A135,IRData!$A$3:$M$146,13,FALSE)</f>
        <v>431</v>
      </c>
      <c r="J135" s="88">
        <f>VLOOKUP($A135,IRData!$A$3:$M$146,5,FALSE)</f>
        <v>0</v>
      </c>
      <c r="K135" s="90">
        <f t="shared" si="8"/>
        <v>12131.426445752382</v>
      </c>
      <c r="L135" s="66"/>
      <c r="M135" s="66"/>
    </row>
    <row r="136" spans="1:13" x14ac:dyDescent="0.2">
      <c r="A136" s="185">
        <v>2492014</v>
      </c>
      <c r="B136" s="212" t="str">
        <f>INDEX('Inntektsramme 2016'!$B$3:$B$146,MATCH(A136,'Inntektsramme 2016'!$A$3:$A$146,0))</f>
        <v>Varanger Kraftnett AS</v>
      </c>
      <c r="C136" s="88">
        <v>77260</v>
      </c>
      <c r="D136" s="267">
        <v>0.27391999959945679</v>
      </c>
      <c r="E136" s="88">
        <f>VLOOKUP($A136,IRData!$A$3:$Q$146,17,FALSE)</f>
        <v>36541</v>
      </c>
      <c r="F136" s="88">
        <f>VLOOKUP($A136,IRData!$A$3:$W$146,23,FALSE)</f>
        <v>18933</v>
      </c>
      <c r="G136" s="89">
        <f t="shared" si="9"/>
        <v>10009.31070536375</v>
      </c>
      <c r="H136" s="89">
        <f t="shared" si="10"/>
        <v>5186.1273524165154</v>
      </c>
      <c r="I136" s="88">
        <f>VLOOKUP($A136,IRData!$A$3:$M$146,13,FALSE)</f>
        <v>7132</v>
      </c>
      <c r="J136" s="88">
        <f>VLOOKUP($A136,IRData!$A$3:$M$146,5,FALSE)</f>
        <v>242</v>
      </c>
      <c r="K136" s="90">
        <f t="shared" si="8"/>
        <v>99829.438057780266</v>
      </c>
      <c r="L136" s="66"/>
      <c r="M136" s="66"/>
    </row>
    <row r="137" spans="1:13" x14ac:dyDescent="0.2">
      <c r="A137" s="185">
        <v>4642014</v>
      </c>
      <c r="B137" s="212" t="str">
        <f>INDEX('Inntektsramme 2016'!$B$3:$B$146,MATCH(A137,'Inntektsramme 2016'!$A$3:$A$146,0))</f>
        <v>Vesterålskraft Nett AS</v>
      </c>
      <c r="C137" s="88">
        <v>45079</v>
      </c>
      <c r="D137" s="267">
        <v>0.27391999959945679</v>
      </c>
      <c r="E137" s="88">
        <f>VLOOKUP($A137,IRData!$A$3:$Q$146,17,FALSE)</f>
        <v>13550</v>
      </c>
      <c r="F137" s="88">
        <f>VLOOKUP($A137,IRData!$A$3:$W$146,23,FALSE)</f>
        <v>9001</v>
      </c>
      <c r="G137" s="89">
        <f t="shared" si="9"/>
        <v>3711.6159945726395</v>
      </c>
      <c r="H137" s="89">
        <f t="shared" si="10"/>
        <v>2465.5539163947105</v>
      </c>
      <c r="I137" s="88">
        <f>VLOOKUP($A137,IRData!$A$3:$M$146,13,FALSE)</f>
        <v>5748</v>
      </c>
      <c r="J137" s="88">
        <f>VLOOKUP($A137,IRData!$A$3:$M$146,5,FALSE)</f>
        <v>0</v>
      </c>
      <c r="K137" s="90">
        <f t="shared" si="8"/>
        <v>57004.16991096735</v>
      </c>
      <c r="L137" s="66"/>
      <c r="M137" s="66"/>
    </row>
    <row r="138" spans="1:13" x14ac:dyDescent="0.2">
      <c r="A138" s="185">
        <v>2512014</v>
      </c>
      <c r="B138" s="212" t="str">
        <f>INDEX('Inntektsramme 2016'!$B$3:$B$146,MATCH(A138,'Inntektsramme 2016'!$A$3:$A$146,0))</f>
        <v>Vest-Telemark Kraftlag AS</v>
      </c>
      <c r="C138" s="88">
        <v>53377</v>
      </c>
      <c r="D138" s="267">
        <v>0.24424000084400177</v>
      </c>
      <c r="E138" s="88">
        <f>VLOOKUP($A138,IRData!$A$3:$Q$146,17,FALSE)</f>
        <v>14055</v>
      </c>
      <c r="F138" s="88">
        <f>VLOOKUP($A138,IRData!$A$3:$W$146,23,FALSE)</f>
        <v>21068</v>
      </c>
      <c r="G138" s="89">
        <f t="shared" si="9"/>
        <v>3432.7932118624449</v>
      </c>
      <c r="H138" s="89">
        <f t="shared" si="10"/>
        <v>5145.6483377814293</v>
      </c>
      <c r="I138" s="88">
        <f>VLOOKUP($A138,IRData!$A$3:$M$146,13,FALSE)</f>
        <v>7927</v>
      </c>
      <c r="J138" s="88">
        <f>VLOOKUP($A138,IRData!$A$3:$M$146,5,FALSE)</f>
        <v>0</v>
      </c>
      <c r="K138" s="90">
        <f t="shared" si="8"/>
        <v>69882.441549643874</v>
      </c>
      <c r="L138" s="66"/>
      <c r="M138" s="66"/>
    </row>
    <row r="139" spans="1:13" ht="12.75" customHeight="1" x14ac:dyDescent="0.2">
      <c r="A139" s="185">
        <v>3072014</v>
      </c>
      <c r="B139" s="212" t="str">
        <f>INDEX('Inntektsramme 2016'!$B$3:$B$146,MATCH(A139,'Inntektsramme 2016'!$A$3:$A$146,0))</f>
        <v>Vinstra Kraftselskap DA</v>
      </c>
      <c r="C139" s="88">
        <v>366</v>
      </c>
      <c r="D139" s="267">
        <v>0.24519000947475433</v>
      </c>
      <c r="E139" s="88">
        <f>VLOOKUP($A139,IRData!$A$3:$Q$146,17,FALSE)</f>
        <v>0</v>
      </c>
      <c r="F139" s="88">
        <f>VLOOKUP($A139,IRData!$A$3:$W$146,23,FALSE)</f>
        <v>0</v>
      </c>
      <c r="G139" s="89">
        <f t="shared" si="9"/>
        <v>0</v>
      </c>
      <c r="H139" s="89">
        <f t="shared" si="10"/>
        <v>0</v>
      </c>
      <c r="I139" s="88">
        <f>VLOOKUP($A139,IRData!$A$3:$M$146,13,FALSE)</f>
        <v>0</v>
      </c>
      <c r="J139" s="88">
        <f>VLOOKUP($A139,IRData!$A$3:$M$146,5,FALSE)</f>
        <v>0</v>
      </c>
      <c r="K139" s="90">
        <f t="shared" si="8"/>
        <v>366</v>
      </c>
      <c r="L139" s="66"/>
      <c r="M139" s="66"/>
    </row>
    <row r="140" spans="1:13" ht="13.5" customHeight="1" x14ac:dyDescent="0.2">
      <c r="A140" s="185">
        <v>5422014</v>
      </c>
      <c r="B140" s="212" t="str">
        <f>INDEX('Inntektsramme 2016'!$B$3:$B$146,MATCH(A140,'Inntektsramme 2016'!$A$3:$A$146,0))</f>
        <v>VOKKS Nett AS</v>
      </c>
      <c r="C140" s="88">
        <v>32848</v>
      </c>
      <c r="D140" s="267">
        <v>0.24519000947475433</v>
      </c>
      <c r="E140" s="88">
        <f>VLOOKUP($A140,IRData!$A$3:$Q$146,17,FALSE)</f>
        <v>14753</v>
      </c>
      <c r="F140" s="88">
        <f>VLOOKUP($A140,IRData!$A$3:$W$146,23,FALSE)</f>
        <v>0</v>
      </c>
      <c r="G140" s="89">
        <f t="shared" si="9"/>
        <v>3617.2882097810507</v>
      </c>
      <c r="H140" s="89">
        <f t="shared" si="10"/>
        <v>0</v>
      </c>
      <c r="I140" s="88">
        <f>VLOOKUP($A140,IRData!$A$3:$M$146,13,FALSE)</f>
        <v>5144</v>
      </c>
      <c r="J140" s="88">
        <f>VLOOKUP($A140,IRData!$A$3:$M$146,5,FALSE)</f>
        <v>0</v>
      </c>
      <c r="K140" s="90">
        <f t="shared" si="8"/>
        <v>41609.288209781051</v>
      </c>
      <c r="L140" s="66"/>
      <c r="M140" s="66"/>
    </row>
    <row r="141" spans="1:13" x14ac:dyDescent="0.2">
      <c r="A141" s="185">
        <v>6252014</v>
      </c>
      <c r="B141" s="212" t="str">
        <f>INDEX('Inntektsramme 2016'!$B$3:$B$146,MATCH(A141,'Inntektsramme 2016'!$A$3:$A$146,0))</f>
        <v>Voss Energi AS</v>
      </c>
      <c r="C141" s="88">
        <v>36476</v>
      </c>
      <c r="D141" s="267">
        <v>0.24316000938415527</v>
      </c>
      <c r="E141" s="88">
        <f>VLOOKUP($A141,IRData!$A$3:$Q$146,17,FALSE)</f>
        <v>14711</v>
      </c>
      <c r="F141" s="88">
        <f>VLOOKUP($A141,IRData!$A$3:$W$146,23,FALSE)</f>
        <v>4799</v>
      </c>
      <c r="G141" s="89">
        <f t="shared" si="9"/>
        <v>3577.1268980503082</v>
      </c>
      <c r="H141" s="89">
        <f t="shared" si="10"/>
        <v>1166.9248850345612</v>
      </c>
      <c r="I141" s="88">
        <f>VLOOKUP($A141,IRData!$A$3:$M$146,13,FALSE)</f>
        <v>2860</v>
      </c>
      <c r="J141" s="88">
        <f>VLOOKUP($A141,IRData!$A$3:$M$146,5,FALSE)</f>
        <v>0</v>
      </c>
      <c r="K141" s="90">
        <f t="shared" si="8"/>
        <v>44080.051783084869</v>
      </c>
      <c r="L141" s="66"/>
      <c r="M141" s="66"/>
    </row>
    <row r="142" spans="1:13" x14ac:dyDescent="0.2">
      <c r="A142" s="185">
        <v>6862014</v>
      </c>
      <c r="B142" s="212" t="str">
        <f>INDEX('Inntektsramme 2016'!$B$3:$B$146,MATCH(A142,'Inntektsramme 2016'!$A$3:$A$146,0))</f>
        <v>Yara Norge AS</v>
      </c>
      <c r="C142" s="88">
        <v>14407</v>
      </c>
      <c r="D142" s="267">
        <v>0.27391999959945679</v>
      </c>
      <c r="E142" s="88">
        <f>VLOOKUP($A142,IRData!$A$3:$Q$146,17,FALSE)</f>
        <v>3365</v>
      </c>
      <c r="F142" s="88">
        <f>VLOOKUP($A142,IRData!$A$3:$W$146,23,FALSE)</f>
        <v>0</v>
      </c>
      <c r="G142" s="89">
        <f t="shared" si="9"/>
        <v>921.74079865217209</v>
      </c>
      <c r="H142" s="89">
        <f t="shared" si="10"/>
        <v>0</v>
      </c>
      <c r="I142" s="88">
        <f>VLOOKUP($A142,IRData!$A$3:$M$146,13,FALSE)</f>
        <v>0</v>
      </c>
      <c r="J142" s="88">
        <f>VLOOKUP($A142,IRData!$A$3:$M$146,5,FALSE)</f>
        <v>0</v>
      </c>
      <c r="K142" s="90">
        <f t="shared" si="8"/>
        <v>15328.740798652172</v>
      </c>
      <c r="L142" s="66"/>
      <c r="M142" s="66"/>
    </row>
    <row r="143" spans="1:13" x14ac:dyDescent="0.2">
      <c r="A143" s="185">
        <v>1332014</v>
      </c>
      <c r="B143" s="212" t="str">
        <f>INDEX('Inntektsramme 2016'!$B$3:$B$146,MATCH(A143,'Inntektsramme 2016'!$A$3:$A$146,0))</f>
        <v>Ymber AS</v>
      </c>
      <c r="C143" s="88">
        <v>42669</v>
      </c>
      <c r="D143" s="267">
        <v>0.27391999959945679</v>
      </c>
      <c r="E143" s="88">
        <f>VLOOKUP($A143,IRData!$A$3:$Q$146,17,FALSE)</f>
        <v>14141</v>
      </c>
      <c r="F143" s="88">
        <f>VLOOKUP($A143,IRData!$A$3:$W$146,23,FALSE)</f>
        <v>6977</v>
      </c>
      <c r="G143" s="89">
        <f t="shared" si="9"/>
        <v>3873.5027143359184</v>
      </c>
      <c r="H143" s="89">
        <f t="shared" si="10"/>
        <v>1911.13983720541</v>
      </c>
      <c r="I143" s="88">
        <f>VLOOKUP($A143,IRData!$A$3:$M$146,13,FALSE)</f>
        <v>4257</v>
      </c>
      <c r="J143" s="88">
        <f>VLOOKUP($A143,IRData!$A$3:$M$146,5,FALSE)</f>
        <v>0</v>
      </c>
      <c r="K143" s="90">
        <f t="shared" si="8"/>
        <v>52710.642551541328</v>
      </c>
      <c r="L143" s="66"/>
      <c r="M143" s="66"/>
    </row>
    <row r="144" spans="1:13" x14ac:dyDescent="0.2">
      <c r="A144" s="211">
        <v>2622014</v>
      </c>
      <c r="B144" s="212" t="str">
        <f>INDEX('Inntektsramme 2016'!$B$3:$B$146,MATCH(A144,'Inntektsramme 2016'!$A$3:$A$146,0))</f>
        <v>Ørskog Energi AS</v>
      </c>
      <c r="C144" s="88">
        <v>9968</v>
      </c>
      <c r="D144" s="267">
        <v>0.27448001503944397</v>
      </c>
      <c r="E144" s="88">
        <f>VLOOKUP($A144,IRData!$A$3:$Q$146,17,FALSE)</f>
        <v>6293</v>
      </c>
      <c r="F144" s="88">
        <f>VLOOKUP($A144,IRData!$A$3:$W$146,23,FALSE)</f>
        <v>0</v>
      </c>
      <c r="G144" s="89">
        <f t="shared" si="9"/>
        <v>1727.3027346432209</v>
      </c>
      <c r="H144" s="89">
        <f t="shared" si="10"/>
        <v>0</v>
      </c>
      <c r="I144" s="88">
        <f>VLOOKUP($A144,IRData!$A$3:$M$146,13,FALSE)</f>
        <v>1385</v>
      </c>
      <c r="J144" s="88">
        <f>VLOOKUP($A144,IRData!$A$3:$M$146,5,FALSE)</f>
        <v>0</v>
      </c>
      <c r="K144" s="90">
        <f t="shared" si="8"/>
        <v>13080.302734643221</v>
      </c>
      <c r="L144" s="66"/>
      <c r="M144" s="66"/>
    </row>
    <row r="145" spans="1:13" x14ac:dyDescent="0.2">
      <c r="A145" s="210">
        <v>2642014</v>
      </c>
      <c r="B145" s="212" t="str">
        <f>INDEX('Inntektsramme 2016'!$B$3:$B$146,MATCH(A145,'Inntektsramme 2016'!$A$3:$A$146,0))</f>
        <v>Øvre Eiker Nett AS</v>
      </c>
      <c r="C145" s="88">
        <v>15243</v>
      </c>
      <c r="D145" s="267">
        <v>0.24519000947475433</v>
      </c>
      <c r="E145" s="88">
        <f>VLOOKUP($A145,IRData!$A$3:$Q$146,17,FALSE)</f>
        <v>14076</v>
      </c>
      <c r="F145" s="88">
        <f>VLOOKUP($A145,IRData!$A$3:$W$146,23,FALSE)</f>
        <v>0</v>
      </c>
      <c r="G145" s="89">
        <f t="shared" si="9"/>
        <v>3451.294573366642</v>
      </c>
      <c r="H145" s="89">
        <f t="shared" si="10"/>
        <v>0</v>
      </c>
      <c r="I145" s="88">
        <f>VLOOKUP($A145,IRData!$A$3:$M$146,13,FALSE)</f>
        <v>576</v>
      </c>
      <c r="J145" s="88">
        <f>VLOOKUP($A145,IRData!$A$3:$M$146,5,FALSE)</f>
        <v>0</v>
      </c>
      <c r="K145" s="90">
        <f t="shared" si="8"/>
        <v>19270.294573366642</v>
      </c>
      <c r="L145" s="66"/>
      <c r="M145" s="66"/>
    </row>
    <row r="146" spans="1:13" ht="13.5" thickBot="1" x14ac:dyDescent="0.25">
      <c r="A146" s="185">
        <v>2672014</v>
      </c>
      <c r="B146" s="212" t="str">
        <f>INDEX('Inntektsramme 2016'!$B$3:$B$146,MATCH(A146,'Inntektsramme 2016'!$A$3:$A$146,0))</f>
        <v>Årdal Energi KF</v>
      </c>
      <c r="C146" s="88">
        <v>15880</v>
      </c>
      <c r="D146" s="267">
        <v>0.24519000947475433</v>
      </c>
      <c r="E146" s="173">
        <f>VLOOKUP($A146,IRData!$A$3:$Q$146,17,FALSE)</f>
        <v>3962</v>
      </c>
      <c r="F146" s="173">
        <f>VLOOKUP($A146,IRData!$A$3:$W$146,23,FALSE)</f>
        <v>0</v>
      </c>
      <c r="G146" s="89">
        <f t="shared" si="9"/>
        <v>971.44281753897667</v>
      </c>
      <c r="H146" s="89">
        <f t="shared" si="10"/>
        <v>0</v>
      </c>
      <c r="I146" s="173">
        <f>VLOOKUP($A146,IRData!$A$3:$M$146,13,FALSE)</f>
        <v>288</v>
      </c>
      <c r="J146" s="173">
        <f>VLOOKUP($A146,IRData!$A$3:$M$146,5,FALSE)</f>
        <v>0</v>
      </c>
      <c r="K146" s="174">
        <f t="shared" si="8"/>
        <v>17139.442817538977</v>
      </c>
      <c r="L146" s="66"/>
      <c r="M146" s="66"/>
    </row>
    <row r="147" spans="1:13" ht="13.5" thickBot="1" x14ac:dyDescent="0.25">
      <c r="A147" s="175"/>
      <c r="B147" s="175"/>
      <c r="C147" s="176"/>
      <c r="D147" s="176"/>
      <c r="E147" s="176">
        <f t="shared" ref="E147:K147" si="11">SUM(E3:E146)</f>
        <v>3522601</v>
      </c>
      <c r="F147" s="176">
        <f t="shared" si="11"/>
        <v>1979886</v>
      </c>
      <c r="G147" s="176">
        <f t="shared" si="11"/>
        <v>891224.98652754724</v>
      </c>
      <c r="H147" s="176">
        <f t="shared" si="11"/>
        <v>501216.19743101299</v>
      </c>
      <c r="I147" s="176">
        <f t="shared" si="11"/>
        <v>689081</v>
      </c>
      <c r="J147" s="216">
        <f t="shared" si="11"/>
        <v>22236</v>
      </c>
      <c r="K147" s="217">
        <f t="shared" si="11"/>
        <v>10595362.18395856</v>
      </c>
      <c r="L147" s="66"/>
      <c r="M147" s="66"/>
    </row>
    <row r="148" spans="1:13" ht="13.5" thickBot="1" x14ac:dyDescent="0.25">
      <c r="H148" s="74"/>
      <c r="I148" s="74"/>
      <c r="J148" s="74"/>
      <c r="K148" s="74"/>
      <c r="L148" s="74"/>
      <c r="M148" s="144"/>
    </row>
    <row r="149" spans="1:13" x14ac:dyDescent="0.2">
      <c r="H149" s="332" t="s">
        <v>56</v>
      </c>
      <c r="I149" s="335" t="s">
        <v>57</v>
      </c>
      <c r="J149" s="336"/>
      <c r="K149" s="337"/>
      <c r="L149" s="147">
        <f>L156-L157+L158</f>
        <v>9285287.5391160585</v>
      </c>
    </row>
    <row r="150" spans="1:13" x14ac:dyDescent="0.2">
      <c r="H150" s="333"/>
      <c r="I150" s="338" t="s">
        <v>69</v>
      </c>
      <c r="J150" s="339"/>
      <c r="K150" s="340"/>
      <c r="L150" s="77">
        <f>K147</f>
        <v>10595362.18395856</v>
      </c>
    </row>
    <row r="151" spans="1:13" x14ac:dyDescent="0.2">
      <c r="H151" s="333"/>
      <c r="I151" s="338" t="s">
        <v>70</v>
      </c>
      <c r="J151" s="339"/>
      <c r="K151" s="340"/>
      <c r="L151" s="77">
        <f>L149-L150</f>
        <v>-1310074.6448425017</v>
      </c>
    </row>
    <row r="152" spans="1:13" ht="13.5" thickBot="1" x14ac:dyDescent="0.25">
      <c r="H152" s="334"/>
      <c r="I152" s="341"/>
      <c r="J152" s="342"/>
      <c r="K152" s="343"/>
      <c r="L152" s="78"/>
      <c r="M152" s="74"/>
    </row>
    <row r="153" spans="1:13" x14ac:dyDescent="0.2">
      <c r="I153" s="74"/>
      <c r="J153" s="74"/>
      <c r="K153" s="74"/>
      <c r="L153" s="74"/>
      <c r="M153" s="74"/>
    </row>
    <row r="154" spans="1:13" x14ac:dyDescent="0.2">
      <c r="I154" s="74"/>
      <c r="J154" s="74"/>
      <c r="K154" s="74"/>
      <c r="L154" s="74"/>
      <c r="M154" s="74"/>
    </row>
    <row r="155" spans="1:13" x14ac:dyDescent="0.2">
      <c r="I155" s="74"/>
      <c r="J155" s="74"/>
      <c r="K155" s="74" t="s">
        <v>365</v>
      </c>
      <c r="L155" s="74"/>
      <c r="M155" s="74"/>
    </row>
    <row r="156" spans="1:13" x14ac:dyDescent="0.2">
      <c r="I156" s="74"/>
      <c r="J156" s="74"/>
      <c r="K156" s="248" t="s">
        <v>155</v>
      </c>
      <c r="L156" s="248">
        <v>12305771.278482523</v>
      </c>
    </row>
    <row r="157" spans="1:13" x14ac:dyDescent="0.2">
      <c r="K157" s="246" t="s">
        <v>366</v>
      </c>
      <c r="L157" s="107">
        <v>3040150</v>
      </c>
    </row>
    <row r="158" spans="1:13" x14ac:dyDescent="0.2">
      <c r="K158" s="136" t="s">
        <v>367</v>
      </c>
      <c r="L158" s="246">
        <v>19666.260633536203</v>
      </c>
    </row>
  </sheetData>
  <sortState ref="A3:K152">
    <sortCondition ref="A3"/>
  </sortState>
  <mergeCells count="7">
    <mergeCell ref="A1:B1"/>
    <mergeCell ref="H149:H152"/>
    <mergeCell ref="I149:K149"/>
    <mergeCell ref="I150:K150"/>
    <mergeCell ref="I151:K151"/>
    <mergeCell ref="I152:K152"/>
    <mergeCell ref="C1:M1"/>
  </mergeCells>
  <phoneticPr fontId="5" type="noConversion"/>
  <pageMargins left="0.78740157499999996" right="0.78740157499999996" top="0.984251969" bottom="0.984251969" header="0.5" footer="0.5"/>
  <pageSetup paperSize="10" orientation="portrait" horizontalDpi="4294967292" verticalDpi="4294967292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N149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2" sqref="B2"/>
    </sheetView>
  </sheetViews>
  <sheetFormatPr baseColWidth="10" defaultColWidth="10.85546875" defaultRowHeight="0" customHeight="1" zeroHeight="1" x14ac:dyDescent="0.2"/>
  <cols>
    <col min="1" max="1" width="8" style="66" bestFit="1" customWidth="1"/>
    <col min="2" max="2" width="40" style="66" customWidth="1"/>
    <col min="3" max="3" width="4.42578125" style="66" bestFit="1" customWidth="1"/>
    <col min="4" max="4" width="10" style="66" customWidth="1"/>
    <col min="5" max="5" width="11.7109375" style="66" customWidth="1"/>
    <col min="6" max="6" width="12.7109375" style="66" customWidth="1"/>
    <col min="7" max="7" width="7.42578125" style="66" bestFit="1" customWidth="1"/>
    <col min="8" max="9" width="9.140625" style="66" bestFit="1" customWidth="1"/>
    <col min="10" max="11" width="7.42578125" style="66" bestFit="1" customWidth="1"/>
    <col min="12" max="12" width="7.42578125" style="66" customWidth="1"/>
    <col min="13" max="13" width="7.42578125" style="66" bestFit="1" customWidth="1"/>
    <col min="14" max="14" width="13.28515625" style="66" bestFit="1" customWidth="1"/>
    <col min="15" max="15" width="9.28515625" style="66" customWidth="1"/>
    <col min="16" max="16" width="10.7109375" style="66" customWidth="1"/>
    <col min="17" max="17" width="11.28515625" style="69" bestFit="1" customWidth="1"/>
    <col min="18" max="18" width="12.5703125" style="69" customWidth="1"/>
    <col min="19" max="19" width="9.140625" style="66" customWidth="1"/>
    <col min="20" max="20" width="8.85546875" style="66" customWidth="1"/>
    <col min="21" max="21" width="9.42578125" style="66" customWidth="1"/>
    <col min="22" max="22" width="12" style="66" customWidth="1"/>
    <col min="23" max="23" width="11.42578125" style="66" customWidth="1"/>
    <col min="24" max="27" width="11.140625" style="69" customWidth="1"/>
    <col min="28" max="28" width="11" style="69" bestFit="1" customWidth="1"/>
    <col min="29" max="29" width="11.140625" style="69" customWidth="1"/>
    <col min="30" max="30" width="17.140625" style="66" customWidth="1"/>
    <col min="31" max="31" width="10.85546875" style="66"/>
    <col min="32" max="33" width="9.140625" style="66" customWidth="1"/>
    <col min="34" max="34" width="12.42578125" style="66" bestFit="1" customWidth="1"/>
    <col min="35" max="35" width="12.7109375" style="66" bestFit="1" customWidth="1"/>
    <col min="36" max="36" width="15.85546875" style="70" customWidth="1"/>
    <col min="37" max="37" width="10.140625" style="66" customWidth="1"/>
    <col min="38" max="38" width="12.42578125" style="66" bestFit="1" customWidth="1"/>
    <col min="39" max="39" width="16" style="66" customWidth="1"/>
    <col min="40" max="40" width="13.42578125" style="66" customWidth="1"/>
    <col min="41" max="16384" width="10.85546875" style="66"/>
  </cols>
  <sheetData>
    <row r="1" spans="1:40" s="60" customFormat="1" ht="46.5" customHeight="1" thickBot="1" x14ac:dyDescent="0.25">
      <c r="A1" s="57"/>
      <c r="B1" s="265" t="s">
        <v>527</v>
      </c>
      <c r="C1" s="58"/>
      <c r="D1" s="347" t="s">
        <v>244</v>
      </c>
      <c r="E1" s="350"/>
      <c r="F1" s="350"/>
      <c r="G1" s="350"/>
      <c r="H1" s="350"/>
      <c r="I1" s="350"/>
      <c r="J1" s="350"/>
      <c r="K1" s="350"/>
      <c r="L1" s="350"/>
      <c r="M1" s="350"/>
      <c r="N1" s="347" t="s">
        <v>172</v>
      </c>
      <c r="O1" s="350"/>
      <c r="P1" s="350"/>
      <c r="Q1" s="350"/>
      <c r="R1" s="350"/>
      <c r="S1" s="351"/>
      <c r="T1" s="347" t="s">
        <v>245</v>
      </c>
      <c r="U1" s="350"/>
      <c r="V1" s="350"/>
      <c r="W1" s="350"/>
      <c r="X1" s="351"/>
      <c r="Y1" s="352" t="s">
        <v>246</v>
      </c>
      <c r="Z1" s="353"/>
      <c r="AA1" s="353"/>
      <c r="AB1" s="353"/>
      <c r="AC1" s="354"/>
      <c r="AD1" s="59"/>
      <c r="AE1" s="347" t="s">
        <v>51</v>
      </c>
      <c r="AF1" s="350"/>
      <c r="AG1" s="350"/>
      <c r="AH1" s="350"/>
      <c r="AI1" s="350"/>
      <c r="AJ1" s="347" t="s">
        <v>245</v>
      </c>
      <c r="AK1" s="348"/>
      <c r="AL1" s="348"/>
      <c r="AM1" s="349"/>
      <c r="AN1" s="183" t="s">
        <v>246</v>
      </c>
    </row>
    <row r="2" spans="1:40" ht="77.25" thickBot="1" x14ac:dyDescent="0.25">
      <c r="A2" s="220" t="s">
        <v>73</v>
      </c>
      <c r="B2" s="221" t="s">
        <v>74</v>
      </c>
      <c r="C2" s="222" t="s">
        <v>195</v>
      </c>
      <c r="D2" s="177" t="s">
        <v>66</v>
      </c>
      <c r="E2" s="178" t="s">
        <v>166</v>
      </c>
      <c r="F2" s="178" t="s">
        <v>167</v>
      </c>
      <c r="G2" s="179" t="s">
        <v>72</v>
      </c>
      <c r="H2" s="179" t="s">
        <v>100</v>
      </c>
      <c r="I2" s="179" t="s">
        <v>170</v>
      </c>
      <c r="J2" s="179" t="s">
        <v>171</v>
      </c>
      <c r="K2" s="180" t="s">
        <v>248</v>
      </c>
      <c r="L2" s="181" t="s">
        <v>249</v>
      </c>
      <c r="M2" s="182" t="s">
        <v>77</v>
      </c>
      <c r="N2" s="61" t="s">
        <v>75</v>
      </c>
      <c r="O2" s="223" t="s">
        <v>72</v>
      </c>
      <c r="P2" s="62" t="s">
        <v>61</v>
      </c>
      <c r="Q2" s="62" t="s">
        <v>76</v>
      </c>
      <c r="R2" s="224" t="s">
        <v>77</v>
      </c>
      <c r="S2" s="225" t="s">
        <v>47</v>
      </c>
      <c r="T2" s="64" t="s">
        <v>75</v>
      </c>
      <c r="U2" s="65" t="s">
        <v>72</v>
      </c>
      <c r="V2" s="65" t="s">
        <v>61</v>
      </c>
      <c r="W2" s="65" t="s">
        <v>76</v>
      </c>
      <c r="X2" s="65" t="s">
        <v>77</v>
      </c>
      <c r="Y2" s="226" t="s">
        <v>75</v>
      </c>
      <c r="Z2" s="226" t="s">
        <v>72</v>
      </c>
      <c r="AA2" s="226" t="s">
        <v>61</v>
      </c>
      <c r="AB2" s="226" t="s">
        <v>76</v>
      </c>
      <c r="AC2" s="226" t="s">
        <v>77</v>
      </c>
      <c r="AD2" s="227" t="s">
        <v>311</v>
      </c>
      <c r="AE2" s="228" t="s">
        <v>283</v>
      </c>
      <c r="AF2" s="62" t="s">
        <v>138</v>
      </c>
      <c r="AG2" s="108" t="s">
        <v>1</v>
      </c>
      <c r="AH2" s="62" t="s">
        <v>155</v>
      </c>
      <c r="AI2" s="63" t="s">
        <v>44</v>
      </c>
      <c r="AJ2" s="229" t="s">
        <v>283</v>
      </c>
      <c r="AK2" s="65" t="s">
        <v>138</v>
      </c>
      <c r="AL2" s="65" t="s">
        <v>155</v>
      </c>
      <c r="AM2" s="230" t="s">
        <v>250</v>
      </c>
      <c r="AN2" s="184" t="s">
        <v>282</v>
      </c>
    </row>
    <row r="3" spans="1:40" ht="12.75" x14ac:dyDescent="0.2">
      <c r="A3" s="212">
        <v>6242014</v>
      </c>
      <c r="B3" s="212" t="s">
        <v>129</v>
      </c>
      <c r="C3" s="218">
        <v>2014</v>
      </c>
      <c r="D3" s="219">
        <f t="shared" ref="D3:D34" si="0">N3+T3+Y3</f>
        <v>427457.509765625</v>
      </c>
      <c r="E3" s="245">
        <v>1199</v>
      </c>
      <c r="F3" s="219">
        <f t="shared" ref="F3:F34" si="1">D3-E3</f>
        <v>426258.509765625</v>
      </c>
      <c r="G3" s="219">
        <f t="shared" ref="G3:G34" si="2">O3+U3+Z3</f>
        <v>217791</v>
      </c>
      <c r="H3" s="219">
        <f t="shared" ref="H3:H34" si="3">ROUND(I3/1.01,0)</f>
        <v>3712320</v>
      </c>
      <c r="I3" s="219">
        <f t="shared" ref="I3:I34" si="4">P3+V3+AA3</f>
        <v>3749443.2</v>
      </c>
      <c r="J3" s="26">
        <f t="shared" ref="J3:J34" si="5">Q3</f>
        <v>181219</v>
      </c>
      <c r="K3" s="26">
        <f t="shared" ref="K3:K34" si="6">W3</f>
        <v>178151</v>
      </c>
      <c r="L3" s="26">
        <f t="shared" ref="L3:L34" si="7">AB3</f>
        <v>0</v>
      </c>
      <c r="M3" s="219">
        <f t="shared" ref="M3:M34" si="8">R3+X3+AC3</f>
        <v>49609</v>
      </c>
      <c r="N3" s="245">
        <v>353539.10546875</v>
      </c>
      <c r="O3" s="245">
        <v>147205</v>
      </c>
      <c r="P3" s="245">
        <v>2519357.13</v>
      </c>
      <c r="Q3" s="245">
        <v>181219</v>
      </c>
      <c r="R3" s="245">
        <v>45792</v>
      </c>
      <c r="S3" s="245">
        <v>1433.6800537109375</v>
      </c>
      <c r="T3" s="245">
        <v>73810.404296875</v>
      </c>
      <c r="U3" s="245">
        <v>70037</v>
      </c>
      <c r="V3" s="245">
        <v>1222582.78</v>
      </c>
      <c r="W3" s="245">
        <v>178151</v>
      </c>
      <c r="X3" s="245">
        <v>3662</v>
      </c>
      <c r="Y3" s="245">
        <v>108</v>
      </c>
      <c r="Z3" s="245">
        <v>549</v>
      </c>
      <c r="AA3" s="245">
        <v>7503.29</v>
      </c>
      <c r="AB3" s="245"/>
      <c r="AC3" s="245">
        <v>155</v>
      </c>
      <c r="AD3" s="250">
        <v>247.85000085830688</v>
      </c>
      <c r="AE3" s="26">
        <f>N3*Forutsetninger!$C$23</f>
        <v>371933.2641781026</v>
      </c>
      <c r="AF3" s="26">
        <f t="shared" ref="AF3:AF34" si="9">(Q3*AD3)/1000</f>
        <v>44915.129305541515</v>
      </c>
      <c r="AG3" s="26">
        <f>S3*Forutsetninger!$C$17</f>
        <v>1516.4125038520363</v>
      </c>
      <c r="AH3" s="26">
        <f>AE3+O3+AF3+R3*Forutsetninger!$C$17-AG3</f>
        <v>610971.47038811934</v>
      </c>
      <c r="AI3" s="26">
        <f>AH3+P3*Forutsetninger!$B$5</f>
        <v>770194.84100411937</v>
      </c>
      <c r="AJ3" s="26">
        <f>T3*Forutsetninger!$C$23</f>
        <v>77650.659222106202</v>
      </c>
      <c r="AK3" s="26">
        <f t="shared" ref="AK3:AK34" si="10">(W3*AD3)/1000</f>
        <v>44154.72550290823</v>
      </c>
      <c r="AL3" s="26">
        <f>AJ3+U3+AK3+X3*Forutsetninger!$C$17</f>
        <v>195715.70539703782</v>
      </c>
      <c r="AM3" s="26">
        <f>(T3-E3)*Forutsetninger!$C$23+X3*Forutsetninger!$C$17+U3+V3*Forutsetninger!$B$5</f>
        <v>227566.82925122743</v>
      </c>
      <c r="AN3" s="26">
        <f>(Y3*Forutsetninger!$C$23)+Z3+(AC3*Forutsetninger!$C$17)+(AA3*Forutsetninger!$B$5)</f>
        <v>1300.771506104325</v>
      </c>
    </row>
    <row r="4" spans="1:40" ht="12.75" x14ac:dyDescent="0.2">
      <c r="A4" s="185">
        <v>7532014</v>
      </c>
      <c r="B4" s="212" t="s">
        <v>97</v>
      </c>
      <c r="C4" s="67">
        <v>2014</v>
      </c>
      <c r="D4" s="49">
        <f t="shared" si="0"/>
        <v>28381.000129699707</v>
      </c>
      <c r="E4" s="245">
        <v>0</v>
      </c>
      <c r="F4" s="49">
        <f t="shared" si="1"/>
        <v>28381.000129699707</v>
      </c>
      <c r="G4" s="49">
        <f t="shared" si="2"/>
        <v>4014</v>
      </c>
      <c r="H4" s="49">
        <f t="shared" si="3"/>
        <v>56437</v>
      </c>
      <c r="I4" s="49">
        <f t="shared" si="4"/>
        <v>57001.37</v>
      </c>
      <c r="J4" s="47">
        <f t="shared" si="5"/>
        <v>0</v>
      </c>
      <c r="K4" s="47">
        <f t="shared" si="6"/>
        <v>13301</v>
      </c>
      <c r="L4" s="47">
        <f t="shared" si="7"/>
        <v>0</v>
      </c>
      <c r="M4" s="49">
        <f t="shared" si="8"/>
        <v>0</v>
      </c>
      <c r="N4" s="245">
        <v>0</v>
      </c>
      <c r="O4" s="245">
        <v>0</v>
      </c>
      <c r="P4" s="245">
        <v>0</v>
      </c>
      <c r="Q4" s="245">
        <v>0</v>
      </c>
      <c r="R4" s="245">
        <v>0</v>
      </c>
      <c r="S4" s="245">
        <v>0</v>
      </c>
      <c r="T4" s="245">
        <v>28381.000129699707</v>
      </c>
      <c r="U4" s="245">
        <v>4014</v>
      </c>
      <c r="V4" s="245">
        <v>57001.37</v>
      </c>
      <c r="W4" s="245">
        <v>13301</v>
      </c>
      <c r="X4" s="245">
        <v>0</v>
      </c>
      <c r="Y4" s="245">
        <v>0</v>
      </c>
      <c r="Z4" s="245">
        <v>0</v>
      </c>
      <c r="AA4" s="245">
        <v>0</v>
      </c>
      <c r="AB4" s="245"/>
      <c r="AC4" s="245">
        <v>0</v>
      </c>
      <c r="AD4" s="250">
        <v>247.85000085830688</v>
      </c>
      <c r="AE4" s="47">
        <f>N4*Forutsetninger!$C$23</f>
        <v>0</v>
      </c>
      <c r="AF4" s="47">
        <f t="shared" si="9"/>
        <v>0</v>
      </c>
      <c r="AG4" s="47">
        <f>S4*Forutsetninger!$C$17</f>
        <v>0</v>
      </c>
      <c r="AH4" s="47">
        <f>AE4+O4+AF4+R4*Forutsetninger!$C$17-AG4</f>
        <v>0</v>
      </c>
      <c r="AI4" s="47">
        <f>AH4+P4*Forutsetninger!$B$5</f>
        <v>0</v>
      </c>
      <c r="AJ4" s="47">
        <f>T4*Forutsetninger!$C$23</f>
        <v>29857.624957450193</v>
      </c>
      <c r="AK4" s="47">
        <f t="shared" si="10"/>
        <v>3296.6528614163399</v>
      </c>
      <c r="AL4" s="47">
        <f>AJ4+U4+AK4+X4*Forutsetninger!$C$17</f>
        <v>37168.277818866532</v>
      </c>
      <c r="AM4" s="26">
        <f>(T4-E4)*Forutsetninger!$C$23+X4*Forutsetninger!$C$17+U4+V4*Forutsetninger!$B$5</f>
        <v>37474.111541450191</v>
      </c>
      <c r="AN4" s="26">
        <f>(Y4*Forutsetninger!$C$23)+Z4+(AC4*Forutsetninger!$C$17)+(AA4*Forutsetninger!$B$5)</f>
        <v>0</v>
      </c>
    </row>
    <row r="5" spans="1:40" ht="12.75" x14ac:dyDescent="0.2">
      <c r="A5" s="185">
        <v>72014</v>
      </c>
      <c r="B5" s="212" t="s">
        <v>35</v>
      </c>
      <c r="C5" s="67">
        <v>2014</v>
      </c>
      <c r="D5" s="49">
        <f t="shared" si="0"/>
        <v>42738.563564300537</v>
      </c>
      <c r="E5" s="245">
        <v>0</v>
      </c>
      <c r="F5" s="49">
        <f t="shared" si="1"/>
        <v>42738.563564300537</v>
      </c>
      <c r="G5" s="49">
        <f t="shared" si="2"/>
        <v>15051</v>
      </c>
      <c r="H5" s="49">
        <f t="shared" si="3"/>
        <v>214969</v>
      </c>
      <c r="I5" s="49">
        <f t="shared" si="4"/>
        <v>217118.69</v>
      </c>
      <c r="J5" s="47">
        <f t="shared" si="5"/>
        <v>21156</v>
      </c>
      <c r="K5" s="47">
        <f t="shared" si="6"/>
        <v>7240</v>
      </c>
      <c r="L5" s="47">
        <f t="shared" si="7"/>
        <v>0</v>
      </c>
      <c r="M5" s="49">
        <f t="shared" si="8"/>
        <v>1288</v>
      </c>
      <c r="N5" s="245">
        <v>39865.292919158936</v>
      </c>
      <c r="O5" s="245">
        <v>13429</v>
      </c>
      <c r="P5" s="245">
        <v>202546.41</v>
      </c>
      <c r="Q5" s="245">
        <v>21156</v>
      </c>
      <c r="R5" s="245">
        <v>1288</v>
      </c>
      <c r="S5" s="245">
        <v>0</v>
      </c>
      <c r="T5" s="245">
        <v>2873.2706451416016</v>
      </c>
      <c r="U5" s="245">
        <v>1622</v>
      </c>
      <c r="V5" s="245">
        <v>14572.28</v>
      </c>
      <c r="W5" s="245">
        <v>7240</v>
      </c>
      <c r="X5" s="245">
        <v>0</v>
      </c>
      <c r="Y5" s="245">
        <v>0</v>
      </c>
      <c r="Z5" s="245">
        <v>0</v>
      </c>
      <c r="AA5" s="245">
        <v>0</v>
      </c>
      <c r="AB5" s="245"/>
      <c r="AC5" s="245">
        <v>0</v>
      </c>
      <c r="AD5" s="250">
        <v>244.45000290870667</v>
      </c>
      <c r="AE5" s="47">
        <f>N5*Forutsetninger!$C$23</f>
        <v>41939.429877721384</v>
      </c>
      <c r="AF5" s="47">
        <f t="shared" si="9"/>
        <v>5171.5842615365982</v>
      </c>
      <c r="AG5" s="47">
        <f>S5*Forutsetninger!$C$17</f>
        <v>0</v>
      </c>
      <c r="AH5" s="47">
        <f>AE5+O5+AF5+R5*Forutsetninger!$C$17-AG5</f>
        <v>61902.339924502689</v>
      </c>
      <c r="AI5" s="47">
        <f>AH5+P5*Forutsetninger!$B$5</f>
        <v>74703.273036502695</v>
      </c>
      <c r="AJ5" s="47">
        <f>T5*Forutsetninger!$C$23</f>
        <v>3022.7630080630502</v>
      </c>
      <c r="AK5" s="47">
        <f t="shared" si="10"/>
        <v>1769.8180210590363</v>
      </c>
      <c r="AL5" s="47">
        <f>AJ5+U5+AK5+X5*Forutsetninger!$C$17</f>
        <v>6414.581029122086</v>
      </c>
      <c r="AM5" s="26">
        <f>(T5-E5)*Forutsetninger!$C$23+X5*Forutsetninger!$C$17+U5+V5*Forutsetninger!$B$5</f>
        <v>5565.7311040630502</v>
      </c>
      <c r="AN5" s="26">
        <f>(Y5*Forutsetninger!$C$23)+Z5+(AC5*Forutsetninger!$C$17)+(AA5*Forutsetninger!$B$5)</f>
        <v>0</v>
      </c>
    </row>
    <row r="6" spans="1:40" ht="12.75" x14ac:dyDescent="0.2">
      <c r="A6" s="185">
        <v>92014</v>
      </c>
      <c r="B6" s="212" t="s">
        <v>201</v>
      </c>
      <c r="C6" s="67">
        <v>2014</v>
      </c>
      <c r="D6" s="49">
        <f t="shared" si="0"/>
        <v>16014.618011474609</v>
      </c>
      <c r="E6" s="245">
        <v>0</v>
      </c>
      <c r="F6" s="49">
        <f t="shared" si="1"/>
        <v>16014.618011474609</v>
      </c>
      <c r="G6" s="49">
        <f t="shared" si="2"/>
        <v>7442</v>
      </c>
      <c r="H6" s="49">
        <f t="shared" si="3"/>
        <v>121134</v>
      </c>
      <c r="I6" s="49">
        <f t="shared" si="4"/>
        <v>122345.34</v>
      </c>
      <c r="J6" s="47">
        <f t="shared" si="5"/>
        <v>4538</v>
      </c>
      <c r="K6" s="47">
        <f t="shared" si="6"/>
        <v>3026</v>
      </c>
      <c r="L6" s="47">
        <f t="shared" si="7"/>
        <v>0</v>
      </c>
      <c r="M6" s="49">
        <f t="shared" si="8"/>
        <v>1000</v>
      </c>
      <c r="N6" s="245">
        <v>12319.732666015625</v>
      </c>
      <c r="O6" s="245">
        <v>4425</v>
      </c>
      <c r="P6" s="245">
        <v>61317.1</v>
      </c>
      <c r="Q6" s="245">
        <v>4538</v>
      </c>
      <c r="R6" s="245">
        <v>720</v>
      </c>
      <c r="S6" s="245">
        <v>0</v>
      </c>
      <c r="T6" s="245">
        <v>3694.8853454589844</v>
      </c>
      <c r="U6" s="245">
        <v>3017</v>
      </c>
      <c r="V6" s="245">
        <v>61028.24</v>
      </c>
      <c r="W6" s="245">
        <v>3026</v>
      </c>
      <c r="X6" s="245">
        <v>280</v>
      </c>
      <c r="Y6" s="245">
        <v>0</v>
      </c>
      <c r="Z6" s="245">
        <v>0</v>
      </c>
      <c r="AA6" s="245">
        <v>0</v>
      </c>
      <c r="AB6" s="245"/>
      <c r="AC6" s="245">
        <v>0</v>
      </c>
      <c r="AD6" s="250">
        <v>244.45000290870667</v>
      </c>
      <c r="AE6" s="47">
        <f>N6*Forutsetninger!$C$23</f>
        <v>12960.71159708756</v>
      </c>
      <c r="AF6" s="47">
        <f t="shared" si="9"/>
        <v>1109.3141131997108</v>
      </c>
      <c r="AG6" s="47">
        <f>S6*Forutsetninger!$C$17</f>
        <v>0</v>
      </c>
      <c r="AH6" s="47">
        <f>AE6+O6+AF6+R6*Forutsetninger!$C$17-AG6</f>
        <v>19256.574285889899</v>
      </c>
      <c r="AI6" s="47">
        <f>AH6+P6*Forutsetninger!$B$5</f>
        <v>23131.815005889901</v>
      </c>
      <c r="AJ6" s="47">
        <f>T6*Forutsetninger!$C$23</f>
        <v>3887.1252035282109</v>
      </c>
      <c r="AK6" s="47">
        <f t="shared" si="10"/>
        <v>739.70570880174637</v>
      </c>
      <c r="AL6" s="47">
        <f>AJ6+U6+AK6+X6*Forutsetninger!$C$17</f>
        <v>7939.9886917309796</v>
      </c>
      <c r="AM6" s="26">
        <f>(T6-E6)*Forutsetninger!$C$23+X6*Forutsetninger!$C$17+U6+V6*Forutsetninger!$B$5</f>
        <v>11057.267750929233</v>
      </c>
      <c r="AN6" s="26">
        <f>(Y6*Forutsetninger!$C$23)+Z6+(AC6*Forutsetninger!$C$17)+(AA6*Forutsetninger!$B$5)</f>
        <v>0</v>
      </c>
    </row>
    <row r="7" spans="1:40" ht="12.75" x14ac:dyDescent="0.2">
      <c r="A7" s="185">
        <v>102014</v>
      </c>
      <c r="B7" s="212" t="s">
        <v>202</v>
      </c>
      <c r="C7" s="67">
        <v>2014</v>
      </c>
      <c r="D7" s="49">
        <f t="shared" si="0"/>
        <v>458.37800788879395</v>
      </c>
      <c r="E7" s="245">
        <v>0</v>
      </c>
      <c r="F7" s="49">
        <f t="shared" si="1"/>
        <v>458.37800788879395</v>
      </c>
      <c r="G7" s="49">
        <f t="shared" si="2"/>
        <v>656</v>
      </c>
      <c r="H7" s="49">
        <f t="shared" si="3"/>
        <v>3974</v>
      </c>
      <c r="I7" s="49">
        <f t="shared" si="4"/>
        <v>4013.7400000000002</v>
      </c>
      <c r="J7" s="47">
        <f t="shared" si="5"/>
        <v>538</v>
      </c>
      <c r="K7" s="47">
        <f t="shared" si="6"/>
        <v>4848</v>
      </c>
      <c r="L7" s="47">
        <f t="shared" si="7"/>
        <v>0</v>
      </c>
      <c r="M7" s="49">
        <f t="shared" si="8"/>
        <v>0</v>
      </c>
      <c r="N7" s="245">
        <v>60.580423355102539</v>
      </c>
      <c r="O7" s="245">
        <v>63</v>
      </c>
      <c r="P7" s="245">
        <v>32.32</v>
      </c>
      <c r="Q7" s="245">
        <v>538</v>
      </c>
      <c r="R7" s="245">
        <v>0</v>
      </c>
      <c r="S7" s="245">
        <v>0</v>
      </c>
      <c r="T7" s="245">
        <v>397.79758453369141</v>
      </c>
      <c r="U7" s="245">
        <v>593</v>
      </c>
      <c r="V7" s="245">
        <v>3981.42</v>
      </c>
      <c r="W7" s="245">
        <v>4848</v>
      </c>
      <c r="X7" s="245">
        <v>0</v>
      </c>
      <c r="Y7" s="245">
        <v>0</v>
      </c>
      <c r="Z7" s="245">
        <v>0</v>
      </c>
      <c r="AA7" s="245">
        <v>0</v>
      </c>
      <c r="AB7" s="245"/>
      <c r="AC7" s="245">
        <v>0</v>
      </c>
      <c r="AD7" s="250">
        <v>247.85000085830688</v>
      </c>
      <c r="AE7" s="47">
        <f>N7*Forutsetninger!$C$23</f>
        <v>63.732340369759427</v>
      </c>
      <c r="AF7" s="47">
        <f t="shared" si="9"/>
        <v>133.3433004617691</v>
      </c>
      <c r="AG7" s="47">
        <f>S7*Forutsetninger!$C$17</f>
        <v>0</v>
      </c>
      <c r="AH7" s="47">
        <f>AE7+O7+AF7+R7*Forutsetninger!$C$17-AG7</f>
        <v>260.07564083152852</v>
      </c>
      <c r="AI7" s="47">
        <f>AH7+P7*Forutsetninger!$B$5</f>
        <v>262.11826483152851</v>
      </c>
      <c r="AJ7" s="47">
        <f>T7*Forutsetninger!$C$23</f>
        <v>418.4944517003608</v>
      </c>
      <c r="AK7" s="47">
        <f t="shared" si="10"/>
        <v>1201.5768041610718</v>
      </c>
      <c r="AL7" s="47">
        <f>AJ7+U7+AK7+X7*Forutsetninger!$C$17</f>
        <v>2213.0712558614323</v>
      </c>
      <c r="AM7" s="26">
        <f>(T7-E7)*Forutsetninger!$C$23+X7*Forutsetninger!$C$17+U7+V7*Forutsetninger!$B$5</f>
        <v>1263.1201957003607</v>
      </c>
      <c r="AN7" s="26">
        <f>(Y7*Forutsetninger!$C$23)+Z7+(AC7*Forutsetninger!$C$17)+(AA7*Forutsetninger!$B$5)</f>
        <v>0</v>
      </c>
    </row>
    <row r="8" spans="1:40" ht="12.75" x14ac:dyDescent="0.2">
      <c r="A8" s="185">
        <v>372014</v>
      </c>
      <c r="B8" s="212" t="s">
        <v>79</v>
      </c>
      <c r="C8" s="67">
        <v>2014</v>
      </c>
      <c r="D8" s="49">
        <f t="shared" si="0"/>
        <v>38769.241241455078</v>
      </c>
      <c r="E8" s="245">
        <v>0</v>
      </c>
      <c r="F8" s="49">
        <f t="shared" si="1"/>
        <v>38769.241241455078</v>
      </c>
      <c r="G8" s="49">
        <f t="shared" si="2"/>
        <v>17079</v>
      </c>
      <c r="H8" s="49">
        <f t="shared" si="3"/>
        <v>205997</v>
      </c>
      <c r="I8" s="49">
        <f t="shared" si="4"/>
        <v>208056.97</v>
      </c>
      <c r="J8" s="47">
        <f t="shared" si="5"/>
        <v>16951</v>
      </c>
      <c r="K8" s="47">
        <f t="shared" si="6"/>
        <v>8877</v>
      </c>
      <c r="L8" s="47">
        <f t="shared" si="7"/>
        <v>0</v>
      </c>
      <c r="M8" s="49">
        <f t="shared" si="8"/>
        <v>3294</v>
      </c>
      <c r="N8" s="245">
        <v>35588.84130859375</v>
      </c>
      <c r="O8" s="245">
        <v>14354</v>
      </c>
      <c r="P8" s="245">
        <v>175848.07</v>
      </c>
      <c r="Q8" s="245">
        <v>16951</v>
      </c>
      <c r="R8" s="245">
        <v>3067</v>
      </c>
      <c r="S8" s="245">
        <v>0</v>
      </c>
      <c r="T8" s="245">
        <v>3180.3999328613281</v>
      </c>
      <c r="U8" s="245">
        <v>2725</v>
      </c>
      <c r="V8" s="245">
        <v>32208.9</v>
      </c>
      <c r="W8" s="245">
        <v>8877</v>
      </c>
      <c r="X8" s="245">
        <v>227</v>
      </c>
      <c r="Y8" s="245">
        <v>0</v>
      </c>
      <c r="Z8" s="245">
        <v>0</v>
      </c>
      <c r="AA8" s="245">
        <v>0</v>
      </c>
      <c r="AB8" s="245"/>
      <c r="AC8" s="245">
        <v>0</v>
      </c>
      <c r="AD8" s="250">
        <v>259.70000028610229</v>
      </c>
      <c r="AE8" s="47">
        <f>N8*Forutsetninger!$C$23</f>
        <v>37440.480307465688</v>
      </c>
      <c r="AF8" s="47">
        <f t="shared" si="9"/>
        <v>4402.17470484972</v>
      </c>
      <c r="AG8" s="47">
        <f>S8*Forutsetninger!$C$17</f>
        <v>0</v>
      </c>
      <c r="AH8" s="47">
        <f>AE8+O8+AF8+R8*Forutsetninger!$C$17-AG8</f>
        <v>59440.640403111611</v>
      </c>
      <c r="AI8" s="47">
        <f>AH8+P8*Forutsetninger!$B$5</f>
        <v>70554.238427111617</v>
      </c>
      <c r="AJ8" s="47">
        <f>T8*Forutsetninger!$C$23</f>
        <v>3345.8718148097219</v>
      </c>
      <c r="AK8" s="47">
        <f t="shared" si="10"/>
        <v>2305.3569025397301</v>
      </c>
      <c r="AL8" s="47">
        <f>AJ8+U8+AK8+X8*Forutsetninger!$C$17</f>
        <v>8616.3280599352802</v>
      </c>
      <c r="AM8" s="26">
        <f>(T8-E8)*Forutsetninger!$C$23+X8*Forutsetninger!$C$17+U8+V8*Forutsetninger!$B$5</f>
        <v>8346.5736373955515</v>
      </c>
      <c r="AN8" s="26">
        <f>(Y8*Forutsetninger!$C$23)+Z8+(AC8*Forutsetninger!$C$17)+(AA8*Forutsetninger!$B$5)</f>
        <v>0</v>
      </c>
    </row>
    <row r="9" spans="1:40" ht="12.75" x14ac:dyDescent="0.2">
      <c r="A9" s="185">
        <v>142014</v>
      </c>
      <c r="B9" s="212" t="s">
        <v>203</v>
      </c>
      <c r="C9" s="67">
        <v>2014</v>
      </c>
      <c r="D9" s="49">
        <f t="shared" si="0"/>
        <v>20616.770660400391</v>
      </c>
      <c r="E9" s="245">
        <v>0</v>
      </c>
      <c r="F9" s="49">
        <f t="shared" si="1"/>
        <v>20616.770660400391</v>
      </c>
      <c r="G9" s="49">
        <f t="shared" si="2"/>
        <v>11133</v>
      </c>
      <c r="H9" s="49">
        <f t="shared" si="3"/>
        <v>156407</v>
      </c>
      <c r="I9" s="49">
        <f t="shared" si="4"/>
        <v>157971.07</v>
      </c>
      <c r="J9" s="47">
        <f t="shared" si="5"/>
        <v>12523</v>
      </c>
      <c r="K9" s="47">
        <f t="shared" si="6"/>
        <v>2938</v>
      </c>
      <c r="L9" s="47">
        <f t="shared" si="7"/>
        <v>0</v>
      </c>
      <c r="M9" s="49">
        <f t="shared" si="8"/>
        <v>1305</v>
      </c>
      <c r="N9" s="245">
        <v>13690.156066894531</v>
      </c>
      <c r="O9" s="245">
        <v>9280</v>
      </c>
      <c r="P9" s="245">
        <v>122528.15</v>
      </c>
      <c r="Q9" s="245">
        <v>12523</v>
      </c>
      <c r="R9" s="245">
        <v>1305</v>
      </c>
      <c r="S9" s="245">
        <v>0</v>
      </c>
      <c r="T9" s="245">
        <v>6926.6145935058594</v>
      </c>
      <c r="U9" s="245">
        <v>1853</v>
      </c>
      <c r="V9" s="245">
        <v>35442.92</v>
      </c>
      <c r="W9" s="245">
        <v>2938</v>
      </c>
      <c r="X9" s="245">
        <v>0</v>
      </c>
      <c r="Y9" s="245">
        <v>0</v>
      </c>
      <c r="Z9" s="245">
        <v>0</v>
      </c>
      <c r="AA9" s="245">
        <v>0</v>
      </c>
      <c r="AB9" s="245"/>
      <c r="AC9" s="245">
        <v>0</v>
      </c>
      <c r="AD9" s="250">
        <v>246.69000506401062</v>
      </c>
      <c r="AE9" s="47">
        <f>N9*Forutsetninger!$C$23</f>
        <v>14402.436263215059</v>
      </c>
      <c r="AF9" s="47">
        <f t="shared" si="9"/>
        <v>3089.298933416605</v>
      </c>
      <c r="AG9" s="47">
        <f>S9*Forutsetninger!$C$17</f>
        <v>0</v>
      </c>
      <c r="AH9" s="47">
        <f>AE9+O9+AF9+R9*Forutsetninger!$C$17-AG9</f>
        <v>28152.041989911431</v>
      </c>
      <c r="AI9" s="47">
        <f>AH9+P9*Forutsetninger!$B$5</f>
        <v>35895.821069911428</v>
      </c>
      <c r="AJ9" s="47">
        <f>T9*Forutsetninger!$C$23</f>
        <v>7286.9969279651141</v>
      </c>
      <c r="AK9" s="47">
        <f t="shared" si="10"/>
        <v>724.7752348780632</v>
      </c>
      <c r="AL9" s="47">
        <f>AJ9+U9+AK9+X9*Forutsetninger!$C$17</f>
        <v>9864.7721628431773</v>
      </c>
      <c r="AM9" s="26">
        <f>(T9-E9)*Forutsetninger!$C$23+X9*Forutsetninger!$C$17+U9+V9*Forutsetninger!$B$5</f>
        <v>11379.989471965115</v>
      </c>
      <c r="AN9" s="26">
        <f>(Y9*Forutsetninger!$C$23)+Z9+(AC9*Forutsetninger!$C$17)+(AA9*Forutsetninger!$B$5)</f>
        <v>0</v>
      </c>
    </row>
    <row r="10" spans="1:40" ht="12" customHeight="1" x14ac:dyDescent="0.2">
      <c r="A10" s="185">
        <v>4182014</v>
      </c>
      <c r="B10" s="212" t="s">
        <v>118</v>
      </c>
      <c r="C10" s="67">
        <v>2014</v>
      </c>
      <c r="D10" s="49">
        <f t="shared" si="0"/>
        <v>11092.038208007813</v>
      </c>
      <c r="E10" s="245">
        <v>0</v>
      </c>
      <c r="F10" s="49">
        <f t="shared" si="1"/>
        <v>11092.038208007813</v>
      </c>
      <c r="G10" s="49">
        <f t="shared" si="2"/>
        <v>3474</v>
      </c>
      <c r="H10" s="49">
        <f t="shared" si="3"/>
        <v>41167</v>
      </c>
      <c r="I10" s="49">
        <f t="shared" si="4"/>
        <v>41578.67</v>
      </c>
      <c r="J10" s="47">
        <f t="shared" si="5"/>
        <v>2339</v>
      </c>
      <c r="K10" s="47">
        <f t="shared" si="6"/>
        <v>0</v>
      </c>
      <c r="L10" s="47">
        <f t="shared" si="7"/>
        <v>0</v>
      </c>
      <c r="M10" s="49">
        <f t="shared" si="8"/>
        <v>1565</v>
      </c>
      <c r="N10" s="245">
        <v>11092.038208007813</v>
      </c>
      <c r="O10" s="245">
        <v>3474</v>
      </c>
      <c r="P10" s="245">
        <v>41578.67</v>
      </c>
      <c r="Q10" s="245">
        <v>2339</v>
      </c>
      <c r="R10" s="245">
        <v>1565</v>
      </c>
      <c r="S10" s="245">
        <v>164.52000427246094</v>
      </c>
      <c r="T10" s="245">
        <v>0</v>
      </c>
      <c r="U10" s="245">
        <v>0</v>
      </c>
      <c r="V10" s="245">
        <v>0</v>
      </c>
      <c r="W10" s="245">
        <v>0</v>
      </c>
      <c r="X10" s="245">
        <v>0</v>
      </c>
      <c r="Y10" s="245">
        <v>0</v>
      </c>
      <c r="Z10" s="245">
        <v>0</v>
      </c>
      <c r="AA10" s="245">
        <v>0</v>
      </c>
      <c r="AB10" s="245"/>
      <c r="AC10" s="245">
        <v>0</v>
      </c>
      <c r="AD10" s="250">
        <v>246.69000506401062</v>
      </c>
      <c r="AE10" s="47">
        <f>N10*Forutsetninger!$C$23</f>
        <v>11669.141866562873</v>
      </c>
      <c r="AF10" s="47">
        <f t="shared" si="9"/>
        <v>577.00792184472084</v>
      </c>
      <c r="AG10" s="47">
        <f>S10*Forutsetninger!$C$17</f>
        <v>174.01385404420995</v>
      </c>
      <c r="AH10" s="47">
        <f>AE10+O10+AF10+R10*Forutsetninger!$C$17-AG10</f>
        <v>17201.4463799441</v>
      </c>
      <c r="AI10" s="47">
        <f>AH10+P10*Forutsetninger!$B$5</f>
        <v>19829.2183239441</v>
      </c>
      <c r="AJ10" s="47">
        <f>T10*Forutsetninger!$C$23</f>
        <v>0</v>
      </c>
      <c r="AK10" s="47">
        <f t="shared" si="10"/>
        <v>0</v>
      </c>
      <c r="AL10" s="47">
        <f>AJ10+U10+AK10+X10*Forutsetninger!$C$17</f>
        <v>0</v>
      </c>
      <c r="AM10" s="26">
        <f>(T10-E10)*Forutsetninger!$C$23+X10*Forutsetninger!$C$17+U10+V10*Forutsetninger!$B$5</f>
        <v>0</v>
      </c>
      <c r="AN10" s="26">
        <f>(Y10*Forutsetninger!$C$23)+Z10+(AC10*Forutsetninger!$C$17)+(AA10*Forutsetninger!$B$5)</f>
        <v>0</v>
      </c>
    </row>
    <row r="11" spans="1:40" ht="12.75" x14ac:dyDescent="0.2">
      <c r="A11" s="185">
        <v>162014</v>
      </c>
      <c r="B11" s="212" t="s">
        <v>368</v>
      </c>
      <c r="C11" s="67">
        <v>2014</v>
      </c>
      <c r="D11" s="49">
        <f t="shared" si="0"/>
        <v>17933.135375976563</v>
      </c>
      <c r="E11" s="245">
        <v>0</v>
      </c>
      <c r="F11" s="49">
        <f t="shared" si="1"/>
        <v>17933.135375976563</v>
      </c>
      <c r="G11" s="49">
        <f t="shared" si="2"/>
        <v>4229</v>
      </c>
      <c r="H11" s="47">
        <f t="shared" si="3"/>
        <v>56898</v>
      </c>
      <c r="I11" s="49">
        <f t="shared" si="4"/>
        <v>57466.98</v>
      </c>
      <c r="J11" s="47">
        <f t="shared" si="5"/>
        <v>7116</v>
      </c>
      <c r="K11" s="47">
        <f t="shared" si="6"/>
        <v>0</v>
      </c>
      <c r="L11" s="47">
        <f t="shared" si="7"/>
        <v>0</v>
      </c>
      <c r="M11" s="49">
        <f t="shared" si="8"/>
        <v>1012</v>
      </c>
      <c r="N11" s="245">
        <v>17933.135375976563</v>
      </c>
      <c r="O11" s="245">
        <v>4229</v>
      </c>
      <c r="P11" s="245">
        <v>57466.98</v>
      </c>
      <c r="Q11" s="245">
        <v>7116</v>
      </c>
      <c r="R11" s="245">
        <v>1012</v>
      </c>
      <c r="S11" s="245">
        <v>0</v>
      </c>
      <c r="T11" s="245">
        <v>0</v>
      </c>
      <c r="U11" s="245">
        <v>0</v>
      </c>
      <c r="V11" s="245">
        <v>0</v>
      </c>
      <c r="W11" s="245">
        <v>0</v>
      </c>
      <c r="X11" s="245">
        <v>0</v>
      </c>
      <c r="Y11" s="245">
        <v>0</v>
      </c>
      <c r="Z11" s="245">
        <v>0</v>
      </c>
      <c r="AA11" s="245">
        <v>0</v>
      </c>
      <c r="AB11" s="245"/>
      <c r="AC11" s="245">
        <v>0</v>
      </c>
      <c r="AD11" s="250">
        <v>246.69000506401062</v>
      </c>
      <c r="AE11" s="47">
        <f>N11*Forutsetninger!$C$23</f>
        <v>18866.172013676536</v>
      </c>
      <c r="AF11" s="47">
        <f t="shared" si="9"/>
        <v>1755.4460760354996</v>
      </c>
      <c r="AG11" s="47">
        <f>S11*Forutsetninger!$C$17</f>
        <v>0</v>
      </c>
      <c r="AH11" s="47">
        <f>AE11+O11+AF11+R11*Forutsetninger!$C$17-AG11</f>
        <v>25921.016920975733</v>
      </c>
      <c r="AI11" s="47">
        <f>AH11+P11*Forutsetninger!$B$5</f>
        <v>29552.930056975732</v>
      </c>
      <c r="AJ11" s="47">
        <f>T11*Forutsetninger!$C$23</f>
        <v>0</v>
      </c>
      <c r="AK11" s="47">
        <f t="shared" si="10"/>
        <v>0</v>
      </c>
      <c r="AL11" s="47">
        <f>AJ11+U11+AK11+X11*Forutsetninger!$C$17</f>
        <v>0</v>
      </c>
      <c r="AM11" s="26">
        <f>(T11-E11)*Forutsetninger!$C$23+X11*Forutsetninger!$C$17+U11+V11*Forutsetninger!$B$5</f>
        <v>0</v>
      </c>
      <c r="AN11" s="26">
        <f>(Y11*Forutsetninger!$C$23)+Z11+(AC11*Forutsetninger!$C$17)+(AA11*Forutsetninger!$B$5)</f>
        <v>0</v>
      </c>
    </row>
    <row r="12" spans="1:40" ht="12.75" x14ac:dyDescent="0.2">
      <c r="A12" s="185">
        <v>182014</v>
      </c>
      <c r="B12" s="212" t="s">
        <v>204</v>
      </c>
      <c r="C12" s="67">
        <v>2014</v>
      </c>
      <c r="D12" s="49">
        <f t="shared" si="0"/>
        <v>11689.788028717041</v>
      </c>
      <c r="E12" s="245">
        <v>0</v>
      </c>
      <c r="F12" s="49">
        <f t="shared" si="1"/>
        <v>11689.788028717041</v>
      </c>
      <c r="G12" s="49">
        <f t="shared" si="2"/>
        <v>4111</v>
      </c>
      <c r="H12" s="47">
        <f t="shared" si="3"/>
        <v>55088</v>
      </c>
      <c r="I12" s="49">
        <f t="shared" si="4"/>
        <v>55638.879999999997</v>
      </c>
      <c r="J12" s="47">
        <f t="shared" si="5"/>
        <v>3760</v>
      </c>
      <c r="K12" s="47">
        <f t="shared" si="6"/>
        <v>95</v>
      </c>
      <c r="L12" s="47">
        <f t="shared" si="7"/>
        <v>0</v>
      </c>
      <c r="M12" s="49">
        <f t="shared" si="8"/>
        <v>594</v>
      </c>
      <c r="N12" s="245">
        <v>11102.044311523438</v>
      </c>
      <c r="O12" s="245">
        <v>4003</v>
      </c>
      <c r="P12" s="245">
        <v>54493.54</v>
      </c>
      <c r="Q12" s="245">
        <v>3760</v>
      </c>
      <c r="R12" s="245">
        <v>594</v>
      </c>
      <c r="S12" s="245">
        <v>197.41999816894531</v>
      </c>
      <c r="T12" s="245">
        <v>587.74371719360352</v>
      </c>
      <c r="U12" s="245">
        <v>108</v>
      </c>
      <c r="V12" s="245">
        <v>1145.3399999999999</v>
      </c>
      <c r="W12" s="245">
        <v>95</v>
      </c>
      <c r="X12" s="245">
        <v>0</v>
      </c>
      <c r="Y12" s="245">
        <v>0</v>
      </c>
      <c r="Z12" s="245">
        <v>0</v>
      </c>
      <c r="AA12" s="245">
        <v>0</v>
      </c>
      <c r="AB12" s="245"/>
      <c r="AC12" s="245">
        <v>0</v>
      </c>
      <c r="AD12" s="250">
        <v>244.45000290870667</v>
      </c>
      <c r="AE12" s="47">
        <f>N12*Forutsetninger!$C$23</f>
        <v>11679.668574032294</v>
      </c>
      <c r="AF12" s="47">
        <f t="shared" si="9"/>
        <v>919.13201093673706</v>
      </c>
      <c r="AG12" s="47">
        <f>S12*Forutsetninger!$C$17</f>
        <v>208.81238666810285</v>
      </c>
      <c r="AH12" s="47">
        <f>AE12+O12+AF12+R12*Forutsetninger!$C$17-AG12</f>
        <v>17021.265773173098</v>
      </c>
      <c r="AI12" s="47">
        <f>AH12+P12*Forutsetninger!$B$5</f>
        <v>20465.257501173099</v>
      </c>
      <c r="AJ12" s="47">
        <f>T12*Forutsetninger!$C$23</f>
        <v>618.32322324329459</v>
      </c>
      <c r="AK12" s="47">
        <f t="shared" si="10"/>
        <v>23.222750276327133</v>
      </c>
      <c r="AL12" s="47">
        <f>AJ12+U12+AK12+X12*Forutsetninger!$C$17</f>
        <v>749.54597351962173</v>
      </c>
      <c r="AM12" s="26">
        <f>(T12-E12)*Forutsetninger!$C$23+X12*Forutsetninger!$C$17+U12+V12*Forutsetninger!$B$5</f>
        <v>798.7087112432946</v>
      </c>
      <c r="AN12" s="26">
        <f>(Y12*Forutsetninger!$C$23)+Z12+(AC12*Forutsetninger!$C$17)+(AA12*Forutsetninger!$B$5)</f>
        <v>0</v>
      </c>
    </row>
    <row r="13" spans="1:40" ht="12.75" x14ac:dyDescent="0.2">
      <c r="A13" s="185">
        <v>222014</v>
      </c>
      <c r="B13" s="212" t="s">
        <v>106</v>
      </c>
      <c r="C13" s="67">
        <v>2014</v>
      </c>
      <c r="D13" s="49">
        <f t="shared" si="0"/>
        <v>6427.5684051513672</v>
      </c>
      <c r="E13" s="245">
        <v>0</v>
      </c>
      <c r="F13" s="49">
        <f t="shared" si="1"/>
        <v>6427.5684051513672</v>
      </c>
      <c r="G13" s="49">
        <f t="shared" si="2"/>
        <v>1404</v>
      </c>
      <c r="H13" s="47">
        <f t="shared" si="3"/>
        <v>27399</v>
      </c>
      <c r="I13" s="49">
        <f t="shared" si="4"/>
        <v>27672.99</v>
      </c>
      <c r="J13" s="47">
        <f t="shared" si="5"/>
        <v>1442</v>
      </c>
      <c r="K13" s="47">
        <f t="shared" si="6"/>
        <v>0</v>
      </c>
      <c r="L13" s="47">
        <f t="shared" si="7"/>
        <v>0</v>
      </c>
      <c r="M13" s="49">
        <f t="shared" si="8"/>
        <v>357</v>
      </c>
      <c r="N13" s="245">
        <v>6427.5684051513672</v>
      </c>
      <c r="O13" s="245">
        <v>1404</v>
      </c>
      <c r="P13" s="245">
        <v>27672.99</v>
      </c>
      <c r="Q13" s="245">
        <v>1442</v>
      </c>
      <c r="R13" s="245">
        <v>357</v>
      </c>
      <c r="S13" s="245">
        <v>0</v>
      </c>
      <c r="T13" s="245">
        <v>0</v>
      </c>
      <c r="U13" s="245">
        <v>0</v>
      </c>
      <c r="V13" s="245">
        <v>0</v>
      </c>
      <c r="W13" s="245">
        <v>0</v>
      </c>
      <c r="X13" s="245">
        <v>0</v>
      </c>
      <c r="Y13" s="245">
        <v>0</v>
      </c>
      <c r="Z13" s="245">
        <v>0</v>
      </c>
      <c r="AA13" s="245">
        <v>0</v>
      </c>
      <c r="AB13" s="245"/>
      <c r="AC13" s="245">
        <v>0</v>
      </c>
      <c r="AD13" s="250">
        <v>244.45000290870667</v>
      </c>
      <c r="AE13" s="47">
        <f>N13*Forutsetninger!$C$23</f>
        <v>6761.9860453239207</v>
      </c>
      <c r="AF13" s="47">
        <f t="shared" si="9"/>
        <v>352.49690419435501</v>
      </c>
      <c r="AG13" s="47">
        <f>S13*Forutsetninger!$C$17</f>
        <v>0</v>
      </c>
      <c r="AH13" s="47">
        <f>AE13+O13+AF13+R13*Forutsetninger!$C$17-AG13</f>
        <v>8896.0841182545792</v>
      </c>
      <c r="AI13" s="47">
        <f>AH13+P13*Forutsetninger!$B$5</f>
        <v>10645.01708625458</v>
      </c>
      <c r="AJ13" s="47">
        <f>T13*Forutsetninger!$C$23</f>
        <v>0</v>
      </c>
      <c r="AK13" s="47">
        <f t="shared" si="10"/>
        <v>0</v>
      </c>
      <c r="AL13" s="47">
        <f>AJ13+U13+AK13+X13*Forutsetninger!$C$17</f>
        <v>0</v>
      </c>
      <c r="AM13" s="26">
        <f>(T13-E13)*Forutsetninger!$C$23+X13*Forutsetninger!$C$17+U13+V13*Forutsetninger!$B$5</f>
        <v>0</v>
      </c>
      <c r="AN13" s="26">
        <f>(Y13*Forutsetninger!$C$23)+Z13+(AC13*Forutsetninger!$C$17)+(AA13*Forutsetninger!$B$5)</f>
        <v>0</v>
      </c>
    </row>
    <row r="14" spans="1:40" ht="12.75" x14ac:dyDescent="0.2">
      <c r="A14" s="185">
        <v>5662014</v>
      </c>
      <c r="B14" s="212" t="s">
        <v>122</v>
      </c>
      <c r="C14" s="67">
        <v>2014</v>
      </c>
      <c r="D14" s="49">
        <f t="shared" si="0"/>
        <v>567531.51416015625</v>
      </c>
      <c r="E14" s="245">
        <v>2690</v>
      </c>
      <c r="F14" s="49">
        <f t="shared" si="1"/>
        <v>564841.51416015625</v>
      </c>
      <c r="G14" s="49">
        <f t="shared" si="2"/>
        <v>269571</v>
      </c>
      <c r="H14" s="49">
        <f t="shared" si="3"/>
        <v>3778432</v>
      </c>
      <c r="I14" s="49">
        <f t="shared" si="4"/>
        <v>3816216.3200000003</v>
      </c>
      <c r="J14" s="47">
        <f t="shared" si="5"/>
        <v>195560</v>
      </c>
      <c r="K14" s="47">
        <f t="shared" si="6"/>
        <v>98408</v>
      </c>
      <c r="L14" s="47">
        <f t="shared" si="7"/>
        <v>0</v>
      </c>
      <c r="M14" s="49">
        <f t="shared" si="8"/>
        <v>51259</v>
      </c>
      <c r="N14" s="245">
        <v>427074.734375</v>
      </c>
      <c r="O14" s="245">
        <v>181990</v>
      </c>
      <c r="P14" s="245">
        <v>2587164.4900000002</v>
      </c>
      <c r="Q14" s="245">
        <v>195560</v>
      </c>
      <c r="R14" s="245">
        <v>35857</v>
      </c>
      <c r="S14" s="245">
        <v>27935.650390625</v>
      </c>
      <c r="T14" s="245">
        <v>128135.72265625</v>
      </c>
      <c r="U14" s="245">
        <v>74089</v>
      </c>
      <c r="V14" s="245">
        <v>976908.36</v>
      </c>
      <c r="W14" s="245">
        <v>98408</v>
      </c>
      <c r="X14" s="245">
        <v>15402</v>
      </c>
      <c r="Y14" s="245">
        <v>12321.05712890625</v>
      </c>
      <c r="Z14" s="245">
        <v>13492</v>
      </c>
      <c r="AA14" s="245">
        <v>252143.47</v>
      </c>
      <c r="AB14" s="245"/>
      <c r="AC14" s="245">
        <v>0</v>
      </c>
      <c r="AD14" s="250">
        <v>246.69000506401062</v>
      </c>
      <c r="AE14" s="47">
        <f>N14*Forutsetninger!$C$23</f>
        <v>449294.85181980906</v>
      </c>
      <c r="AF14" s="47">
        <f t="shared" si="9"/>
        <v>48242.697390317917</v>
      </c>
      <c r="AG14" s="47">
        <f>S14*Forutsetninger!$C$17</f>
        <v>29547.714949324323</v>
      </c>
      <c r="AH14" s="47">
        <f>AE14+O14+AF14+R14*Forutsetninger!$C$17-AG14</f>
        <v>687906.01103216852</v>
      </c>
      <c r="AI14" s="47">
        <f>AH14+P14*Forutsetninger!$B$5</f>
        <v>851414.80680016859</v>
      </c>
      <c r="AJ14" s="47">
        <f>T14*Forutsetninger!$C$23</f>
        <v>134802.44999254178</v>
      </c>
      <c r="AK14" s="47">
        <f t="shared" si="10"/>
        <v>24276.270018339157</v>
      </c>
      <c r="AL14" s="47">
        <f>AJ14+U14+AK14+X14*Forutsetninger!$C$17</f>
        <v>249458.51329064718</v>
      </c>
      <c r="AM14" s="26">
        <f>(T14-E14)*Forutsetninger!$C$23+X14*Forutsetninger!$C$17+U14+V14*Forutsetninger!$B$5</f>
        <v>284092.89458373521</v>
      </c>
      <c r="AN14" s="26">
        <f>(Y14*Forutsetninger!$C$23)+Z14+(AC14*Forutsetninger!$C$17)+(AA14*Forutsetninger!$B$5)</f>
        <v>42389.572273980608</v>
      </c>
    </row>
    <row r="15" spans="1:40" ht="12.75" x14ac:dyDescent="0.2">
      <c r="A15" s="185">
        <v>2572014</v>
      </c>
      <c r="B15" s="212" t="s">
        <v>11</v>
      </c>
      <c r="C15" s="67">
        <v>2014</v>
      </c>
      <c r="D15" s="49">
        <f t="shared" si="0"/>
        <v>47225.154312133789</v>
      </c>
      <c r="E15" s="245">
        <v>0</v>
      </c>
      <c r="F15" s="49">
        <f t="shared" si="1"/>
        <v>47225.154312133789</v>
      </c>
      <c r="G15" s="49">
        <f t="shared" si="2"/>
        <v>18736</v>
      </c>
      <c r="H15" s="49">
        <f t="shared" si="3"/>
        <v>292652</v>
      </c>
      <c r="I15" s="49">
        <f t="shared" si="4"/>
        <v>295578.52</v>
      </c>
      <c r="J15" s="47">
        <f t="shared" si="5"/>
        <v>15178</v>
      </c>
      <c r="K15" s="47">
        <f t="shared" si="6"/>
        <v>2678</v>
      </c>
      <c r="L15" s="47">
        <f t="shared" si="7"/>
        <v>0</v>
      </c>
      <c r="M15" s="49">
        <f t="shared" si="8"/>
        <v>6430</v>
      </c>
      <c r="N15" s="245">
        <v>39986.816650390625</v>
      </c>
      <c r="O15" s="245">
        <v>16879</v>
      </c>
      <c r="P15" s="245">
        <v>275944.12</v>
      </c>
      <c r="Q15" s="245">
        <v>15178</v>
      </c>
      <c r="R15" s="245">
        <v>3929</v>
      </c>
      <c r="S15" s="245">
        <v>1645.199951171875</v>
      </c>
      <c r="T15" s="245">
        <v>7238.3376617431641</v>
      </c>
      <c r="U15" s="245">
        <v>1857</v>
      </c>
      <c r="V15" s="245">
        <v>19634.400000000001</v>
      </c>
      <c r="W15" s="245">
        <v>2678</v>
      </c>
      <c r="X15" s="245">
        <v>2501</v>
      </c>
      <c r="Y15" s="245">
        <v>0</v>
      </c>
      <c r="Z15" s="245">
        <v>0</v>
      </c>
      <c r="AA15" s="245">
        <v>0</v>
      </c>
      <c r="AB15" s="245"/>
      <c r="AC15" s="245">
        <v>0</v>
      </c>
      <c r="AD15" s="250">
        <v>247.85000085830688</v>
      </c>
      <c r="AE15" s="47">
        <f>N15*Forutsetninger!$C$23</f>
        <v>42067.276323370374</v>
      </c>
      <c r="AF15" s="47">
        <f t="shared" si="9"/>
        <v>3761.8673130273819</v>
      </c>
      <c r="AG15" s="47">
        <f>S15*Forutsetninger!$C$17</f>
        <v>1740.1384436061905</v>
      </c>
      <c r="AH15" s="47">
        <f>AE15+O15+AF15+R15*Forutsetninger!$C$17-AG15</f>
        <v>65123.733461600918</v>
      </c>
      <c r="AI15" s="47">
        <f>AH15+P15*Forutsetninger!$B$5</f>
        <v>82563.401845600922</v>
      </c>
      <c r="AJ15" s="47">
        <f>T15*Forutsetninger!$C$23</f>
        <v>7614.9385233803978</v>
      </c>
      <c r="AK15" s="47">
        <f t="shared" si="10"/>
        <v>663.74230229854584</v>
      </c>
      <c r="AL15" s="47">
        <f>AJ15+U15+AK15+X15*Forutsetninger!$C$17</f>
        <v>12781.004419543078</v>
      </c>
      <c r="AM15" s="26">
        <f>(T15-E15)*Forutsetninger!$C$23+X15*Forutsetninger!$C$17+U15+V15*Forutsetninger!$B$5</f>
        <v>13358.156197244532</v>
      </c>
      <c r="AN15" s="26">
        <f>(Y15*Forutsetninger!$C$23)+Z15+(AC15*Forutsetninger!$C$17)+(AA15*Forutsetninger!$B$5)</f>
        <v>0</v>
      </c>
    </row>
    <row r="16" spans="1:40" ht="12.75" x14ac:dyDescent="0.2">
      <c r="A16" s="185">
        <v>352014</v>
      </c>
      <c r="B16" s="212" t="s">
        <v>369</v>
      </c>
      <c r="C16" s="67">
        <v>2014</v>
      </c>
      <c r="D16" s="49">
        <f t="shared" si="0"/>
        <v>12152.279541015625</v>
      </c>
      <c r="E16" s="245">
        <v>0</v>
      </c>
      <c r="F16" s="49">
        <f t="shared" si="1"/>
        <v>12152.279541015625</v>
      </c>
      <c r="G16" s="49">
        <f t="shared" si="2"/>
        <v>3925</v>
      </c>
      <c r="H16" s="47">
        <f t="shared" si="3"/>
        <v>62323</v>
      </c>
      <c r="I16" s="49">
        <f t="shared" si="4"/>
        <v>62946.229999999996</v>
      </c>
      <c r="J16" s="47">
        <f t="shared" si="5"/>
        <v>5216</v>
      </c>
      <c r="K16" s="47">
        <f t="shared" si="6"/>
        <v>0</v>
      </c>
      <c r="L16" s="47">
        <f t="shared" si="7"/>
        <v>0</v>
      </c>
      <c r="M16" s="49">
        <f t="shared" si="8"/>
        <v>222</v>
      </c>
      <c r="N16" s="245">
        <v>12152.279541015625</v>
      </c>
      <c r="O16" s="245">
        <v>3616</v>
      </c>
      <c r="P16" s="245">
        <v>59736.45</v>
      </c>
      <c r="Q16" s="245">
        <v>5216</v>
      </c>
      <c r="R16" s="245">
        <v>222</v>
      </c>
      <c r="S16" s="245">
        <v>493.55999755859375</v>
      </c>
      <c r="T16" s="245">
        <v>0</v>
      </c>
      <c r="U16" s="245">
        <v>309</v>
      </c>
      <c r="V16" s="245">
        <v>3209.78</v>
      </c>
      <c r="W16" s="245">
        <v>0</v>
      </c>
      <c r="X16" s="245">
        <v>0</v>
      </c>
      <c r="Y16" s="245">
        <v>0</v>
      </c>
      <c r="Z16" s="245">
        <v>0</v>
      </c>
      <c r="AA16" s="245">
        <v>0</v>
      </c>
      <c r="AB16" s="245"/>
      <c r="AC16" s="245">
        <v>0</v>
      </c>
      <c r="AD16" s="250">
        <v>247.85000085830688</v>
      </c>
      <c r="AE16" s="47">
        <f>N16*Forutsetninger!$C$23</f>
        <v>12784.546113794004</v>
      </c>
      <c r="AF16" s="47">
        <f t="shared" si="9"/>
        <v>1292.7856044769287</v>
      </c>
      <c r="AG16" s="47">
        <f>S16*Forutsetninger!$C$17</f>
        <v>522.04154599331173</v>
      </c>
      <c r="AH16" s="47">
        <f>AE16+O16+AF16+R16*Forutsetninger!$C$17-AG16</f>
        <v>17406.100983088432</v>
      </c>
      <c r="AI16" s="47">
        <f>AH16+P16*Forutsetninger!$B$5</f>
        <v>21181.444623088431</v>
      </c>
      <c r="AJ16" s="47">
        <f>T16*Forutsetninger!$C$23</f>
        <v>0</v>
      </c>
      <c r="AK16" s="47">
        <f t="shared" si="10"/>
        <v>0</v>
      </c>
      <c r="AL16" s="47">
        <f>AJ16+U16+AK16+X16*Forutsetninger!$C$17</f>
        <v>309</v>
      </c>
      <c r="AM16" s="26">
        <f>(T16-E16)*Forutsetninger!$C$23+X16*Forutsetninger!$C$17+U16+V16*Forutsetninger!$B$5</f>
        <v>511.85809600000005</v>
      </c>
      <c r="AN16" s="26">
        <f>(Y16*Forutsetninger!$C$23)+Z16+(AC16*Forutsetninger!$C$17)+(AA16*Forutsetninger!$B$5)</f>
        <v>0</v>
      </c>
    </row>
    <row r="17" spans="1:40" ht="12.75" x14ac:dyDescent="0.2">
      <c r="A17" s="185">
        <v>2712014</v>
      </c>
      <c r="B17" s="212" t="s">
        <v>55</v>
      </c>
      <c r="C17" s="67">
        <v>2014</v>
      </c>
      <c r="D17" s="49">
        <f t="shared" si="0"/>
        <v>1348.5058400630951</v>
      </c>
      <c r="E17" s="245">
        <v>0</v>
      </c>
      <c r="F17" s="49">
        <f t="shared" si="1"/>
        <v>1348.5058400630951</v>
      </c>
      <c r="G17" s="49">
        <f t="shared" si="2"/>
        <v>23</v>
      </c>
      <c r="H17" s="49">
        <f t="shared" si="3"/>
        <v>542</v>
      </c>
      <c r="I17" s="49">
        <f t="shared" si="4"/>
        <v>547.41999999999996</v>
      </c>
      <c r="J17" s="47">
        <f t="shared" si="5"/>
        <v>0</v>
      </c>
      <c r="K17" s="47">
        <f t="shared" si="6"/>
        <v>4254</v>
      </c>
      <c r="L17" s="47">
        <f t="shared" si="7"/>
        <v>0</v>
      </c>
      <c r="M17" s="49">
        <f t="shared" si="8"/>
        <v>0</v>
      </c>
      <c r="N17" s="245">
        <v>0</v>
      </c>
      <c r="O17" s="245">
        <v>0</v>
      </c>
      <c r="P17" s="245">
        <v>0</v>
      </c>
      <c r="Q17" s="245">
        <v>0</v>
      </c>
      <c r="R17" s="245">
        <v>0</v>
      </c>
      <c r="S17" s="245">
        <v>0</v>
      </c>
      <c r="T17" s="245">
        <v>1348.5058400630951</v>
      </c>
      <c r="U17" s="245">
        <v>23</v>
      </c>
      <c r="V17" s="245">
        <v>547.41999999999996</v>
      </c>
      <c r="W17" s="245">
        <v>4254</v>
      </c>
      <c r="X17" s="245">
        <v>0</v>
      </c>
      <c r="Y17" s="245">
        <v>0</v>
      </c>
      <c r="Z17" s="245">
        <v>0</v>
      </c>
      <c r="AA17" s="245">
        <v>0</v>
      </c>
      <c r="AB17" s="245"/>
      <c r="AC17" s="245">
        <v>0</v>
      </c>
      <c r="AD17" s="250">
        <v>276.60000324249268</v>
      </c>
      <c r="AE17" s="47">
        <f>N17*Forutsetninger!$C$23</f>
        <v>0</v>
      </c>
      <c r="AF17" s="47">
        <f t="shared" si="9"/>
        <v>0</v>
      </c>
      <c r="AG17" s="47">
        <f>S17*Forutsetninger!$C$17</f>
        <v>0</v>
      </c>
      <c r="AH17" s="47">
        <f>AE17+O17+AF17+R17*Forutsetninger!$C$17-AG17</f>
        <v>0</v>
      </c>
      <c r="AI17" s="47">
        <f>AH17+P17*Forutsetninger!$B$5</f>
        <v>0</v>
      </c>
      <c r="AJ17" s="47">
        <f>T17*Forutsetninger!$C$23</f>
        <v>1418.6667644386928</v>
      </c>
      <c r="AK17" s="47">
        <f t="shared" si="10"/>
        <v>1176.6564137935638</v>
      </c>
      <c r="AL17" s="47">
        <f>AJ17+U17+AK17+X17*Forutsetninger!$C$17</f>
        <v>2618.3231782322564</v>
      </c>
      <c r="AM17" s="26">
        <f>(T17-E17)*Forutsetninger!$C$23+X17*Forutsetninger!$C$17+U17+V17*Forutsetninger!$B$5</f>
        <v>1476.2637084386927</v>
      </c>
      <c r="AN17" s="26">
        <f>(Y17*Forutsetninger!$C$23)+Z17+(AC17*Forutsetninger!$C$17)+(AA17*Forutsetninger!$B$5)</f>
        <v>0</v>
      </c>
    </row>
    <row r="18" spans="1:40" ht="12.75" x14ac:dyDescent="0.2">
      <c r="A18" s="185">
        <v>6152014</v>
      </c>
      <c r="B18" s="212" t="s">
        <v>128</v>
      </c>
      <c r="C18" s="67">
        <v>2014</v>
      </c>
      <c r="D18" s="49">
        <f t="shared" si="0"/>
        <v>122934.57958984375</v>
      </c>
      <c r="E18" s="245">
        <v>1445</v>
      </c>
      <c r="F18" s="49">
        <f t="shared" si="1"/>
        <v>121489.57958984375</v>
      </c>
      <c r="G18" s="49">
        <f t="shared" si="2"/>
        <v>71383</v>
      </c>
      <c r="H18" s="49">
        <f t="shared" si="3"/>
        <v>1056930</v>
      </c>
      <c r="I18" s="49">
        <f t="shared" si="4"/>
        <v>1067499.3</v>
      </c>
      <c r="J18" s="47">
        <f t="shared" si="5"/>
        <v>82656</v>
      </c>
      <c r="K18" s="47">
        <f t="shared" si="6"/>
        <v>102484</v>
      </c>
      <c r="L18" s="47">
        <f t="shared" si="7"/>
        <v>0</v>
      </c>
      <c r="M18" s="49">
        <f t="shared" si="8"/>
        <v>24050</v>
      </c>
      <c r="N18" s="245">
        <v>77449.7978515625</v>
      </c>
      <c r="O18" s="245">
        <v>41109</v>
      </c>
      <c r="P18" s="245">
        <v>523833.47000000003</v>
      </c>
      <c r="Q18" s="245">
        <v>82656</v>
      </c>
      <c r="R18" s="245">
        <v>5510</v>
      </c>
      <c r="S18" s="245">
        <v>0</v>
      </c>
      <c r="T18" s="245">
        <v>45484.78173828125</v>
      </c>
      <c r="U18" s="245">
        <v>29626</v>
      </c>
      <c r="V18" s="245">
        <v>534232.43000000005</v>
      </c>
      <c r="W18" s="245">
        <v>102484</v>
      </c>
      <c r="X18" s="245">
        <v>18540</v>
      </c>
      <c r="Y18" s="245">
        <v>0</v>
      </c>
      <c r="Z18" s="245">
        <v>648</v>
      </c>
      <c r="AA18" s="245">
        <v>9433.4</v>
      </c>
      <c r="AB18" s="245"/>
      <c r="AC18" s="245">
        <v>0</v>
      </c>
      <c r="AD18" s="250">
        <v>259.28330421447754</v>
      </c>
      <c r="AE18" s="47">
        <f>N18*Forutsetninger!$C$23</f>
        <v>81479.40547247912</v>
      </c>
      <c r="AF18" s="47">
        <f t="shared" si="9"/>
        <v>21431.320793151855</v>
      </c>
      <c r="AG18" s="47">
        <f>S18*Forutsetninger!$C$17</f>
        <v>0</v>
      </c>
      <c r="AH18" s="47">
        <f>AE18+O18+AF18+R18*Forutsetninger!$C$17-AG18</f>
        <v>149847.68828170109</v>
      </c>
      <c r="AI18" s="47">
        <f>AH18+P18*Forutsetninger!$B$5</f>
        <v>182953.9635857011</v>
      </c>
      <c r="AJ18" s="47">
        <f>T18*Forutsetninger!$C$23</f>
        <v>47851.29305545197</v>
      </c>
      <c r="AK18" s="47">
        <f t="shared" si="10"/>
        <v>26572.390149116516</v>
      </c>
      <c r="AL18" s="47">
        <f>AJ18+U18+AK18+X18*Forutsetninger!$C$17</f>
        <v>123659.5590263362</v>
      </c>
      <c r="AM18" s="26">
        <f>(T18-E18)*Forutsetninger!$C$23+X18*Forutsetninger!$C$17+U18+V18*Forutsetninger!$B$5</f>
        <v>129330.47706897148</v>
      </c>
      <c r="AN18" s="26">
        <f>(Y18*Forutsetninger!$C$23)+Z18+(AC18*Forutsetninger!$C$17)+(AA18*Forutsetninger!$B$5)</f>
        <v>1244.1908800000001</v>
      </c>
    </row>
    <row r="19" spans="1:40" ht="12.75" x14ac:dyDescent="0.2">
      <c r="A19" s="185">
        <v>4472014</v>
      </c>
      <c r="B19" s="212" t="s">
        <v>42</v>
      </c>
      <c r="C19" s="67">
        <v>2014</v>
      </c>
      <c r="D19" s="49">
        <f t="shared" si="0"/>
        <v>21001.160612106323</v>
      </c>
      <c r="E19" s="245">
        <v>0</v>
      </c>
      <c r="F19" s="49">
        <f t="shared" si="1"/>
        <v>21001.160612106323</v>
      </c>
      <c r="G19" s="49">
        <f t="shared" si="2"/>
        <v>12642</v>
      </c>
      <c r="H19" s="49">
        <f t="shared" si="3"/>
        <v>111806</v>
      </c>
      <c r="I19" s="49">
        <f t="shared" si="4"/>
        <v>112924.06</v>
      </c>
      <c r="J19" s="47">
        <f t="shared" si="5"/>
        <v>0</v>
      </c>
      <c r="K19" s="47">
        <f t="shared" si="6"/>
        <v>1928</v>
      </c>
      <c r="L19" s="47">
        <f t="shared" si="7"/>
        <v>0</v>
      </c>
      <c r="M19" s="49">
        <f t="shared" si="8"/>
        <v>0</v>
      </c>
      <c r="N19" s="245">
        <v>0</v>
      </c>
      <c r="O19" s="245">
        <v>0</v>
      </c>
      <c r="P19" s="245">
        <v>0</v>
      </c>
      <c r="Q19" s="245">
        <v>0</v>
      </c>
      <c r="R19" s="245">
        <v>0</v>
      </c>
      <c r="S19" s="245">
        <v>0</v>
      </c>
      <c r="T19" s="245">
        <v>1859.8562602996826</v>
      </c>
      <c r="U19" s="245">
        <v>1714</v>
      </c>
      <c r="V19" s="245">
        <v>29575.83</v>
      </c>
      <c r="W19" s="245">
        <v>1928</v>
      </c>
      <c r="X19" s="245">
        <v>0</v>
      </c>
      <c r="Y19" s="245">
        <v>19141.304351806641</v>
      </c>
      <c r="Z19" s="245">
        <v>10928</v>
      </c>
      <c r="AA19" s="245">
        <v>83348.23</v>
      </c>
      <c r="AB19" s="245"/>
      <c r="AC19" s="245">
        <v>0</v>
      </c>
      <c r="AD19" s="250">
        <v>259.70000028610229</v>
      </c>
      <c r="AE19" s="47">
        <f>N19*Forutsetninger!$C$23</f>
        <v>0</v>
      </c>
      <c r="AF19" s="47">
        <f t="shared" si="9"/>
        <v>0</v>
      </c>
      <c r="AG19" s="47">
        <f>S19*Forutsetninger!$C$17</f>
        <v>0</v>
      </c>
      <c r="AH19" s="47">
        <f>AE19+O19+AF19+R19*Forutsetninger!$C$17-AG19</f>
        <v>0</v>
      </c>
      <c r="AI19" s="47">
        <f>AH19+P19*Forutsetninger!$B$5</f>
        <v>0</v>
      </c>
      <c r="AJ19" s="47">
        <f>T19*Forutsetninger!$C$23</f>
        <v>1956.6220514083534</v>
      </c>
      <c r="AK19" s="47">
        <f t="shared" si="10"/>
        <v>500.70160055160522</v>
      </c>
      <c r="AL19" s="47">
        <f>AJ19+U19+AK19+X19*Forutsetninger!$C$17</f>
        <v>4171.3236519599586</v>
      </c>
      <c r="AM19" s="26">
        <f>(T19-E19)*Forutsetninger!$C$23+X19*Forutsetninger!$C$17+U19+V19*Forutsetninger!$B$5</f>
        <v>5539.8145074083532</v>
      </c>
      <c r="AN19" s="26">
        <f>(Y19*Forutsetninger!$C$23)+Z19+(AC19*Forutsetninger!$C$17)+(AA19*Forutsetninger!$B$5)</f>
        <v>36332.808513747892</v>
      </c>
    </row>
    <row r="20" spans="1:40" ht="12.75" x14ac:dyDescent="0.2">
      <c r="A20" s="185">
        <v>5742014</v>
      </c>
      <c r="B20" s="212" t="s">
        <v>94</v>
      </c>
      <c r="C20" s="67">
        <v>2014</v>
      </c>
      <c r="D20" s="49">
        <f t="shared" si="0"/>
        <v>436307.30029296875</v>
      </c>
      <c r="E20" s="245">
        <v>1410</v>
      </c>
      <c r="F20" s="49">
        <f t="shared" si="1"/>
        <v>434897.30029296875</v>
      </c>
      <c r="G20" s="49">
        <f t="shared" si="2"/>
        <v>198639</v>
      </c>
      <c r="H20" s="47">
        <f t="shared" si="3"/>
        <v>3064699</v>
      </c>
      <c r="I20" s="49">
        <f t="shared" si="4"/>
        <v>3095345.99</v>
      </c>
      <c r="J20" s="47">
        <f t="shared" si="5"/>
        <v>135542</v>
      </c>
      <c r="K20" s="47">
        <f t="shared" si="6"/>
        <v>198390</v>
      </c>
      <c r="L20" s="47">
        <f t="shared" si="7"/>
        <v>0</v>
      </c>
      <c r="M20" s="49">
        <f t="shared" si="8"/>
        <v>71994</v>
      </c>
      <c r="N20" s="245">
        <v>336231.4560546875</v>
      </c>
      <c r="O20" s="245">
        <v>150752</v>
      </c>
      <c r="P20" s="245">
        <v>2531722.56</v>
      </c>
      <c r="Q20" s="245">
        <v>135542</v>
      </c>
      <c r="R20" s="245">
        <v>47973</v>
      </c>
      <c r="S20" s="245">
        <v>0</v>
      </c>
      <c r="T20" s="245">
        <v>99896.84423828125</v>
      </c>
      <c r="U20" s="245">
        <v>46767</v>
      </c>
      <c r="V20" s="245">
        <v>559627.87</v>
      </c>
      <c r="W20" s="245">
        <v>198390</v>
      </c>
      <c r="X20" s="245">
        <v>24021</v>
      </c>
      <c r="Y20" s="245">
        <v>179</v>
      </c>
      <c r="Z20" s="245">
        <v>1120</v>
      </c>
      <c r="AA20" s="245">
        <v>3995.56</v>
      </c>
      <c r="AB20" s="245"/>
      <c r="AC20" s="245">
        <v>0</v>
      </c>
      <c r="AD20" s="250">
        <v>259.70000028610229</v>
      </c>
      <c r="AE20" s="47">
        <f>N20*Forutsetninger!$C$23</f>
        <v>353725.12131003878</v>
      </c>
      <c r="AF20" s="47">
        <f t="shared" si="9"/>
        <v>35200.257438778877</v>
      </c>
      <c r="AG20" s="47">
        <f>S20*Forutsetninger!$C$17</f>
        <v>0</v>
      </c>
      <c r="AH20" s="47">
        <f>AE20+O20+AF20+R20*Forutsetninger!$C$17-AG20</f>
        <v>590418.72571740777</v>
      </c>
      <c r="AI20" s="47">
        <f>AH20+P20*Forutsetninger!$B$5</f>
        <v>750423.59150940785</v>
      </c>
      <c r="AJ20" s="47">
        <f>T20*Forutsetninger!$C$23</f>
        <v>105094.3411461441</v>
      </c>
      <c r="AK20" s="47">
        <f t="shared" si="10"/>
        <v>51521.883056759834</v>
      </c>
      <c r="AL20" s="47">
        <f>AJ20+U20+AK20+X20*Forutsetninger!$C$17</f>
        <v>228790.38855644665</v>
      </c>
      <c r="AM20" s="26">
        <f>(T20-E20)*Forutsetninger!$C$23+X20*Forutsetninger!$C$17+U20+V20*Forutsetninger!$B$5</f>
        <v>211153.62650182526</v>
      </c>
      <c r="AN20" s="26">
        <f>(Y20*Forutsetninger!$C$23)+Z20+(AC20*Forutsetninger!$C$17)+(AA20*Forutsetninger!$B$5)</f>
        <v>1560.8325184916466</v>
      </c>
    </row>
    <row r="21" spans="1:40" ht="12.75" x14ac:dyDescent="0.2">
      <c r="A21" s="185">
        <v>4952014</v>
      </c>
      <c r="B21" s="212" t="s">
        <v>91</v>
      </c>
      <c r="C21" s="67">
        <v>2014</v>
      </c>
      <c r="D21" s="49">
        <f t="shared" si="0"/>
        <v>31606.4111328125</v>
      </c>
      <c r="E21" s="245">
        <v>0</v>
      </c>
      <c r="F21" s="49">
        <f t="shared" si="1"/>
        <v>31606.4111328125</v>
      </c>
      <c r="G21" s="49">
        <f t="shared" si="2"/>
        <v>14172</v>
      </c>
      <c r="H21" s="49">
        <f t="shared" si="3"/>
        <v>246666</v>
      </c>
      <c r="I21" s="49">
        <f t="shared" si="4"/>
        <v>249132.66</v>
      </c>
      <c r="J21" s="47">
        <f t="shared" si="5"/>
        <v>17401</v>
      </c>
      <c r="K21" s="47">
        <f t="shared" si="6"/>
        <v>0</v>
      </c>
      <c r="L21" s="47">
        <f t="shared" si="7"/>
        <v>0</v>
      </c>
      <c r="M21" s="49">
        <f t="shared" si="8"/>
        <v>1531</v>
      </c>
      <c r="N21" s="245">
        <v>31606.4111328125</v>
      </c>
      <c r="O21" s="245">
        <v>14172</v>
      </c>
      <c r="P21" s="245">
        <v>249132.66</v>
      </c>
      <c r="Q21" s="245">
        <v>17401</v>
      </c>
      <c r="R21" s="245">
        <v>1531</v>
      </c>
      <c r="S21" s="245">
        <v>0</v>
      </c>
      <c r="T21" s="245">
        <v>0</v>
      </c>
      <c r="U21" s="245">
        <v>0</v>
      </c>
      <c r="V21" s="245">
        <v>0</v>
      </c>
      <c r="W21" s="245">
        <v>0</v>
      </c>
      <c r="X21" s="245">
        <v>0</v>
      </c>
      <c r="Y21" s="245">
        <v>0</v>
      </c>
      <c r="Z21" s="245">
        <v>0</v>
      </c>
      <c r="AA21" s="245">
        <v>0</v>
      </c>
      <c r="AB21" s="245"/>
      <c r="AC21" s="245">
        <v>0</v>
      </c>
      <c r="AD21" s="250">
        <v>259.70000028610229</v>
      </c>
      <c r="AE21" s="47">
        <f>N21*Forutsetninger!$C$23</f>
        <v>33250.849707264322</v>
      </c>
      <c r="AF21" s="47">
        <f t="shared" si="9"/>
        <v>4519.039704978466</v>
      </c>
      <c r="AG21" s="47">
        <f>S21*Forutsetninger!$C$17</f>
        <v>0</v>
      </c>
      <c r="AH21" s="47">
        <f>AE21+O21+AF21+R21*Forutsetninger!$C$17-AG21</f>
        <v>53561.237841753376</v>
      </c>
      <c r="AI21" s="47">
        <f>AH21+P21*Forutsetninger!$B$5</f>
        <v>69306.421953753379</v>
      </c>
      <c r="AJ21" s="47">
        <f>T21*Forutsetninger!$C$23</f>
        <v>0</v>
      </c>
      <c r="AK21" s="47">
        <f t="shared" si="10"/>
        <v>0</v>
      </c>
      <c r="AL21" s="47">
        <f>AJ21+U21+AK21+X21*Forutsetninger!$C$17</f>
        <v>0</v>
      </c>
      <c r="AM21" s="26">
        <f>(T21-E21)*Forutsetninger!$C$23+X21*Forutsetninger!$C$17+U21+V21*Forutsetninger!$B$5</f>
        <v>0</v>
      </c>
      <c r="AN21" s="26">
        <f>(Y21*Forutsetninger!$C$23)+Z21+(AC21*Forutsetninger!$C$17)+(AA21*Forutsetninger!$B$5)</f>
        <v>0</v>
      </c>
    </row>
    <row r="22" spans="1:40" ht="12.75" x14ac:dyDescent="0.2">
      <c r="A22" s="185">
        <v>6142014</v>
      </c>
      <c r="B22" s="212" t="s">
        <v>95</v>
      </c>
      <c r="C22" s="67">
        <v>2014</v>
      </c>
      <c r="D22" s="49">
        <f t="shared" si="0"/>
        <v>49736.331420898438</v>
      </c>
      <c r="E22" s="245">
        <v>0</v>
      </c>
      <c r="F22" s="49">
        <f t="shared" si="1"/>
        <v>49736.331420898438</v>
      </c>
      <c r="G22" s="49">
        <f t="shared" si="2"/>
        <v>22870</v>
      </c>
      <c r="H22" s="49">
        <f t="shared" si="3"/>
        <v>340213</v>
      </c>
      <c r="I22" s="49">
        <f t="shared" si="4"/>
        <v>343615.13</v>
      </c>
      <c r="J22" s="47">
        <f t="shared" si="5"/>
        <v>48934</v>
      </c>
      <c r="K22" s="47">
        <f t="shared" si="6"/>
        <v>0</v>
      </c>
      <c r="L22" s="47">
        <f t="shared" si="7"/>
        <v>0</v>
      </c>
      <c r="M22" s="49">
        <f t="shared" si="8"/>
        <v>4736</v>
      </c>
      <c r="N22" s="245">
        <v>49736.331420898438</v>
      </c>
      <c r="O22" s="245">
        <v>22870</v>
      </c>
      <c r="P22" s="245">
        <v>343615.13</v>
      </c>
      <c r="Q22" s="245">
        <v>48934</v>
      </c>
      <c r="R22" s="245">
        <v>4736</v>
      </c>
      <c r="S22" s="245">
        <v>1373.739990234375</v>
      </c>
      <c r="T22" s="245">
        <v>0</v>
      </c>
      <c r="U22" s="245">
        <v>0</v>
      </c>
      <c r="V22" s="245">
        <v>0</v>
      </c>
      <c r="W22" s="245">
        <v>0</v>
      </c>
      <c r="X22" s="245">
        <v>0</v>
      </c>
      <c r="Y22" s="245">
        <v>0</v>
      </c>
      <c r="Z22" s="245">
        <v>0</v>
      </c>
      <c r="AA22" s="245">
        <v>0</v>
      </c>
      <c r="AB22" s="245"/>
      <c r="AC22" s="245">
        <v>0</v>
      </c>
      <c r="AD22" s="250">
        <v>259.70000028610229</v>
      </c>
      <c r="AE22" s="47">
        <f>N22*Forutsetninger!$C$23</f>
        <v>52324.045084324658</v>
      </c>
      <c r="AF22" s="47">
        <f t="shared" si="9"/>
        <v>12708.15981400013</v>
      </c>
      <c r="AG22" s="47">
        <f>S22*Forutsetninger!$C$17</f>
        <v>1453.0135177935538</v>
      </c>
      <c r="AH22" s="47">
        <f>AE22+O22+AF22+R22*Forutsetninger!$C$17-AG22</f>
        <v>91458.488677828529</v>
      </c>
      <c r="AI22" s="47">
        <f>AH22+P22*Forutsetninger!$B$5</f>
        <v>113174.96489382852</v>
      </c>
      <c r="AJ22" s="47">
        <f>T22*Forutsetninger!$C$23</f>
        <v>0</v>
      </c>
      <c r="AK22" s="47">
        <f t="shared" si="10"/>
        <v>0</v>
      </c>
      <c r="AL22" s="47">
        <f>AJ22+U22+AK22+X22*Forutsetninger!$C$17</f>
        <v>0</v>
      </c>
      <c r="AM22" s="26">
        <f>(T22-E22)*Forutsetninger!$C$23+X22*Forutsetninger!$C$17+U22+V22*Forutsetninger!$B$5</f>
        <v>0</v>
      </c>
      <c r="AN22" s="26">
        <f>(Y22*Forutsetninger!$C$23)+Z22+(AC22*Forutsetninger!$C$17)+(AA22*Forutsetninger!$B$5)</f>
        <v>0</v>
      </c>
    </row>
    <row r="23" spans="1:40" ht="12.75" x14ac:dyDescent="0.2">
      <c r="A23" s="185">
        <v>412014</v>
      </c>
      <c r="B23" s="212" t="s">
        <v>370</v>
      </c>
      <c r="C23" s="67">
        <v>2014</v>
      </c>
      <c r="D23" s="49">
        <f t="shared" si="0"/>
        <v>9013.6285238265991</v>
      </c>
      <c r="E23" s="245">
        <v>0</v>
      </c>
      <c r="F23" s="49">
        <f t="shared" si="1"/>
        <v>9013.6285238265991</v>
      </c>
      <c r="G23" s="49">
        <f t="shared" si="2"/>
        <v>2516</v>
      </c>
      <c r="H23" s="47">
        <f t="shared" si="3"/>
        <v>31157</v>
      </c>
      <c r="I23" s="49">
        <f t="shared" si="4"/>
        <v>31468.57</v>
      </c>
      <c r="J23" s="47">
        <f t="shared" si="5"/>
        <v>2373</v>
      </c>
      <c r="K23" s="47">
        <f t="shared" si="6"/>
        <v>128</v>
      </c>
      <c r="L23" s="47">
        <f t="shared" si="7"/>
        <v>0</v>
      </c>
      <c r="M23" s="49">
        <f t="shared" si="8"/>
        <v>540</v>
      </c>
      <c r="N23" s="245">
        <v>8908.5403747558594</v>
      </c>
      <c r="O23" s="245">
        <v>2500</v>
      </c>
      <c r="P23" s="245">
        <v>31254.45</v>
      </c>
      <c r="Q23" s="245">
        <v>2373</v>
      </c>
      <c r="R23" s="245">
        <v>540</v>
      </c>
      <c r="S23" s="245">
        <v>493.55999755859375</v>
      </c>
      <c r="T23" s="245">
        <v>105.08814907073975</v>
      </c>
      <c r="U23" s="245">
        <v>16</v>
      </c>
      <c r="V23" s="245">
        <v>214.12</v>
      </c>
      <c r="W23" s="245">
        <v>128</v>
      </c>
      <c r="X23" s="245">
        <v>0</v>
      </c>
      <c r="Y23" s="245">
        <v>0</v>
      </c>
      <c r="Z23" s="245">
        <v>0</v>
      </c>
      <c r="AA23" s="245">
        <v>0</v>
      </c>
      <c r="AB23" s="245"/>
      <c r="AC23" s="245">
        <v>0</v>
      </c>
      <c r="AD23" s="250">
        <v>247.85000085830688</v>
      </c>
      <c r="AE23" s="47">
        <f>N23*Forutsetninger!$C$23</f>
        <v>9372.0396114376672</v>
      </c>
      <c r="AF23" s="47">
        <f t="shared" si="9"/>
        <v>588.14805203676224</v>
      </c>
      <c r="AG23" s="47">
        <f>S23*Forutsetninger!$C$17</f>
        <v>522.04154599331173</v>
      </c>
      <c r="AH23" s="47">
        <f>AE23+O23+AF23+R23*Forutsetninger!$C$17-AG23</f>
        <v>12509.30754918309</v>
      </c>
      <c r="AI23" s="47">
        <f>AH23+P23*Forutsetninger!$B$5</f>
        <v>14484.58878918309</v>
      </c>
      <c r="AJ23" s="47">
        <f>T23*Forutsetninger!$C$23</f>
        <v>110.55574250687847</v>
      </c>
      <c r="AK23" s="47">
        <f t="shared" si="10"/>
        <v>31.724800109863281</v>
      </c>
      <c r="AL23" s="47">
        <f>AJ23+U23+AK23+X23*Forutsetninger!$C$17</f>
        <v>158.28054261674174</v>
      </c>
      <c r="AM23" s="26">
        <f>(T23-E23)*Forutsetninger!$C$23+X23*Forutsetninger!$C$17+U23+V23*Forutsetninger!$B$5</f>
        <v>140.08812650687847</v>
      </c>
      <c r="AN23" s="26">
        <f>(Y23*Forutsetninger!$C$23)+Z23+(AC23*Forutsetninger!$C$17)+(AA23*Forutsetninger!$B$5)</f>
        <v>0</v>
      </c>
    </row>
    <row r="24" spans="1:40" ht="12.75" x14ac:dyDescent="0.2">
      <c r="A24" s="185">
        <v>1472014</v>
      </c>
      <c r="B24" s="212" t="s">
        <v>175</v>
      </c>
      <c r="C24" s="67">
        <v>2014</v>
      </c>
      <c r="D24" s="49">
        <f t="shared" si="0"/>
        <v>8209.0091171264648</v>
      </c>
      <c r="E24" s="245">
        <v>0</v>
      </c>
      <c r="F24" s="49">
        <f t="shared" si="1"/>
        <v>8209.0091171264648</v>
      </c>
      <c r="G24" s="49">
        <f t="shared" si="2"/>
        <v>1808</v>
      </c>
      <c r="H24" s="47">
        <f t="shared" si="3"/>
        <v>18918</v>
      </c>
      <c r="I24" s="49">
        <f t="shared" si="4"/>
        <v>19107.18</v>
      </c>
      <c r="J24" s="47">
        <f t="shared" si="5"/>
        <v>1471</v>
      </c>
      <c r="K24" s="47">
        <f t="shared" si="6"/>
        <v>280</v>
      </c>
      <c r="L24" s="47">
        <f t="shared" si="7"/>
        <v>0</v>
      </c>
      <c r="M24" s="49">
        <f t="shared" si="8"/>
        <v>282</v>
      </c>
      <c r="N24" s="245">
        <v>7706.9638977050781</v>
      </c>
      <c r="O24" s="245">
        <v>1642</v>
      </c>
      <c r="P24" s="245">
        <v>18110.310000000001</v>
      </c>
      <c r="Q24" s="245">
        <v>1471</v>
      </c>
      <c r="R24" s="245">
        <v>282</v>
      </c>
      <c r="S24" s="245">
        <v>0</v>
      </c>
      <c r="T24" s="245">
        <v>502.04521942138672</v>
      </c>
      <c r="U24" s="245">
        <v>166</v>
      </c>
      <c r="V24" s="245">
        <v>996.87</v>
      </c>
      <c r="W24" s="245">
        <v>280</v>
      </c>
      <c r="X24" s="245">
        <v>0</v>
      </c>
      <c r="Y24" s="245">
        <v>0</v>
      </c>
      <c r="Z24" s="245">
        <v>0</v>
      </c>
      <c r="AA24" s="245">
        <v>0</v>
      </c>
      <c r="AB24" s="245"/>
      <c r="AC24" s="245">
        <v>0</v>
      </c>
      <c r="AD24" s="250">
        <v>244.45000290870667</v>
      </c>
      <c r="AE24" s="47">
        <f>N24*Forutsetninger!$C$23</f>
        <v>8107.946744888779</v>
      </c>
      <c r="AF24" s="47">
        <f t="shared" si="9"/>
        <v>359.5859542787075</v>
      </c>
      <c r="AG24" s="47">
        <f>S24*Forutsetninger!$C$17</f>
        <v>0</v>
      </c>
      <c r="AH24" s="47">
        <f>AE24+O24+AF24+R24*Forutsetninger!$C$17-AG24</f>
        <v>10407.805891278516</v>
      </c>
      <c r="AI24" s="47">
        <f>AH24+P24*Forutsetninger!$B$5</f>
        <v>11552.377483278517</v>
      </c>
      <c r="AJ24" s="47">
        <f>T24*Forutsetninger!$C$23</f>
        <v>528.16594921467129</v>
      </c>
      <c r="AK24" s="47">
        <f t="shared" si="10"/>
        <v>68.446000814437866</v>
      </c>
      <c r="AL24" s="47">
        <f>AJ24+U24+AK24+X24*Forutsetninger!$C$17</f>
        <v>762.61195002910915</v>
      </c>
      <c r="AM24" s="26">
        <f>(T24-E24)*Forutsetninger!$C$23+X24*Forutsetninger!$C$17+U24+V24*Forutsetninger!$B$5</f>
        <v>757.16813321467134</v>
      </c>
      <c r="AN24" s="26">
        <f>(Y24*Forutsetninger!$C$23)+Z24+(AC24*Forutsetninger!$C$17)+(AA24*Forutsetninger!$B$5)</f>
        <v>0</v>
      </c>
    </row>
    <row r="25" spans="1:40" ht="12.75" x14ac:dyDescent="0.2">
      <c r="A25" s="185">
        <v>422014</v>
      </c>
      <c r="B25" s="212" t="s">
        <v>205</v>
      </c>
      <c r="C25" s="67">
        <v>2014</v>
      </c>
      <c r="D25" s="49">
        <f t="shared" si="0"/>
        <v>20055.676780700684</v>
      </c>
      <c r="E25" s="245">
        <v>0</v>
      </c>
      <c r="F25" s="49">
        <f t="shared" si="1"/>
        <v>20055.676780700684</v>
      </c>
      <c r="G25" s="49">
        <f t="shared" si="2"/>
        <v>6655</v>
      </c>
      <c r="H25" s="47">
        <f t="shared" si="3"/>
        <v>108605</v>
      </c>
      <c r="I25" s="49">
        <f t="shared" si="4"/>
        <v>109691.05</v>
      </c>
      <c r="J25" s="47">
        <f t="shared" si="5"/>
        <v>7761</v>
      </c>
      <c r="K25" s="47">
        <f t="shared" si="6"/>
        <v>0</v>
      </c>
      <c r="L25" s="47">
        <f t="shared" si="7"/>
        <v>0</v>
      </c>
      <c r="M25" s="49">
        <f t="shared" si="8"/>
        <v>512</v>
      </c>
      <c r="N25" s="245">
        <v>20055.676780700684</v>
      </c>
      <c r="O25" s="245">
        <v>6655</v>
      </c>
      <c r="P25" s="245">
        <v>109691.05</v>
      </c>
      <c r="Q25" s="245">
        <v>7761</v>
      </c>
      <c r="R25" s="245">
        <v>512</v>
      </c>
      <c r="S25" s="245">
        <v>0</v>
      </c>
      <c r="T25" s="245">
        <v>0</v>
      </c>
      <c r="U25" s="245">
        <v>0</v>
      </c>
      <c r="V25" s="245">
        <v>0</v>
      </c>
      <c r="W25" s="245">
        <v>0</v>
      </c>
      <c r="X25" s="245">
        <v>0</v>
      </c>
      <c r="Y25" s="245">
        <v>0</v>
      </c>
      <c r="Z25" s="245">
        <v>0</v>
      </c>
      <c r="AA25" s="245">
        <v>0</v>
      </c>
      <c r="AB25" s="245"/>
      <c r="AC25" s="245">
        <v>0</v>
      </c>
      <c r="AD25" s="250">
        <v>244.45000290870667</v>
      </c>
      <c r="AE25" s="47">
        <f>N25*Forutsetninger!$C$23</f>
        <v>21099.146360221624</v>
      </c>
      <c r="AF25" s="47">
        <f t="shared" si="9"/>
        <v>1897.1764725744724</v>
      </c>
      <c r="AG25" s="47">
        <f>S25*Forutsetninger!$C$17</f>
        <v>0</v>
      </c>
      <c r="AH25" s="47">
        <f>AE25+O25+AF25+R25*Forutsetninger!$C$17-AG25</f>
        <v>30192.868486557967</v>
      </c>
      <c r="AI25" s="47">
        <f>AH25+P25*Forutsetninger!$B$5</f>
        <v>37125.342846557971</v>
      </c>
      <c r="AJ25" s="47">
        <f>T25*Forutsetninger!$C$23</f>
        <v>0</v>
      </c>
      <c r="AK25" s="47">
        <f t="shared" si="10"/>
        <v>0</v>
      </c>
      <c r="AL25" s="47">
        <f>AJ25+U25+AK25+X25*Forutsetninger!$C$17</f>
        <v>0</v>
      </c>
      <c r="AM25" s="26">
        <f>(T25-E25)*Forutsetninger!$C$23+X25*Forutsetninger!$C$17+U25+V25*Forutsetninger!$B$5</f>
        <v>0</v>
      </c>
      <c r="AN25" s="26">
        <f>(Y25*Forutsetninger!$C$23)+Z25+(AC25*Forutsetninger!$C$17)+(AA25*Forutsetninger!$B$5)</f>
        <v>0</v>
      </c>
    </row>
    <row r="26" spans="1:40" ht="12.75" x14ac:dyDescent="0.2">
      <c r="A26" s="185">
        <v>432014</v>
      </c>
      <c r="B26" s="212" t="s">
        <v>371</v>
      </c>
      <c r="C26" s="67">
        <v>2014</v>
      </c>
      <c r="D26" s="49">
        <f t="shared" si="0"/>
        <v>20879.670166015625</v>
      </c>
      <c r="E26" s="245">
        <v>0</v>
      </c>
      <c r="F26" s="49">
        <f t="shared" si="1"/>
        <v>20879.670166015625</v>
      </c>
      <c r="G26" s="49">
        <f t="shared" si="2"/>
        <v>9391</v>
      </c>
      <c r="H26" s="47">
        <f t="shared" si="3"/>
        <v>172465</v>
      </c>
      <c r="I26" s="49">
        <f t="shared" si="4"/>
        <v>174189.65</v>
      </c>
      <c r="J26" s="47">
        <f t="shared" si="5"/>
        <v>8030</v>
      </c>
      <c r="K26" s="47">
        <f t="shared" si="6"/>
        <v>0</v>
      </c>
      <c r="L26" s="47">
        <f t="shared" si="7"/>
        <v>0</v>
      </c>
      <c r="M26" s="49">
        <f t="shared" si="8"/>
        <v>1718</v>
      </c>
      <c r="N26" s="245">
        <v>20879.670166015625</v>
      </c>
      <c r="O26" s="245">
        <v>9391</v>
      </c>
      <c r="P26" s="245">
        <v>174189.65</v>
      </c>
      <c r="Q26" s="245">
        <v>8030</v>
      </c>
      <c r="R26" s="245">
        <v>1718</v>
      </c>
      <c r="S26" s="245">
        <v>263.23001098632812</v>
      </c>
      <c r="T26" s="245">
        <v>0</v>
      </c>
      <c r="U26" s="245">
        <v>0</v>
      </c>
      <c r="V26" s="245">
        <v>0</v>
      </c>
      <c r="W26" s="245">
        <v>0</v>
      </c>
      <c r="X26" s="245">
        <v>0</v>
      </c>
      <c r="Y26" s="245">
        <v>0</v>
      </c>
      <c r="Z26" s="245">
        <v>0</v>
      </c>
      <c r="AA26" s="245">
        <v>0</v>
      </c>
      <c r="AB26" s="245"/>
      <c r="AC26" s="245">
        <v>0</v>
      </c>
      <c r="AD26" s="250">
        <v>246.69000506401062</v>
      </c>
      <c r="AE26" s="47">
        <f>N26*Forutsetninger!$C$23</f>
        <v>21966.011000428847</v>
      </c>
      <c r="AF26" s="47">
        <f t="shared" si="9"/>
        <v>1980.9207406640053</v>
      </c>
      <c r="AG26" s="47">
        <f>S26*Forutsetninger!$C$17</f>
        <v>278.42005544792045</v>
      </c>
      <c r="AH26" s="47">
        <f>AE26+O26+AF26+R26*Forutsetninger!$C$17-AG26</f>
        <v>34876.651203541209</v>
      </c>
      <c r="AI26" s="47">
        <f>AH26+P26*Forutsetninger!$B$5</f>
        <v>45885.437083541212</v>
      </c>
      <c r="AJ26" s="47">
        <f>T26*Forutsetninger!$C$23</f>
        <v>0</v>
      </c>
      <c r="AK26" s="47">
        <f t="shared" si="10"/>
        <v>0</v>
      </c>
      <c r="AL26" s="47">
        <f>AJ26+U26+AK26+X26*Forutsetninger!$C$17</f>
        <v>0</v>
      </c>
      <c r="AM26" s="26">
        <f>(T26-E26)*Forutsetninger!$C$23+X26*Forutsetninger!$C$17+U26+V26*Forutsetninger!$B$5</f>
        <v>0</v>
      </c>
      <c r="AN26" s="26">
        <f>(Y26*Forutsetninger!$C$23)+Z26+(AC26*Forutsetninger!$C$17)+(AA26*Forutsetninger!$B$5)</f>
        <v>0</v>
      </c>
    </row>
    <row r="27" spans="1:40" ht="12.75" x14ac:dyDescent="0.2">
      <c r="A27" s="185">
        <v>452014</v>
      </c>
      <c r="B27" s="212" t="s">
        <v>80</v>
      </c>
      <c r="C27" s="67">
        <v>2014</v>
      </c>
      <c r="D27" s="49">
        <f t="shared" si="0"/>
        <v>15681.753601074219</v>
      </c>
      <c r="E27" s="245">
        <v>0</v>
      </c>
      <c r="F27" s="49">
        <f t="shared" si="1"/>
        <v>15681.753601074219</v>
      </c>
      <c r="G27" s="49">
        <f t="shared" si="2"/>
        <v>2782</v>
      </c>
      <c r="H27" s="49">
        <f t="shared" si="3"/>
        <v>40987</v>
      </c>
      <c r="I27" s="49">
        <f t="shared" si="4"/>
        <v>41396.870000000003</v>
      </c>
      <c r="J27" s="47">
        <f t="shared" si="5"/>
        <v>3498</v>
      </c>
      <c r="K27" s="47">
        <f t="shared" si="6"/>
        <v>0</v>
      </c>
      <c r="L27" s="47">
        <f t="shared" si="7"/>
        <v>0</v>
      </c>
      <c r="M27" s="49">
        <f t="shared" si="8"/>
        <v>1303</v>
      </c>
      <c r="N27" s="245">
        <v>15681.753601074219</v>
      </c>
      <c r="O27" s="245">
        <v>2782</v>
      </c>
      <c r="P27" s="245">
        <v>41396.870000000003</v>
      </c>
      <c r="Q27" s="245">
        <v>3498</v>
      </c>
      <c r="R27" s="245">
        <v>1303</v>
      </c>
      <c r="S27" s="245">
        <v>394.85000610351562</v>
      </c>
      <c r="T27" s="245">
        <v>0</v>
      </c>
      <c r="U27" s="245">
        <v>0</v>
      </c>
      <c r="V27" s="245">
        <v>0</v>
      </c>
      <c r="W27" s="245">
        <v>0</v>
      </c>
      <c r="X27" s="245">
        <v>0</v>
      </c>
      <c r="Y27" s="245">
        <v>0</v>
      </c>
      <c r="Z27" s="245">
        <v>0</v>
      </c>
      <c r="AA27" s="245">
        <v>0</v>
      </c>
      <c r="AB27" s="245"/>
      <c r="AC27" s="245">
        <v>0</v>
      </c>
      <c r="AD27" s="250">
        <v>246.69000506401062</v>
      </c>
      <c r="AE27" s="47">
        <f>N27*Forutsetninger!$C$23</f>
        <v>16497.653907764954</v>
      </c>
      <c r="AF27" s="47">
        <f t="shared" si="9"/>
        <v>862.92163771390915</v>
      </c>
      <c r="AG27" s="47">
        <f>S27*Forutsetninger!$C$17</f>
        <v>417.63536072891935</v>
      </c>
      <c r="AH27" s="47">
        <f>AE27+O27+AF27+R27*Forutsetninger!$C$17-AG27</f>
        <v>21103.131565319702</v>
      </c>
      <c r="AI27" s="47">
        <f>AH27+P27*Forutsetninger!$B$5</f>
        <v>23719.413749319701</v>
      </c>
      <c r="AJ27" s="47">
        <f>T27*Forutsetninger!$C$23</f>
        <v>0</v>
      </c>
      <c r="AK27" s="47">
        <f t="shared" si="10"/>
        <v>0</v>
      </c>
      <c r="AL27" s="47">
        <f>AJ27+U27+AK27+X27*Forutsetninger!$C$17</f>
        <v>0</v>
      </c>
      <c r="AM27" s="26">
        <f>(T27-E27)*Forutsetninger!$C$23+X27*Forutsetninger!$C$17+U27+V27*Forutsetninger!$B$5</f>
        <v>0</v>
      </c>
      <c r="AN27" s="26">
        <f>(Y27*Forutsetninger!$C$23)+Z27+(AC27*Forutsetninger!$C$17)+(AA27*Forutsetninger!$B$5)</f>
        <v>0</v>
      </c>
    </row>
    <row r="28" spans="1:40" ht="12.75" x14ac:dyDescent="0.2">
      <c r="A28" s="185">
        <v>462014</v>
      </c>
      <c r="B28" s="212" t="s">
        <v>107</v>
      </c>
      <c r="C28" s="67">
        <v>2014</v>
      </c>
      <c r="D28" s="49">
        <f t="shared" si="0"/>
        <v>10064.420974731445</v>
      </c>
      <c r="E28" s="245">
        <v>0</v>
      </c>
      <c r="F28" s="49">
        <f t="shared" si="1"/>
        <v>10064.420974731445</v>
      </c>
      <c r="G28" s="49">
        <f t="shared" si="2"/>
        <v>1940</v>
      </c>
      <c r="H28" s="49">
        <f t="shared" si="3"/>
        <v>28327</v>
      </c>
      <c r="I28" s="49">
        <f t="shared" si="4"/>
        <v>28610.27</v>
      </c>
      <c r="J28" s="47">
        <f t="shared" si="5"/>
        <v>2237</v>
      </c>
      <c r="K28" s="47">
        <f t="shared" si="6"/>
        <v>0</v>
      </c>
      <c r="L28" s="47">
        <f t="shared" si="7"/>
        <v>0</v>
      </c>
      <c r="M28" s="49">
        <f t="shared" si="8"/>
        <v>801</v>
      </c>
      <c r="N28" s="245">
        <v>10064.420974731445</v>
      </c>
      <c r="O28" s="245">
        <v>1940</v>
      </c>
      <c r="P28" s="245">
        <v>28610.27</v>
      </c>
      <c r="Q28" s="245">
        <v>2237</v>
      </c>
      <c r="R28" s="245">
        <v>801</v>
      </c>
      <c r="S28" s="245">
        <v>0</v>
      </c>
      <c r="T28" s="245">
        <v>0</v>
      </c>
      <c r="U28" s="245">
        <v>0</v>
      </c>
      <c r="V28" s="245">
        <v>0</v>
      </c>
      <c r="W28" s="245">
        <v>0</v>
      </c>
      <c r="X28" s="245">
        <v>0</v>
      </c>
      <c r="Y28" s="245">
        <v>0</v>
      </c>
      <c r="Z28" s="245">
        <v>0</v>
      </c>
      <c r="AA28" s="245">
        <v>0</v>
      </c>
      <c r="AB28" s="245"/>
      <c r="AC28" s="245">
        <v>0</v>
      </c>
      <c r="AD28" s="250">
        <v>246.69000506401062</v>
      </c>
      <c r="AE28" s="47">
        <f>N28*Forutsetninger!$C$23</f>
        <v>10588.059106590981</v>
      </c>
      <c r="AF28" s="47">
        <f t="shared" si="9"/>
        <v>551.84554132819176</v>
      </c>
      <c r="AG28" s="47">
        <f>S28*Forutsetninger!$C$17</f>
        <v>0</v>
      </c>
      <c r="AH28" s="47">
        <f>AE28+O28+AF28+R28*Forutsetninger!$C$17-AG28</f>
        <v>13927.127438277099</v>
      </c>
      <c r="AI28" s="47">
        <f>AH28+P28*Forutsetninger!$B$5</f>
        <v>15735.296502277099</v>
      </c>
      <c r="AJ28" s="47">
        <f>T28*Forutsetninger!$C$23</f>
        <v>0</v>
      </c>
      <c r="AK28" s="47">
        <f t="shared" si="10"/>
        <v>0</v>
      </c>
      <c r="AL28" s="47">
        <f>AJ28+U28+AK28+X28*Forutsetninger!$C$17</f>
        <v>0</v>
      </c>
      <c r="AM28" s="26">
        <f>(T28-E28)*Forutsetninger!$C$23+X28*Forutsetninger!$C$17+U28+V28*Forutsetninger!$B$5</f>
        <v>0</v>
      </c>
      <c r="AN28" s="26">
        <f>(Y28*Forutsetninger!$C$23)+Z28+(AC28*Forutsetninger!$C$17)+(AA28*Forutsetninger!$B$5)</f>
        <v>0</v>
      </c>
    </row>
    <row r="29" spans="1:40" ht="12.75" x14ac:dyDescent="0.2">
      <c r="A29" s="185">
        <v>5782014</v>
      </c>
      <c r="B29" s="212" t="s">
        <v>123</v>
      </c>
      <c r="C29" s="67">
        <v>2014</v>
      </c>
      <c r="D29" s="49">
        <f t="shared" si="0"/>
        <v>12440.209106445313</v>
      </c>
      <c r="E29" s="245">
        <v>0</v>
      </c>
      <c r="F29" s="49">
        <f t="shared" si="1"/>
        <v>12440.209106445313</v>
      </c>
      <c r="G29" s="49">
        <f t="shared" si="2"/>
        <v>4217</v>
      </c>
      <c r="H29" s="49">
        <f t="shared" si="3"/>
        <v>71884</v>
      </c>
      <c r="I29" s="49">
        <f t="shared" si="4"/>
        <v>72602.84</v>
      </c>
      <c r="J29" s="47">
        <f t="shared" si="5"/>
        <v>3325</v>
      </c>
      <c r="K29" s="47">
        <f t="shared" si="6"/>
        <v>0</v>
      </c>
      <c r="L29" s="47">
        <f t="shared" si="7"/>
        <v>0</v>
      </c>
      <c r="M29" s="49">
        <f t="shared" si="8"/>
        <v>588</v>
      </c>
      <c r="N29" s="245">
        <v>12440.209106445313</v>
      </c>
      <c r="O29" s="245">
        <v>4217</v>
      </c>
      <c r="P29" s="245">
        <v>72602.84</v>
      </c>
      <c r="Q29" s="245">
        <v>3325</v>
      </c>
      <c r="R29" s="245">
        <v>588</v>
      </c>
      <c r="S29" s="245">
        <v>32.900001525878906</v>
      </c>
      <c r="T29" s="245">
        <v>0</v>
      </c>
      <c r="U29" s="245">
        <v>0</v>
      </c>
      <c r="V29" s="245">
        <v>0</v>
      </c>
      <c r="W29" s="245">
        <v>0</v>
      </c>
      <c r="X29" s="245">
        <v>0</v>
      </c>
      <c r="Y29" s="245">
        <v>0</v>
      </c>
      <c r="Z29" s="245">
        <v>0</v>
      </c>
      <c r="AA29" s="245">
        <v>0</v>
      </c>
      <c r="AB29" s="245"/>
      <c r="AC29" s="245">
        <v>0</v>
      </c>
      <c r="AD29" s="250">
        <v>259.70000028610229</v>
      </c>
      <c r="AE29" s="47">
        <f>N29*Forutsetninger!$C$23</f>
        <v>13087.45626281884</v>
      </c>
      <c r="AF29" s="47">
        <f t="shared" si="9"/>
        <v>863.50250095129013</v>
      </c>
      <c r="AG29" s="47">
        <f>S29*Forutsetninger!$C$17</f>
        <v>34.798540693551978</v>
      </c>
      <c r="AH29" s="47">
        <f>AE29+O29+AF29+R29*Forutsetninger!$C$17-AG29</f>
        <v>18755.091559818728</v>
      </c>
      <c r="AI29" s="47">
        <f>AH29+P29*Forutsetninger!$B$5</f>
        <v>23343.591047818729</v>
      </c>
      <c r="AJ29" s="47">
        <f>T29*Forutsetninger!$C$23</f>
        <v>0</v>
      </c>
      <c r="AK29" s="47">
        <f t="shared" si="10"/>
        <v>0</v>
      </c>
      <c r="AL29" s="47">
        <f>AJ29+U29+AK29+X29*Forutsetninger!$C$17</f>
        <v>0</v>
      </c>
      <c r="AM29" s="26">
        <f>(T29-E29)*Forutsetninger!$C$23+X29*Forutsetninger!$C$17+U29+V29*Forutsetninger!$B$5</f>
        <v>0</v>
      </c>
      <c r="AN29" s="26">
        <f>(Y29*Forutsetninger!$C$23)+Z29+(AC29*Forutsetninger!$C$17)+(AA29*Forutsetninger!$B$5)</f>
        <v>0</v>
      </c>
    </row>
    <row r="30" spans="1:40" ht="12.75" x14ac:dyDescent="0.2">
      <c r="A30" s="185">
        <v>522014</v>
      </c>
      <c r="B30" s="212" t="s">
        <v>267</v>
      </c>
      <c r="C30" s="67">
        <v>2014</v>
      </c>
      <c r="D30" s="49">
        <f t="shared" si="0"/>
        <v>6543.7965698242187</v>
      </c>
      <c r="E30" s="245">
        <v>0</v>
      </c>
      <c r="F30" s="49">
        <f t="shared" si="1"/>
        <v>6543.7965698242187</v>
      </c>
      <c r="G30" s="49">
        <f t="shared" si="2"/>
        <v>2043</v>
      </c>
      <c r="H30" s="47">
        <f t="shared" si="3"/>
        <v>32552</v>
      </c>
      <c r="I30" s="49">
        <f t="shared" si="4"/>
        <v>32877.519999999997</v>
      </c>
      <c r="J30" s="47">
        <f t="shared" si="5"/>
        <v>1312</v>
      </c>
      <c r="K30" s="47">
        <f t="shared" si="6"/>
        <v>0</v>
      </c>
      <c r="L30" s="47">
        <f t="shared" si="7"/>
        <v>0</v>
      </c>
      <c r="M30" s="49">
        <f t="shared" si="8"/>
        <v>610</v>
      </c>
      <c r="N30" s="245">
        <v>6543.7965698242187</v>
      </c>
      <c r="O30" s="245">
        <v>2043</v>
      </c>
      <c r="P30" s="245">
        <v>32877.519999999997</v>
      </c>
      <c r="Q30" s="245">
        <v>1312</v>
      </c>
      <c r="R30" s="245">
        <v>610</v>
      </c>
      <c r="S30" s="245">
        <v>463.1400146484375</v>
      </c>
      <c r="T30" s="245">
        <v>0</v>
      </c>
      <c r="U30" s="245">
        <v>0</v>
      </c>
      <c r="V30" s="245">
        <v>0</v>
      </c>
      <c r="W30" s="245">
        <v>0</v>
      </c>
      <c r="X30" s="245">
        <v>0</v>
      </c>
      <c r="Y30" s="245">
        <v>0</v>
      </c>
      <c r="Z30" s="245">
        <v>0</v>
      </c>
      <c r="AA30" s="245">
        <v>0</v>
      </c>
      <c r="AB30" s="245"/>
      <c r="AC30" s="245">
        <v>0</v>
      </c>
      <c r="AD30" s="250">
        <v>247.85000085830688</v>
      </c>
      <c r="AE30" s="47">
        <f>N30*Forutsetninger!$C$23</f>
        <v>6884.2614032900137</v>
      </c>
      <c r="AF30" s="47">
        <f t="shared" si="9"/>
        <v>325.17920112609863</v>
      </c>
      <c r="AG30" s="47">
        <f>S30*Forutsetninger!$C$17</f>
        <v>489.86613675013695</v>
      </c>
      <c r="AH30" s="47">
        <f>AE30+O30+AF30+R30*Forutsetninger!$C$17-AG30</f>
        <v>9407.775344218202</v>
      </c>
      <c r="AI30" s="47">
        <f>AH30+P30*Forutsetninger!$B$5</f>
        <v>11485.634608218203</v>
      </c>
      <c r="AJ30" s="47">
        <f>T30*Forutsetninger!$C$23</f>
        <v>0</v>
      </c>
      <c r="AK30" s="47">
        <f t="shared" si="10"/>
        <v>0</v>
      </c>
      <c r="AL30" s="47">
        <f>AJ30+U30+AK30+X30*Forutsetninger!$C$17</f>
        <v>0</v>
      </c>
      <c r="AM30" s="26">
        <f>(T30-E30)*Forutsetninger!$C$23+X30*Forutsetninger!$C$17+U30+V30*Forutsetninger!$B$5</f>
        <v>0</v>
      </c>
      <c r="AN30" s="26">
        <f>(Y30*Forutsetninger!$C$23)+Z30+(AC30*Forutsetninger!$C$17)+(AA30*Forutsetninger!$B$5)</f>
        <v>0</v>
      </c>
    </row>
    <row r="31" spans="1:40" ht="12.75" x14ac:dyDescent="0.2">
      <c r="A31" s="185">
        <v>532014</v>
      </c>
      <c r="B31" s="212" t="s">
        <v>372</v>
      </c>
      <c r="C31" s="67">
        <v>2014</v>
      </c>
      <c r="D31" s="49">
        <f t="shared" si="0"/>
        <v>19826.626220703125</v>
      </c>
      <c r="E31" s="245">
        <v>0</v>
      </c>
      <c r="F31" s="49">
        <f t="shared" si="1"/>
        <v>19826.626220703125</v>
      </c>
      <c r="G31" s="49">
        <f t="shared" si="2"/>
        <v>9945</v>
      </c>
      <c r="H31" s="47">
        <f t="shared" si="3"/>
        <v>148753</v>
      </c>
      <c r="I31" s="49">
        <f t="shared" si="4"/>
        <v>150240.53</v>
      </c>
      <c r="J31" s="47">
        <f t="shared" si="5"/>
        <v>1657</v>
      </c>
      <c r="K31" s="47">
        <f t="shared" si="6"/>
        <v>0</v>
      </c>
      <c r="L31" s="47">
        <f t="shared" si="7"/>
        <v>0</v>
      </c>
      <c r="M31" s="49">
        <f t="shared" si="8"/>
        <v>893</v>
      </c>
      <c r="N31" s="245">
        <v>19826.626220703125</v>
      </c>
      <c r="O31" s="245">
        <v>9945</v>
      </c>
      <c r="P31" s="245">
        <v>150240.53</v>
      </c>
      <c r="Q31" s="245">
        <v>1657</v>
      </c>
      <c r="R31" s="245">
        <v>893</v>
      </c>
      <c r="S31" s="245">
        <v>0</v>
      </c>
      <c r="T31" s="245">
        <v>0</v>
      </c>
      <c r="U31" s="245">
        <v>0</v>
      </c>
      <c r="V31" s="245">
        <v>0</v>
      </c>
      <c r="W31" s="245">
        <v>0</v>
      </c>
      <c r="X31" s="245">
        <v>0</v>
      </c>
      <c r="Y31" s="245">
        <v>0</v>
      </c>
      <c r="Z31" s="245">
        <v>0</v>
      </c>
      <c r="AA31" s="245">
        <v>0</v>
      </c>
      <c r="AB31" s="245"/>
      <c r="AC31" s="245">
        <v>0</v>
      </c>
      <c r="AD31" s="250">
        <v>276.60000324249268</v>
      </c>
      <c r="AE31" s="47">
        <f>N31*Forutsetninger!$C$23</f>
        <v>20858.178611183623</v>
      </c>
      <c r="AF31" s="47">
        <f t="shared" si="9"/>
        <v>458.32620537281036</v>
      </c>
      <c r="AG31" s="47">
        <f>S31*Forutsetninger!$C$17</f>
        <v>0</v>
      </c>
      <c r="AH31" s="47">
        <f>AE31+O31+AF31+R31*Forutsetninger!$C$17-AG31</f>
        <v>32206.036591574695</v>
      </c>
      <c r="AI31" s="47">
        <f>AH31+P31*Forutsetninger!$B$5</f>
        <v>41701.238087574697</v>
      </c>
      <c r="AJ31" s="47">
        <f>T31*Forutsetninger!$C$23</f>
        <v>0</v>
      </c>
      <c r="AK31" s="47">
        <f t="shared" si="10"/>
        <v>0</v>
      </c>
      <c r="AL31" s="47">
        <f>AJ31+U31+AK31+X31*Forutsetninger!$C$17</f>
        <v>0</v>
      </c>
      <c r="AM31" s="26">
        <f>(T31-E31)*Forutsetninger!$C$23+X31*Forutsetninger!$C$17+U31+V31*Forutsetninger!$B$5</f>
        <v>0</v>
      </c>
      <c r="AN31" s="26">
        <f>(Y31*Forutsetninger!$C$23)+Z31+(AC31*Forutsetninger!$C$17)+(AA31*Forutsetninger!$B$5)</f>
        <v>0</v>
      </c>
    </row>
    <row r="32" spans="1:40" ht="12.75" x14ac:dyDescent="0.2">
      <c r="A32" s="185">
        <v>322014</v>
      </c>
      <c r="B32" s="212" t="s">
        <v>266</v>
      </c>
      <c r="C32" s="67">
        <v>2014</v>
      </c>
      <c r="D32" s="49">
        <f t="shared" si="0"/>
        <v>53614.158752441406</v>
      </c>
      <c r="E32" s="245">
        <v>0</v>
      </c>
      <c r="F32" s="49">
        <f t="shared" si="1"/>
        <v>53614.158752441406</v>
      </c>
      <c r="G32" s="49">
        <f t="shared" si="2"/>
        <v>36015</v>
      </c>
      <c r="H32" s="47">
        <f t="shared" si="3"/>
        <v>452533</v>
      </c>
      <c r="I32" s="49">
        <f t="shared" si="4"/>
        <v>457058.33</v>
      </c>
      <c r="J32" s="47">
        <f t="shared" si="5"/>
        <v>52600</v>
      </c>
      <c r="K32" s="47">
        <f t="shared" si="6"/>
        <v>0</v>
      </c>
      <c r="L32" s="47">
        <f t="shared" si="7"/>
        <v>0</v>
      </c>
      <c r="M32" s="49">
        <f t="shared" si="8"/>
        <v>2406</v>
      </c>
      <c r="N32" s="245">
        <v>53614.158752441406</v>
      </c>
      <c r="O32" s="245">
        <v>36015</v>
      </c>
      <c r="P32" s="245">
        <v>457058.33</v>
      </c>
      <c r="Q32" s="245">
        <v>52600</v>
      </c>
      <c r="R32" s="245">
        <v>2406</v>
      </c>
      <c r="S32" s="245">
        <v>8390.5595703125</v>
      </c>
      <c r="T32" s="245">
        <v>0</v>
      </c>
      <c r="U32" s="245">
        <v>0</v>
      </c>
      <c r="V32" s="245">
        <v>0</v>
      </c>
      <c r="W32" s="245">
        <v>0</v>
      </c>
      <c r="X32" s="245">
        <v>0</v>
      </c>
      <c r="Y32" s="245">
        <v>0</v>
      </c>
      <c r="Z32" s="245">
        <v>0</v>
      </c>
      <c r="AA32" s="245">
        <v>0</v>
      </c>
      <c r="AB32" s="245"/>
      <c r="AC32" s="245">
        <v>0</v>
      </c>
      <c r="AD32" s="250">
        <v>259.70000028610229</v>
      </c>
      <c r="AE32" s="47">
        <f>N32*Forutsetninger!$C$23</f>
        <v>56403.630496601843</v>
      </c>
      <c r="AF32" s="47">
        <f t="shared" si="9"/>
        <v>13660.220015048981</v>
      </c>
      <c r="AG32" s="47">
        <f>S32*Forutsetninger!$C$17</f>
        <v>8874.7481795562453</v>
      </c>
      <c r="AH32" s="47">
        <f>AE32+O32+AF32+R32*Forutsetninger!$C$17-AG32</f>
        <v>99748.943822233356</v>
      </c>
      <c r="AI32" s="47">
        <f>AH32+P32*Forutsetninger!$B$5</f>
        <v>128635.03027823336</v>
      </c>
      <c r="AJ32" s="47">
        <f>T32*Forutsetninger!$C$23</f>
        <v>0</v>
      </c>
      <c r="AK32" s="47">
        <f t="shared" si="10"/>
        <v>0</v>
      </c>
      <c r="AL32" s="47">
        <f>AJ32+U32+AK32+X32*Forutsetninger!$C$17</f>
        <v>0</v>
      </c>
      <c r="AM32" s="26">
        <f>(T32-E32)*Forutsetninger!$C$23+X32*Forutsetninger!$C$17+U32+V32*Forutsetninger!$B$5</f>
        <v>0</v>
      </c>
      <c r="AN32" s="26">
        <f>(Y32*Forutsetninger!$C$23)+Z32+(AC32*Forutsetninger!$C$17)+(AA32*Forutsetninger!$B$5)</f>
        <v>0</v>
      </c>
    </row>
    <row r="33" spans="1:40" ht="12.75" x14ac:dyDescent="0.2">
      <c r="A33" s="185">
        <v>552014</v>
      </c>
      <c r="B33" s="212" t="s">
        <v>36</v>
      </c>
      <c r="C33" s="67">
        <v>2014</v>
      </c>
      <c r="D33" s="49">
        <f t="shared" si="0"/>
        <v>16170.472961425781</v>
      </c>
      <c r="E33" s="245">
        <v>0</v>
      </c>
      <c r="F33" s="49">
        <f t="shared" si="1"/>
        <v>16170.472961425781</v>
      </c>
      <c r="G33" s="49">
        <f t="shared" si="2"/>
        <v>4570</v>
      </c>
      <c r="H33" s="49">
        <f t="shared" si="3"/>
        <v>77738</v>
      </c>
      <c r="I33" s="49">
        <f t="shared" si="4"/>
        <v>78515.38</v>
      </c>
      <c r="J33" s="47">
        <f t="shared" si="5"/>
        <v>5519</v>
      </c>
      <c r="K33" s="47">
        <f t="shared" si="6"/>
        <v>0</v>
      </c>
      <c r="L33" s="47">
        <f t="shared" si="7"/>
        <v>0</v>
      </c>
      <c r="M33" s="49">
        <f t="shared" si="8"/>
        <v>299</v>
      </c>
      <c r="N33" s="245">
        <v>16170.472961425781</v>
      </c>
      <c r="O33" s="245">
        <v>4570</v>
      </c>
      <c r="P33" s="245">
        <v>78515.38</v>
      </c>
      <c r="Q33" s="245">
        <v>5519</v>
      </c>
      <c r="R33" s="245">
        <v>299</v>
      </c>
      <c r="S33" s="245">
        <v>361.94000244140625</v>
      </c>
      <c r="T33" s="245">
        <v>0</v>
      </c>
      <c r="U33" s="245">
        <v>0</v>
      </c>
      <c r="V33" s="245">
        <v>0</v>
      </c>
      <c r="W33" s="245">
        <v>0</v>
      </c>
      <c r="X33" s="245">
        <v>0</v>
      </c>
      <c r="Y33" s="245">
        <v>0</v>
      </c>
      <c r="Z33" s="245">
        <v>0</v>
      </c>
      <c r="AA33" s="245">
        <v>0</v>
      </c>
      <c r="AB33" s="245"/>
      <c r="AC33" s="245">
        <v>0</v>
      </c>
      <c r="AD33" s="250">
        <v>246.69000506401062</v>
      </c>
      <c r="AE33" s="47">
        <f>N33*Forutsetninger!$C$23</f>
        <v>17011.800671590656</v>
      </c>
      <c r="AF33" s="47">
        <f t="shared" si="9"/>
        <v>1361.4821379482746</v>
      </c>
      <c r="AG33" s="47">
        <f>S33*Forutsetninger!$C$17</f>
        <v>382.82624071231282</v>
      </c>
      <c r="AH33" s="47">
        <f>AE33+O33+AF33+R33*Forutsetninger!$C$17-AG33</f>
        <v>22876.710768972713</v>
      </c>
      <c r="AI33" s="47">
        <f>AH33+P33*Forutsetninger!$B$5</f>
        <v>27838.882784972713</v>
      </c>
      <c r="AJ33" s="47">
        <f>T33*Forutsetninger!$C$23</f>
        <v>0</v>
      </c>
      <c r="AK33" s="47">
        <f t="shared" si="10"/>
        <v>0</v>
      </c>
      <c r="AL33" s="47">
        <f>AJ33+U33+AK33+X33*Forutsetninger!$C$17</f>
        <v>0</v>
      </c>
      <c r="AM33" s="26">
        <f>(T33-E33)*Forutsetninger!$C$23+X33*Forutsetninger!$C$17+U33+V33*Forutsetninger!$B$5</f>
        <v>0</v>
      </c>
      <c r="AN33" s="26">
        <f>(Y33*Forutsetninger!$C$23)+Z33+(AC33*Forutsetninger!$C$17)+(AA33*Forutsetninger!$B$5)</f>
        <v>0</v>
      </c>
    </row>
    <row r="34" spans="1:40" ht="12.75" x14ac:dyDescent="0.2">
      <c r="A34" s="185">
        <v>9002014</v>
      </c>
      <c r="B34" s="212" t="s">
        <v>279</v>
      </c>
      <c r="C34" s="67">
        <v>2014</v>
      </c>
      <c r="D34" s="49">
        <f t="shared" si="0"/>
        <v>916</v>
      </c>
      <c r="E34" s="245">
        <v>0</v>
      </c>
      <c r="F34" s="49">
        <f t="shared" si="1"/>
        <v>916</v>
      </c>
      <c r="G34" s="49">
        <f t="shared" si="2"/>
        <v>667</v>
      </c>
      <c r="H34" s="49">
        <f t="shared" si="3"/>
        <v>9342</v>
      </c>
      <c r="I34" s="49">
        <f t="shared" si="4"/>
        <v>9435.42</v>
      </c>
      <c r="J34" s="47">
        <f t="shared" si="5"/>
        <v>0</v>
      </c>
      <c r="K34" s="47">
        <f t="shared" si="6"/>
        <v>0</v>
      </c>
      <c r="L34" s="47">
        <f t="shared" si="7"/>
        <v>0</v>
      </c>
      <c r="M34" s="49">
        <f t="shared" si="8"/>
        <v>0</v>
      </c>
      <c r="N34" s="245">
        <v>0</v>
      </c>
      <c r="O34" s="245">
        <v>0</v>
      </c>
      <c r="P34" s="245">
        <v>0</v>
      </c>
      <c r="Q34" s="245">
        <v>0</v>
      </c>
      <c r="R34" s="245">
        <v>0</v>
      </c>
      <c r="S34" s="245">
        <v>0</v>
      </c>
      <c r="T34" s="245">
        <v>0</v>
      </c>
      <c r="U34" s="245">
        <v>0</v>
      </c>
      <c r="V34" s="245">
        <v>0</v>
      </c>
      <c r="W34" s="245">
        <v>0</v>
      </c>
      <c r="X34" s="245">
        <v>0</v>
      </c>
      <c r="Y34" s="245">
        <v>916</v>
      </c>
      <c r="Z34" s="245">
        <v>667</v>
      </c>
      <c r="AA34" s="245">
        <v>9435.42</v>
      </c>
      <c r="AB34" s="245"/>
      <c r="AC34" s="245">
        <v>0</v>
      </c>
      <c r="AD34" s="250">
        <v>247.85000085830688</v>
      </c>
      <c r="AE34" s="47">
        <f>N34*Forutsetninger!$C$23</f>
        <v>0</v>
      </c>
      <c r="AF34" s="47">
        <f t="shared" si="9"/>
        <v>0</v>
      </c>
      <c r="AG34" s="47">
        <f>S34*Forutsetninger!$C$17</f>
        <v>0</v>
      </c>
      <c r="AH34" s="47">
        <f>AE34+O34+AF34+R34*Forutsetninger!$C$17-AG34</f>
        <v>0</v>
      </c>
      <c r="AI34" s="47">
        <f>AH34+P34*Forutsetninger!$B$5</f>
        <v>0</v>
      </c>
      <c r="AJ34" s="47">
        <f>T34*Forutsetninger!$C$23</f>
        <v>0</v>
      </c>
      <c r="AK34" s="47">
        <f t="shared" si="10"/>
        <v>0</v>
      </c>
      <c r="AL34" s="47">
        <f>AJ34+U34+AK34+X34*Forutsetninger!$C$17</f>
        <v>0</v>
      </c>
      <c r="AM34" s="26">
        <f>(T34-E34)*Forutsetninger!$C$23+X34*Forutsetninger!$C$17+U34+V34*Forutsetninger!$B$5</f>
        <v>0</v>
      </c>
      <c r="AN34" s="26">
        <f>(Y34*Forutsetninger!$C$23)+Z34+(AC34*Forutsetninger!$C$17)+(AA34*Forutsetninger!$B$5)</f>
        <v>2226.9767778902151</v>
      </c>
    </row>
    <row r="35" spans="1:40" ht="12.75" x14ac:dyDescent="0.2">
      <c r="A35" s="185">
        <v>1192014</v>
      </c>
      <c r="B35" s="212" t="s">
        <v>82</v>
      </c>
      <c r="C35" s="67">
        <v>2014</v>
      </c>
      <c r="D35" s="49">
        <f t="shared" ref="D35:D66" si="11">N35+T35+Y35</f>
        <v>18533.131958007813</v>
      </c>
      <c r="E35" s="245">
        <v>0</v>
      </c>
      <c r="F35" s="49">
        <f t="shared" ref="F35:F66" si="12">D35-E35</f>
        <v>18533.131958007813</v>
      </c>
      <c r="G35" s="49">
        <f t="shared" ref="G35:G66" si="13">O35+U35+Z35</f>
        <v>5091</v>
      </c>
      <c r="H35" s="49">
        <f t="shared" ref="H35:H66" si="14">ROUND(I35/1.01,0)</f>
        <v>75453</v>
      </c>
      <c r="I35" s="49">
        <f t="shared" ref="I35:I66" si="15">P35+V35+AA35</f>
        <v>76207.53</v>
      </c>
      <c r="J35" s="47">
        <f t="shared" ref="J35:J66" si="16">Q35</f>
        <v>7073</v>
      </c>
      <c r="K35" s="47">
        <f t="shared" ref="K35:K66" si="17">W35</f>
        <v>0</v>
      </c>
      <c r="L35" s="47">
        <f t="shared" ref="L35:L66" si="18">AB35</f>
        <v>0</v>
      </c>
      <c r="M35" s="49">
        <f t="shared" ref="M35:M66" si="19">R35+X35+AC35</f>
        <v>1013</v>
      </c>
      <c r="N35" s="245">
        <v>18533.131958007813</v>
      </c>
      <c r="O35" s="245">
        <v>5091</v>
      </c>
      <c r="P35" s="245">
        <v>76207.53</v>
      </c>
      <c r="Q35" s="245">
        <v>7073</v>
      </c>
      <c r="R35" s="245">
        <v>1013</v>
      </c>
      <c r="S35" s="245">
        <v>0</v>
      </c>
      <c r="T35" s="245">
        <v>0</v>
      </c>
      <c r="U35" s="245">
        <v>0</v>
      </c>
      <c r="V35" s="245">
        <v>0</v>
      </c>
      <c r="W35" s="245">
        <v>0</v>
      </c>
      <c r="X35" s="245">
        <v>0</v>
      </c>
      <c r="Y35" s="245">
        <v>0</v>
      </c>
      <c r="Z35" s="245">
        <v>0</v>
      </c>
      <c r="AA35" s="245">
        <v>0</v>
      </c>
      <c r="AB35" s="245"/>
      <c r="AC35" s="245">
        <v>0</v>
      </c>
      <c r="AD35" s="250">
        <v>276.60000324249268</v>
      </c>
      <c r="AE35" s="47">
        <f>N35*Forutsetninger!$C$23</f>
        <v>19497.385601646405</v>
      </c>
      <c r="AF35" s="47">
        <f t="shared" ref="AF35:AF66" si="20">(Q35*AD35)/1000</f>
        <v>1956.3918229341507</v>
      </c>
      <c r="AG35" s="47">
        <f>S35*Forutsetninger!$C$17</f>
        <v>0</v>
      </c>
      <c r="AH35" s="47">
        <f>AE35+O35+AF35+R35*Forutsetninger!$C$17-AG35</f>
        <v>27616.233962199254</v>
      </c>
      <c r="AI35" s="47">
        <f>AH35+P35*Forutsetninger!$B$5</f>
        <v>32432.549858199254</v>
      </c>
      <c r="AJ35" s="47">
        <f>T35*Forutsetninger!$C$23</f>
        <v>0</v>
      </c>
      <c r="AK35" s="47">
        <f t="shared" ref="AK35:AK66" si="21">(W35*AD35)/1000</f>
        <v>0</v>
      </c>
      <c r="AL35" s="47">
        <f>AJ35+U35+AK35+X35*Forutsetninger!$C$17</f>
        <v>0</v>
      </c>
      <c r="AM35" s="26">
        <f>(T35-E35)*Forutsetninger!$C$23+X35*Forutsetninger!$C$17+U35+V35*Forutsetninger!$B$5</f>
        <v>0</v>
      </c>
      <c r="AN35" s="26">
        <f>(Y35*Forutsetninger!$C$23)+Z35+(AC35*Forutsetninger!$C$17)+(AA35*Forutsetninger!$B$5)</f>
        <v>0</v>
      </c>
    </row>
    <row r="36" spans="1:40" ht="12.75" x14ac:dyDescent="0.2">
      <c r="A36" s="185">
        <v>2952014</v>
      </c>
      <c r="B36" s="212" t="s">
        <v>242</v>
      </c>
      <c r="C36" s="67">
        <v>2014</v>
      </c>
      <c r="D36" s="49">
        <f t="shared" si="11"/>
        <v>51043.810081481934</v>
      </c>
      <c r="E36" s="245">
        <v>0</v>
      </c>
      <c r="F36" s="49">
        <f t="shared" si="12"/>
        <v>51043.810081481934</v>
      </c>
      <c r="G36" s="49">
        <f t="shared" si="13"/>
        <v>12321</v>
      </c>
      <c r="H36" s="49">
        <f t="shared" si="14"/>
        <v>230929</v>
      </c>
      <c r="I36" s="49">
        <f t="shared" si="15"/>
        <v>233238.29</v>
      </c>
      <c r="J36" s="47">
        <f t="shared" si="16"/>
        <v>19011</v>
      </c>
      <c r="K36" s="47">
        <f t="shared" si="17"/>
        <v>7623</v>
      </c>
      <c r="L36" s="47">
        <f t="shared" si="18"/>
        <v>0</v>
      </c>
      <c r="M36" s="49">
        <f t="shared" si="19"/>
        <v>4235</v>
      </c>
      <c r="N36" s="245">
        <v>44565.03125</v>
      </c>
      <c r="O36" s="245">
        <v>10654</v>
      </c>
      <c r="P36" s="245">
        <v>207294.42</v>
      </c>
      <c r="Q36" s="245">
        <v>19011</v>
      </c>
      <c r="R36" s="245">
        <v>3714</v>
      </c>
      <c r="S36" s="245">
        <v>0</v>
      </c>
      <c r="T36" s="245">
        <v>6478.7788314819336</v>
      </c>
      <c r="U36" s="245">
        <v>1667</v>
      </c>
      <c r="V36" s="245">
        <v>25943.87</v>
      </c>
      <c r="W36" s="245">
        <v>7623</v>
      </c>
      <c r="X36" s="245">
        <v>521</v>
      </c>
      <c r="Y36" s="245">
        <v>0</v>
      </c>
      <c r="Z36" s="245">
        <v>0</v>
      </c>
      <c r="AA36" s="245">
        <v>0</v>
      </c>
      <c r="AB36" s="245"/>
      <c r="AC36" s="245">
        <v>0</v>
      </c>
      <c r="AD36" s="250">
        <v>259.70000028610229</v>
      </c>
      <c r="AE36" s="47">
        <f>N36*Forutsetninger!$C$23</f>
        <v>46883.689200477325</v>
      </c>
      <c r="AF36" s="47">
        <f t="shared" si="20"/>
        <v>4937.1567054390907</v>
      </c>
      <c r="AG36" s="47">
        <f>S36*Forutsetninger!$C$17</f>
        <v>0</v>
      </c>
      <c r="AH36" s="47">
        <f>AE36+O36+AF36+R36*Forutsetninger!$C$17-AG36</f>
        <v>66403.167308399978</v>
      </c>
      <c r="AI36" s="47">
        <f>AH36+P36*Forutsetninger!$B$5</f>
        <v>79504.174652399975</v>
      </c>
      <c r="AJ36" s="47">
        <f>T36*Forutsetninger!$C$23</f>
        <v>6815.860880470731</v>
      </c>
      <c r="AK36" s="47">
        <f t="shared" si="21"/>
        <v>1979.6931021809578</v>
      </c>
      <c r="AL36" s="47">
        <f>AJ36+U36+AK36+X36*Forutsetninger!$C$17</f>
        <v>11013.618993608592</v>
      </c>
      <c r="AM36" s="26">
        <f>(T36-E36)*Forutsetninger!$C$23+X36*Forutsetninger!$C$17+U36+V36*Forutsetninger!$B$5</f>
        <v>10673.578475427634</v>
      </c>
      <c r="AN36" s="26">
        <f>(Y36*Forutsetninger!$C$23)+Z36+(AC36*Forutsetninger!$C$17)+(AA36*Forutsetninger!$B$5)</f>
        <v>0</v>
      </c>
    </row>
    <row r="37" spans="1:40" s="68" customFormat="1" ht="12.75" x14ac:dyDescent="0.2">
      <c r="A37" s="185">
        <v>622014</v>
      </c>
      <c r="B37" s="212" t="s">
        <v>207</v>
      </c>
      <c r="C37" s="67">
        <v>2014</v>
      </c>
      <c r="D37" s="49">
        <f t="shared" si="11"/>
        <v>41523.8642578125</v>
      </c>
      <c r="E37" s="245">
        <v>0</v>
      </c>
      <c r="F37" s="49">
        <f t="shared" si="12"/>
        <v>41523.8642578125</v>
      </c>
      <c r="G37" s="49">
        <f t="shared" si="13"/>
        <v>15493</v>
      </c>
      <c r="H37" s="49">
        <f t="shared" si="14"/>
        <v>259887</v>
      </c>
      <c r="I37" s="49">
        <f t="shared" si="15"/>
        <v>262485.87</v>
      </c>
      <c r="J37" s="47">
        <f t="shared" si="16"/>
        <v>16568</v>
      </c>
      <c r="K37" s="47">
        <f t="shared" si="17"/>
        <v>3039</v>
      </c>
      <c r="L37" s="47">
        <f t="shared" si="18"/>
        <v>0</v>
      </c>
      <c r="M37" s="49">
        <f t="shared" si="19"/>
        <v>2779</v>
      </c>
      <c r="N37" s="245">
        <v>38311.8642578125</v>
      </c>
      <c r="O37" s="245">
        <v>13242</v>
      </c>
      <c r="P37" s="245">
        <v>229460.89</v>
      </c>
      <c r="Q37" s="245">
        <v>16568</v>
      </c>
      <c r="R37" s="245">
        <v>2779</v>
      </c>
      <c r="S37" s="245">
        <v>0</v>
      </c>
      <c r="T37" s="245">
        <v>3212</v>
      </c>
      <c r="U37" s="245">
        <v>2251</v>
      </c>
      <c r="V37" s="245">
        <v>33024.980000000003</v>
      </c>
      <c r="W37" s="245">
        <v>3039</v>
      </c>
      <c r="X37" s="245">
        <v>0</v>
      </c>
      <c r="Y37" s="245">
        <v>0</v>
      </c>
      <c r="Z37" s="245">
        <v>0</v>
      </c>
      <c r="AA37" s="245">
        <v>0</v>
      </c>
      <c r="AB37" s="245"/>
      <c r="AC37" s="245">
        <v>0</v>
      </c>
      <c r="AD37" s="250">
        <v>259.70000028610229</v>
      </c>
      <c r="AE37" s="47">
        <f>N37*Forutsetninger!$C$23</f>
        <v>40305.178436381262</v>
      </c>
      <c r="AF37" s="47">
        <f t="shared" si="20"/>
        <v>4302.7096047401428</v>
      </c>
      <c r="AG37" s="47">
        <f>S37*Forutsetninger!$C$17</f>
        <v>0</v>
      </c>
      <c r="AH37" s="47">
        <f>AE37+O37+AF37+R37*Forutsetninger!$C$17-AG37</f>
        <v>60789.254001676556</v>
      </c>
      <c r="AI37" s="47">
        <f>AH37+P37*Forutsetninger!$B$5</f>
        <v>75291.182249676553</v>
      </c>
      <c r="AJ37" s="47">
        <f>T37*Forutsetninger!$C$23</f>
        <v>3379.1159904534607</v>
      </c>
      <c r="AK37" s="47">
        <f t="shared" si="21"/>
        <v>789.22830086946487</v>
      </c>
      <c r="AL37" s="47">
        <f>AJ37+U37+AK37+X37*Forutsetninger!$C$17</f>
        <v>6419.3442913229255</v>
      </c>
      <c r="AM37" s="26">
        <f>(T37-E37)*Forutsetninger!$C$23+X37*Forutsetninger!$C$17+U37+V37*Forutsetninger!$B$5</f>
        <v>7717.2947264534614</v>
      </c>
      <c r="AN37" s="26">
        <f>(Y37*Forutsetninger!$C$23)+Z37+(AC37*Forutsetninger!$C$17)+(AA37*Forutsetninger!$B$5)</f>
        <v>0</v>
      </c>
    </row>
    <row r="38" spans="1:40" s="68" customFormat="1" ht="12.75" x14ac:dyDescent="0.2">
      <c r="A38" s="185">
        <v>6752014</v>
      </c>
      <c r="B38" s="212" t="s">
        <v>134</v>
      </c>
      <c r="C38" s="67">
        <v>2014</v>
      </c>
      <c r="D38" s="49">
        <f t="shared" si="11"/>
        <v>1516792.6591796875</v>
      </c>
      <c r="E38" s="245">
        <v>3578</v>
      </c>
      <c r="F38" s="49">
        <f t="shared" si="12"/>
        <v>1513214.6591796875</v>
      </c>
      <c r="G38" s="49">
        <f t="shared" si="13"/>
        <v>420018</v>
      </c>
      <c r="H38" s="49">
        <f t="shared" si="14"/>
        <v>7488217</v>
      </c>
      <c r="I38" s="49">
        <f t="shared" si="15"/>
        <v>7563099.1699999999</v>
      </c>
      <c r="J38" s="47">
        <f t="shared" si="16"/>
        <v>744632</v>
      </c>
      <c r="K38" s="47">
        <f t="shared" si="17"/>
        <v>348031</v>
      </c>
      <c r="L38" s="47">
        <f t="shared" si="18"/>
        <v>0</v>
      </c>
      <c r="M38" s="49">
        <f t="shared" si="19"/>
        <v>92210</v>
      </c>
      <c r="N38" s="245">
        <v>1155573.1640625</v>
      </c>
      <c r="O38" s="245">
        <v>289458</v>
      </c>
      <c r="P38" s="245">
        <v>4876544.62</v>
      </c>
      <c r="Q38" s="245">
        <v>744632</v>
      </c>
      <c r="R38" s="245">
        <v>71023</v>
      </c>
      <c r="S38" s="245">
        <v>0</v>
      </c>
      <c r="T38" s="245">
        <v>357740.7041015625</v>
      </c>
      <c r="U38" s="245">
        <v>129640</v>
      </c>
      <c r="V38" s="245">
        <v>2677237.2999999998</v>
      </c>
      <c r="W38" s="245">
        <v>348031</v>
      </c>
      <c r="X38" s="245">
        <v>21187</v>
      </c>
      <c r="Y38" s="245">
        <v>3478.791015625</v>
      </c>
      <c r="Z38" s="245">
        <v>920</v>
      </c>
      <c r="AA38" s="245">
        <v>9317.25</v>
      </c>
      <c r="AB38" s="245"/>
      <c r="AC38" s="245">
        <v>0</v>
      </c>
      <c r="AD38" s="250">
        <v>259.70000028610229</v>
      </c>
      <c r="AE38" s="47">
        <f>N38*Forutsetninger!$C$23</f>
        <v>1215696.0637678998</v>
      </c>
      <c r="AF38" s="47">
        <f t="shared" si="20"/>
        <v>193380.93061304092</v>
      </c>
      <c r="AG38" s="47">
        <f>S38*Forutsetninger!$C$17</f>
        <v>0</v>
      </c>
      <c r="AH38" s="47">
        <f>AE38+O38+AF38+R38*Forutsetninger!$C$17-AG38</f>
        <v>1773656.472832365</v>
      </c>
      <c r="AI38" s="47">
        <f>AH38+P38*Forutsetninger!$B$5</f>
        <v>2081854.092816365</v>
      </c>
      <c r="AJ38" s="47">
        <f>T38*Forutsetninger!$C$23</f>
        <v>376353.4662720018</v>
      </c>
      <c r="AK38" s="47">
        <f t="shared" si="21"/>
        <v>90383.650799572468</v>
      </c>
      <c r="AL38" s="47">
        <f>AJ38+U38+AK38+X38*Forutsetninger!$C$17</f>
        <v>618786.74161503674</v>
      </c>
      <c r="AM38" s="26">
        <f>(T38-E38)*Forutsetninger!$C$23+X38*Forutsetninger!$C$17+U38+V38*Forutsetninger!$B$5</f>
        <v>693840.3297029105</v>
      </c>
      <c r="AN38" s="26">
        <f>(Y38*Forutsetninger!$C$23)+Z38+(AC38*Forutsetninger!$C$17)+(AA38*Forutsetninger!$B$5)</f>
        <v>5168.6379796837709</v>
      </c>
    </row>
    <row r="39" spans="1:40" s="68" customFormat="1" ht="12.75" x14ac:dyDescent="0.2">
      <c r="A39" s="185">
        <v>2752014</v>
      </c>
      <c r="B39" s="212" t="s">
        <v>240</v>
      </c>
      <c r="C39" s="67">
        <v>2014</v>
      </c>
      <c r="D39" s="49">
        <f t="shared" si="11"/>
        <v>73432.920852661133</v>
      </c>
      <c r="E39" s="245">
        <v>0</v>
      </c>
      <c r="F39" s="49">
        <f t="shared" si="12"/>
        <v>73432.920852661133</v>
      </c>
      <c r="G39" s="49">
        <f t="shared" si="13"/>
        <v>20456</v>
      </c>
      <c r="H39" s="49">
        <f t="shared" si="14"/>
        <v>276940</v>
      </c>
      <c r="I39" s="49">
        <f t="shared" si="15"/>
        <v>279709.40000000002</v>
      </c>
      <c r="J39" s="47">
        <f t="shared" si="16"/>
        <v>32407</v>
      </c>
      <c r="K39" s="47">
        <f t="shared" si="17"/>
        <v>4853</v>
      </c>
      <c r="L39" s="47">
        <f t="shared" si="18"/>
        <v>0</v>
      </c>
      <c r="M39" s="49">
        <f t="shared" si="19"/>
        <v>2594</v>
      </c>
      <c r="N39" s="245">
        <v>65727.36865234375</v>
      </c>
      <c r="O39" s="245">
        <v>16886</v>
      </c>
      <c r="P39" s="245">
        <v>219764.89</v>
      </c>
      <c r="Q39" s="245">
        <v>32407</v>
      </c>
      <c r="R39" s="245">
        <v>2594</v>
      </c>
      <c r="S39" s="245">
        <v>0</v>
      </c>
      <c r="T39" s="245">
        <v>7705.5522003173828</v>
      </c>
      <c r="U39" s="245">
        <v>3570</v>
      </c>
      <c r="V39" s="245">
        <v>59944.51</v>
      </c>
      <c r="W39" s="245">
        <v>4853</v>
      </c>
      <c r="X39" s="245">
        <v>0</v>
      </c>
      <c r="Y39" s="245">
        <v>0</v>
      </c>
      <c r="Z39" s="245">
        <v>0</v>
      </c>
      <c r="AA39" s="245">
        <v>0</v>
      </c>
      <c r="AB39" s="245"/>
      <c r="AC39" s="245">
        <v>0</v>
      </c>
      <c r="AD39" s="250">
        <v>246.69000506401062</v>
      </c>
      <c r="AE39" s="47">
        <f>N39*Forutsetninger!$C$23</f>
        <v>69147.074229005069</v>
      </c>
      <c r="AF39" s="47">
        <f t="shared" si="20"/>
        <v>7994.4829941093922</v>
      </c>
      <c r="AG39" s="47">
        <f>S39*Forutsetninger!$C$17</f>
        <v>0</v>
      </c>
      <c r="AH39" s="47">
        <f>AE39+O39+AF39+R39*Forutsetninger!$C$17-AG39</f>
        <v>96771.247507993932</v>
      </c>
      <c r="AI39" s="47">
        <f>AH39+P39*Forutsetninger!$B$5</f>
        <v>110660.38855599394</v>
      </c>
      <c r="AJ39" s="47">
        <f>T39*Forutsetninger!$C$23</f>
        <v>8106.4615988064497</v>
      </c>
      <c r="AK39" s="47">
        <f t="shared" si="21"/>
        <v>1197.1865945756435</v>
      </c>
      <c r="AL39" s="47">
        <f>AJ39+U39+AK39+X39*Forutsetninger!$C$17</f>
        <v>12873.648193382094</v>
      </c>
      <c r="AM39" s="26">
        <f>(T39-E39)*Forutsetninger!$C$23+X39*Forutsetninger!$C$17+U39+V39*Forutsetninger!$B$5</f>
        <v>15464.954630806451</v>
      </c>
      <c r="AN39" s="26">
        <f>(Y39*Forutsetninger!$C$23)+Z39+(AC39*Forutsetninger!$C$17)+(AA39*Forutsetninger!$B$5)</f>
        <v>0</v>
      </c>
    </row>
    <row r="40" spans="1:40" s="68" customFormat="1" ht="12.75" x14ac:dyDescent="0.2">
      <c r="A40" s="185">
        <v>652014</v>
      </c>
      <c r="B40" s="212" t="s">
        <v>209</v>
      </c>
      <c r="C40" s="67">
        <v>2014</v>
      </c>
      <c r="D40" s="49">
        <f t="shared" si="11"/>
        <v>38158.321411132813</v>
      </c>
      <c r="E40" s="245">
        <v>0</v>
      </c>
      <c r="F40" s="49">
        <f t="shared" si="12"/>
        <v>38158.321411132813</v>
      </c>
      <c r="G40" s="49">
        <f t="shared" si="13"/>
        <v>11823</v>
      </c>
      <c r="H40" s="49">
        <f t="shared" si="14"/>
        <v>193239</v>
      </c>
      <c r="I40" s="49">
        <f t="shared" si="15"/>
        <v>195171.39</v>
      </c>
      <c r="J40" s="47">
        <f t="shared" si="16"/>
        <v>16111</v>
      </c>
      <c r="K40" s="47">
        <f t="shared" si="17"/>
        <v>3536</v>
      </c>
      <c r="L40" s="47">
        <f t="shared" si="18"/>
        <v>0</v>
      </c>
      <c r="M40" s="49">
        <f t="shared" si="19"/>
        <v>2923</v>
      </c>
      <c r="N40" s="245">
        <v>30276.050537109375</v>
      </c>
      <c r="O40" s="245">
        <v>8691</v>
      </c>
      <c r="P40" s="245">
        <v>122560.47</v>
      </c>
      <c r="Q40" s="245">
        <v>16111</v>
      </c>
      <c r="R40" s="245">
        <v>2243</v>
      </c>
      <c r="S40" s="245">
        <v>0</v>
      </c>
      <c r="T40" s="245">
        <v>7882.2708740234375</v>
      </c>
      <c r="U40" s="245">
        <v>3132</v>
      </c>
      <c r="V40" s="245">
        <v>72610.92</v>
      </c>
      <c r="W40" s="245">
        <v>3536</v>
      </c>
      <c r="X40" s="245">
        <v>680</v>
      </c>
      <c r="Y40" s="245">
        <v>0</v>
      </c>
      <c r="Z40" s="245">
        <v>0</v>
      </c>
      <c r="AA40" s="245">
        <v>0</v>
      </c>
      <c r="AB40" s="245"/>
      <c r="AC40" s="245">
        <v>0</v>
      </c>
      <c r="AD40" s="250">
        <v>244.45000290870667</v>
      </c>
      <c r="AE40" s="47">
        <f>N40*Forutsetninger!$C$23</f>
        <v>31851.272259565183</v>
      </c>
      <c r="AF40" s="47">
        <f t="shared" si="20"/>
        <v>3938.3339968621731</v>
      </c>
      <c r="AG40" s="47">
        <f>S40*Forutsetninger!$C$17</f>
        <v>0</v>
      </c>
      <c r="AH40" s="47">
        <f>AE40+O40+AF40+R40*Forutsetninger!$C$17-AG40</f>
        <v>46853.041610700551</v>
      </c>
      <c r="AI40" s="47">
        <f>AH40+P40*Forutsetninger!$B$5</f>
        <v>54598.863314700553</v>
      </c>
      <c r="AJ40" s="47">
        <f>T40*Forutsetninger!$C$23</f>
        <v>8292.3747047005527</v>
      </c>
      <c r="AK40" s="47">
        <f t="shared" si="21"/>
        <v>864.37521028518677</v>
      </c>
      <c r="AL40" s="47">
        <f>AJ40+U40+AK40+X40*Forutsetninger!$C$17</f>
        <v>13007.990236388223</v>
      </c>
      <c r="AM40" s="26">
        <f>(T40-E40)*Forutsetninger!$C$23+X40*Forutsetninger!$C$17+U40+V40*Forutsetninger!$B$5</f>
        <v>16732.625170103038</v>
      </c>
      <c r="AN40" s="26">
        <f>(Y40*Forutsetninger!$C$23)+Z40+(AC40*Forutsetninger!$C$17)+(AA40*Forutsetninger!$B$5)</f>
        <v>0</v>
      </c>
    </row>
    <row r="41" spans="1:40" s="68" customFormat="1" ht="12.75" x14ac:dyDescent="0.2">
      <c r="A41" s="185">
        <v>2382014</v>
      </c>
      <c r="B41" s="212" t="s">
        <v>112</v>
      </c>
      <c r="C41" s="67">
        <v>2014</v>
      </c>
      <c r="D41" s="49">
        <f t="shared" si="11"/>
        <v>30852.891870498657</v>
      </c>
      <c r="E41" s="245">
        <v>0</v>
      </c>
      <c r="F41" s="49">
        <f t="shared" si="12"/>
        <v>30852.891870498657</v>
      </c>
      <c r="G41" s="49">
        <f t="shared" si="13"/>
        <v>8663</v>
      </c>
      <c r="H41" s="49">
        <f t="shared" si="14"/>
        <v>111509</v>
      </c>
      <c r="I41" s="49">
        <f t="shared" si="15"/>
        <v>112624.09</v>
      </c>
      <c r="J41" s="47">
        <f t="shared" si="16"/>
        <v>10070</v>
      </c>
      <c r="K41" s="47">
        <f t="shared" si="17"/>
        <v>1118</v>
      </c>
      <c r="L41" s="47">
        <f t="shared" si="18"/>
        <v>0</v>
      </c>
      <c r="M41" s="49">
        <f t="shared" si="19"/>
        <v>1323</v>
      </c>
      <c r="N41" s="245">
        <v>30747.857666015625</v>
      </c>
      <c r="O41" s="245">
        <v>8431</v>
      </c>
      <c r="P41" s="245">
        <v>107310.48</v>
      </c>
      <c r="Q41" s="245">
        <v>10070</v>
      </c>
      <c r="R41" s="245">
        <v>1323</v>
      </c>
      <c r="S41" s="245">
        <v>329.04000854492187</v>
      </c>
      <c r="T41" s="245">
        <v>105.03420448303223</v>
      </c>
      <c r="U41" s="245">
        <v>232</v>
      </c>
      <c r="V41" s="245">
        <v>5313.61</v>
      </c>
      <c r="W41" s="245">
        <v>1118</v>
      </c>
      <c r="X41" s="245">
        <v>0</v>
      </c>
      <c r="Y41" s="245">
        <v>0</v>
      </c>
      <c r="Z41" s="245">
        <v>0</v>
      </c>
      <c r="AA41" s="245">
        <v>0</v>
      </c>
      <c r="AB41" s="245"/>
      <c r="AC41" s="245">
        <v>0</v>
      </c>
      <c r="AD41" s="250">
        <v>246.69000506401062</v>
      </c>
      <c r="AE41" s="47">
        <f>N41*Forutsetninger!$C$23</f>
        <v>32347.626871550565</v>
      </c>
      <c r="AF41" s="47">
        <f t="shared" si="20"/>
        <v>2484.1683509945869</v>
      </c>
      <c r="AG41" s="47">
        <f>S41*Forutsetninger!$C$17</f>
        <v>348.0277080884199</v>
      </c>
      <c r="AH41" s="47">
        <f>AE41+O41+AF41+R41*Forutsetninger!$C$17-AG41</f>
        <v>44314.113022126563</v>
      </c>
      <c r="AI41" s="47">
        <f>AH41+P41*Forutsetninger!$B$5</f>
        <v>51096.135358126565</v>
      </c>
      <c r="AJ41" s="47">
        <f>T41*Forutsetninger!$C$23</f>
        <v>110.49899125565777</v>
      </c>
      <c r="AK41" s="47">
        <f t="shared" si="21"/>
        <v>275.79942566156387</v>
      </c>
      <c r="AL41" s="47">
        <f>AJ41+U41+AK41+X41*Forutsetninger!$C$17</f>
        <v>618.29841691722163</v>
      </c>
      <c r="AM41" s="26">
        <f>(T41-E41)*Forutsetninger!$C$23+X41*Forutsetninger!$C$17+U41+V41*Forutsetninger!$B$5</f>
        <v>678.31914325565776</v>
      </c>
      <c r="AN41" s="26">
        <f>(Y41*Forutsetninger!$C$23)+Z41+(AC41*Forutsetninger!$C$17)+(AA41*Forutsetninger!$B$5)</f>
        <v>0</v>
      </c>
    </row>
    <row r="42" spans="1:40" s="68" customFormat="1" ht="12.75" x14ac:dyDescent="0.2">
      <c r="A42" s="185">
        <v>5032014</v>
      </c>
      <c r="B42" s="212" t="s">
        <v>121</v>
      </c>
      <c r="C42" s="67">
        <v>2014</v>
      </c>
      <c r="D42" s="49">
        <f t="shared" si="11"/>
        <v>153125.19195365906</v>
      </c>
      <c r="E42" s="245">
        <v>0</v>
      </c>
      <c r="F42" s="49">
        <f t="shared" si="12"/>
        <v>153125.19195365906</v>
      </c>
      <c r="G42" s="49">
        <f t="shared" si="13"/>
        <v>63419</v>
      </c>
      <c r="H42" s="49">
        <f t="shared" si="14"/>
        <v>946687</v>
      </c>
      <c r="I42" s="49">
        <f t="shared" si="15"/>
        <v>956153.87</v>
      </c>
      <c r="J42" s="47">
        <f t="shared" si="16"/>
        <v>54723</v>
      </c>
      <c r="K42" s="47">
        <f t="shared" si="17"/>
        <v>16703</v>
      </c>
      <c r="L42" s="47">
        <f t="shared" si="18"/>
        <v>0</v>
      </c>
      <c r="M42" s="49">
        <f t="shared" si="19"/>
        <v>21131</v>
      </c>
      <c r="N42" s="245">
        <v>133572.28515625</v>
      </c>
      <c r="O42" s="245">
        <v>47964</v>
      </c>
      <c r="P42" s="245">
        <v>800529.03</v>
      </c>
      <c r="Q42" s="245">
        <v>54723</v>
      </c>
      <c r="R42" s="245">
        <v>19824</v>
      </c>
      <c r="S42" s="245">
        <v>0</v>
      </c>
      <c r="T42" s="245">
        <v>17292.214965820313</v>
      </c>
      <c r="U42" s="245">
        <v>13665</v>
      </c>
      <c r="V42" s="245">
        <v>138656.84</v>
      </c>
      <c r="W42" s="245">
        <v>16703</v>
      </c>
      <c r="X42" s="245">
        <v>1307</v>
      </c>
      <c r="Y42" s="245">
        <v>2260.6918315887451</v>
      </c>
      <c r="Z42" s="245">
        <v>1790</v>
      </c>
      <c r="AA42" s="245">
        <v>16968</v>
      </c>
      <c r="AB42" s="245"/>
      <c r="AC42" s="245">
        <v>0</v>
      </c>
      <c r="AD42" s="250">
        <v>247.85000085830688</v>
      </c>
      <c r="AE42" s="47">
        <f>N42*Forutsetninger!$C$23</f>
        <v>140521.86944361575</v>
      </c>
      <c r="AF42" s="47">
        <f t="shared" si="20"/>
        <v>13563.095596969128</v>
      </c>
      <c r="AG42" s="47">
        <f>S42*Forutsetninger!$C$17</f>
        <v>0</v>
      </c>
      <c r="AH42" s="47">
        <f>AE42+O42+AF42+R42*Forutsetninger!$C$17-AG42</f>
        <v>223016.93582217727</v>
      </c>
      <c r="AI42" s="47">
        <f>AH42+P42*Forutsetninger!$B$5</f>
        <v>273610.37051817728</v>
      </c>
      <c r="AJ42" s="47">
        <f>T42*Forutsetninger!$C$23</f>
        <v>18191.905386476355</v>
      </c>
      <c r="AK42" s="47">
        <f t="shared" si="21"/>
        <v>4139.8385643362999</v>
      </c>
      <c r="AL42" s="47">
        <f>AJ42+U42+AK42+X42*Forutsetninger!$C$17</f>
        <v>37379.166156802428</v>
      </c>
      <c r="AM42" s="26">
        <f>(T42-E42)*Forutsetninger!$C$23+X42*Forutsetninger!$C$17+U42+V42*Forutsetninger!$B$5</f>
        <v>42002.439880466132</v>
      </c>
      <c r="AN42" s="26">
        <f>(Y42*Forutsetninger!$C$23)+Z42+(AC42*Forutsetninger!$C$17)+(AA42*Forutsetninger!$B$5)</f>
        <v>5240.6901521821455</v>
      </c>
    </row>
    <row r="43" spans="1:40" s="68" customFormat="1" ht="12.75" x14ac:dyDescent="0.2">
      <c r="A43" s="185">
        <v>712014</v>
      </c>
      <c r="B43" s="212" t="s">
        <v>268</v>
      </c>
      <c r="C43" s="67">
        <v>2014</v>
      </c>
      <c r="D43" s="49">
        <f t="shared" si="11"/>
        <v>228123.31494140625</v>
      </c>
      <c r="E43" s="245">
        <v>438</v>
      </c>
      <c r="F43" s="49">
        <f t="shared" si="12"/>
        <v>227685.31494140625</v>
      </c>
      <c r="G43" s="49">
        <f t="shared" si="13"/>
        <v>93444</v>
      </c>
      <c r="H43" s="47">
        <f t="shared" si="14"/>
        <v>1259367</v>
      </c>
      <c r="I43" s="49">
        <f t="shared" si="15"/>
        <v>1271960.67</v>
      </c>
      <c r="J43" s="47">
        <f t="shared" si="16"/>
        <v>89416</v>
      </c>
      <c r="K43" s="47">
        <f t="shared" si="17"/>
        <v>59777</v>
      </c>
      <c r="L43" s="47">
        <f t="shared" si="18"/>
        <v>0</v>
      </c>
      <c r="M43" s="49">
        <f t="shared" si="19"/>
        <v>22682</v>
      </c>
      <c r="N43" s="245">
        <v>170582.5419921875</v>
      </c>
      <c r="O43" s="245">
        <v>58355</v>
      </c>
      <c r="P43" s="245">
        <v>826967.8</v>
      </c>
      <c r="Q43" s="245">
        <v>89416</v>
      </c>
      <c r="R43" s="245">
        <v>18684</v>
      </c>
      <c r="S43" s="245">
        <v>0</v>
      </c>
      <c r="T43" s="245">
        <v>57540.77294921875</v>
      </c>
      <c r="U43" s="245">
        <v>35089</v>
      </c>
      <c r="V43" s="245">
        <v>444992.87</v>
      </c>
      <c r="W43" s="245">
        <v>59777</v>
      </c>
      <c r="X43" s="245">
        <v>3998</v>
      </c>
      <c r="Y43" s="245">
        <v>0</v>
      </c>
      <c r="Z43" s="245">
        <v>0</v>
      </c>
      <c r="AA43" s="245">
        <v>0</v>
      </c>
      <c r="AB43" s="245"/>
      <c r="AC43" s="245">
        <v>0</v>
      </c>
      <c r="AD43" s="250">
        <v>244.45000290870667</v>
      </c>
      <c r="AE43" s="47">
        <f>N43*Forutsetninger!$C$23</f>
        <v>179457.71959464499</v>
      </c>
      <c r="AF43" s="47">
        <f t="shared" si="20"/>
        <v>21857.741460084915</v>
      </c>
      <c r="AG43" s="47">
        <f>S43*Forutsetninger!$C$17</f>
        <v>0</v>
      </c>
      <c r="AH43" s="47">
        <f>AE43+O43+AF43+R43*Forutsetninger!$C$17-AG43</f>
        <v>279432.64659161813</v>
      </c>
      <c r="AI43" s="47">
        <f>AH43+P43*Forutsetninger!$B$5</f>
        <v>331697.01155161811</v>
      </c>
      <c r="AJ43" s="47">
        <f>T43*Forutsetninger!$C$23</f>
        <v>60534.541088342783</v>
      </c>
      <c r="AK43" s="47">
        <f t="shared" si="21"/>
        <v>14612.487823873758</v>
      </c>
      <c r="AL43" s="47">
        <f>AJ43+U43+AK43+X43*Forutsetninger!$C$17</f>
        <v>114464.73891952114</v>
      </c>
      <c r="AM43" s="26">
        <f>(T43-E43)*Forutsetninger!$C$23+X43*Forutsetninger!$C$17+U43+V43*Forutsetninger!$B$5</f>
        <v>127515.01193549464</v>
      </c>
      <c r="AN43" s="26">
        <f>(Y43*Forutsetninger!$C$23)+Z43+(AC43*Forutsetninger!$C$17)+(AA43*Forutsetninger!$B$5)</f>
        <v>0</v>
      </c>
    </row>
    <row r="44" spans="1:40" s="68" customFormat="1" ht="12.75" x14ac:dyDescent="0.2">
      <c r="A44" s="185">
        <v>722014</v>
      </c>
      <c r="B44" s="212" t="s">
        <v>37</v>
      </c>
      <c r="C44" s="67">
        <v>2014</v>
      </c>
      <c r="D44" s="49">
        <f t="shared" si="11"/>
        <v>19812.907470703125</v>
      </c>
      <c r="E44" s="245">
        <v>0</v>
      </c>
      <c r="F44" s="49">
        <f t="shared" si="12"/>
        <v>19812.907470703125</v>
      </c>
      <c r="G44" s="49">
        <f t="shared" si="13"/>
        <v>6051</v>
      </c>
      <c r="H44" s="49">
        <f t="shared" si="14"/>
        <v>55559</v>
      </c>
      <c r="I44" s="49">
        <f t="shared" si="15"/>
        <v>56114.590000000004</v>
      </c>
      <c r="J44" s="47">
        <f t="shared" si="16"/>
        <v>3232</v>
      </c>
      <c r="K44" s="47">
        <f t="shared" si="17"/>
        <v>0</v>
      </c>
      <c r="L44" s="47">
        <f t="shared" si="18"/>
        <v>0</v>
      </c>
      <c r="M44" s="49">
        <f t="shared" si="19"/>
        <v>913</v>
      </c>
      <c r="N44" s="245">
        <v>19812.907470703125</v>
      </c>
      <c r="O44" s="245">
        <v>6051</v>
      </c>
      <c r="P44" s="245">
        <v>56114.590000000004</v>
      </c>
      <c r="Q44" s="245">
        <v>3232</v>
      </c>
      <c r="R44" s="245">
        <v>913</v>
      </c>
      <c r="S44" s="245">
        <v>0</v>
      </c>
      <c r="T44" s="245">
        <v>0</v>
      </c>
      <c r="U44" s="245">
        <v>0</v>
      </c>
      <c r="V44" s="245">
        <v>0</v>
      </c>
      <c r="W44" s="245">
        <v>0</v>
      </c>
      <c r="X44" s="245">
        <v>0</v>
      </c>
      <c r="Y44" s="245">
        <v>0</v>
      </c>
      <c r="Z44" s="245">
        <v>0</v>
      </c>
      <c r="AA44" s="245">
        <v>0</v>
      </c>
      <c r="AB44" s="245"/>
      <c r="AC44" s="245">
        <v>0</v>
      </c>
      <c r="AD44" s="250">
        <v>276.60000324249268</v>
      </c>
      <c r="AE44" s="47">
        <f>N44*Forutsetninger!$C$23</f>
        <v>20843.746093283858</v>
      </c>
      <c r="AF44" s="47">
        <f t="shared" si="20"/>
        <v>893.97121047973633</v>
      </c>
      <c r="AG44" s="47">
        <f>S44*Forutsetninger!$C$17</f>
        <v>0</v>
      </c>
      <c r="AH44" s="47">
        <f>AE44+O44+AF44+R44*Forutsetninger!$C$17-AG44</f>
        <v>28754.403205881928</v>
      </c>
      <c r="AI44" s="47">
        <f>AH44+P44*Forutsetninger!$B$5</f>
        <v>32300.845293881928</v>
      </c>
      <c r="AJ44" s="47">
        <f>T44*Forutsetninger!$C$23</f>
        <v>0</v>
      </c>
      <c r="AK44" s="47">
        <f t="shared" si="21"/>
        <v>0</v>
      </c>
      <c r="AL44" s="47">
        <f>AJ44+U44+AK44+X44*Forutsetninger!$C$17</f>
        <v>0</v>
      </c>
      <c r="AM44" s="26">
        <f>(T44-E44)*Forutsetninger!$C$23+X44*Forutsetninger!$C$17+U44+V44*Forutsetninger!$B$5</f>
        <v>0</v>
      </c>
      <c r="AN44" s="26">
        <f>(Y44*Forutsetninger!$C$23)+Z44+(AC44*Forutsetninger!$C$17)+(AA44*Forutsetninger!$B$5)</f>
        <v>0</v>
      </c>
    </row>
    <row r="45" spans="1:40" s="68" customFormat="1" ht="12.75" x14ac:dyDescent="0.2">
      <c r="A45" s="185">
        <v>3432014</v>
      </c>
      <c r="B45" s="212" t="s">
        <v>50</v>
      </c>
      <c r="C45" s="67">
        <v>2014</v>
      </c>
      <c r="D45" s="49">
        <f t="shared" si="11"/>
        <v>12228.533874511719</v>
      </c>
      <c r="E45" s="245">
        <v>0</v>
      </c>
      <c r="F45" s="49">
        <f t="shared" si="12"/>
        <v>12228.533874511719</v>
      </c>
      <c r="G45" s="49">
        <f t="shared" si="13"/>
        <v>7524</v>
      </c>
      <c r="H45" s="49">
        <f t="shared" si="14"/>
        <v>103853</v>
      </c>
      <c r="I45" s="49">
        <f t="shared" si="15"/>
        <v>104891.53</v>
      </c>
      <c r="J45" s="47">
        <f t="shared" si="16"/>
        <v>4231</v>
      </c>
      <c r="K45" s="47">
        <f t="shared" si="17"/>
        <v>700</v>
      </c>
      <c r="L45" s="47">
        <f t="shared" si="18"/>
        <v>0</v>
      </c>
      <c r="M45" s="49">
        <f t="shared" si="19"/>
        <v>1122</v>
      </c>
      <c r="N45" s="245">
        <v>9693.9390869140625</v>
      </c>
      <c r="O45" s="245">
        <v>6318</v>
      </c>
      <c r="P45" s="245">
        <v>80096.03</v>
      </c>
      <c r="Q45" s="245">
        <v>4231</v>
      </c>
      <c r="R45" s="245">
        <v>1122</v>
      </c>
      <c r="S45" s="245">
        <v>0</v>
      </c>
      <c r="T45" s="245">
        <v>2534.5947875976562</v>
      </c>
      <c r="U45" s="245">
        <v>1206</v>
      </c>
      <c r="V45" s="245">
        <v>24795.5</v>
      </c>
      <c r="W45" s="245">
        <v>700</v>
      </c>
      <c r="X45" s="245">
        <v>0</v>
      </c>
      <c r="Y45" s="245">
        <v>0</v>
      </c>
      <c r="Z45" s="245">
        <v>0</v>
      </c>
      <c r="AA45" s="245">
        <v>0</v>
      </c>
      <c r="AB45" s="245"/>
      <c r="AC45" s="245">
        <v>0</v>
      </c>
      <c r="AD45" s="250">
        <v>259.70000028610229</v>
      </c>
      <c r="AE45" s="47">
        <f>N45*Forutsetninger!$C$23</f>
        <v>10198.3015501473</v>
      </c>
      <c r="AF45" s="47">
        <f t="shared" si="20"/>
        <v>1098.7907012104988</v>
      </c>
      <c r="AG45" s="47">
        <f>S45*Forutsetninger!$C$17</f>
        <v>0</v>
      </c>
      <c r="AH45" s="47">
        <f>AE45+O45+AF45+R45*Forutsetninger!$C$17-AG45</f>
        <v>18801.838781671893</v>
      </c>
      <c r="AI45" s="47">
        <f>AH45+P45*Forutsetninger!$B$5</f>
        <v>23863.907877671892</v>
      </c>
      <c r="AJ45" s="47">
        <f>T45*Forutsetninger!$C$23</f>
        <v>2666.466306379587</v>
      </c>
      <c r="AK45" s="47">
        <f t="shared" si="21"/>
        <v>181.79000020027161</v>
      </c>
      <c r="AL45" s="47">
        <f>AJ45+U45+AK45+X45*Forutsetninger!$C$17</f>
        <v>4054.2563065798586</v>
      </c>
      <c r="AM45" s="26">
        <f>(T45-E45)*Forutsetninger!$C$23+X45*Forutsetninger!$C$17+U45+V45*Forutsetninger!$B$5</f>
        <v>5439.5419063795871</v>
      </c>
      <c r="AN45" s="26">
        <f>(Y45*Forutsetninger!$C$23)+Z45+(AC45*Forutsetninger!$C$17)+(AA45*Forutsetninger!$B$5)</f>
        <v>0</v>
      </c>
    </row>
    <row r="46" spans="1:40" s="68" customFormat="1" ht="12.75" x14ac:dyDescent="0.2">
      <c r="A46" s="185">
        <v>8522014</v>
      </c>
      <c r="B46" s="212" t="s">
        <v>10</v>
      </c>
      <c r="C46" s="67">
        <v>2014</v>
      </c>
      <c r="D46" s="49">
        <f t="shared" si="11"/>
        <v>43330.246643066406</v>
      </c>
      <c r="E46" s="245">
        <v>0</v>
      </c>
      <c r="F46" s="49">
        <f t="shared" si="12"/>
        <v>43330.246643066406</v>
      </c>
      <c r="G46" s="49">
        <f t="shared" si="13"/>
        <v>2354</v>
      </c>
      <c r="H46" s="49">
        <f t="shared" si="14"/>
        <v>33154</v>
      </c>
      <c r="I46" s="49">
        <f t="shared" si="15"/>
        <v>33485.54</v>
      </c>
      <c r="J46" s="47">
        <f t="shared" si="16"/>
        <v>5126</v>
      </c>
      <c r="K46" s="47">
        <f t="shared" si="17"/>
        <v>5127</v>
      </c>
      <c r="L46" s="47">
        <f t="shared" si="18"/>
        <v>0</v>
      </c>
      <c r="M46" s="49">
        <f t="shared" si="19"/>
        <v>682</v>
      </c>
      <c r="N46" s="245">
        <v>31615.044921875</v>
      </c>
      <c r="O46" s="245">
        <v>1267</v>
      </c>
      <c r="P46" s="245">
        <v>9554.6</v>
      </c>
      <c r="Q46" s="245">
        <v>5126</v>
      </c>
      <c r="R46" s="245">
        <v>682</v>
      </c>
      <c r="S46" s="245">
        <v>0</v>
      </c>
      <c r="T46" s="245">
        <v>11715.201721191406</v>
      </c>
      <c r="U46" s="245">
        <v>1087</v>
      </c>
      <c r="V46" s="245">
        <v>23930.94</v>
      </c>
      <c r="W46" s="245">
        <v>5127</v>
      </c>
      <c r="X46" s="245">
        <v>0</v>
      </c>
      <c r="Y46" s="245">
        <v>0</v>
      </c>
      <c r="Z46" s="245">
        <v>0</v>
      </c>
      <c r="AA46" s="245">
        <v>0</v>
      </c>
      <c r="AB46" s="245"/>
      <c r="AC46" s="245">
        <v>0</v>
      </c>
      <c r="AD46" s="250">
        <v>247.85000085830688</v>
      </c>
      <c r="AE46" s="47">
        <f>N46*Forutsetninger!$C$23</f>
        <v>33259.932700626494</v>
      </c>
      <c r="AF46" s="47">
        <f t="shared" si="20"/>
        <v>1270.4791043996811</v>
      </c>
      <c r="AG46" s="47">
        <f>S46*Forutsetninger!$C$17</f>
        <v>0</v>
      </c>
      <c r="AH46" s="47">
        <f>AE46+O46+AF46+R46*Forutsetninger!$C$17-AG46</f>
        <v>36518.767539138666</v>
      </c>
      <c r="AI46" s="47">
        <f>AH46+P46*Forutsetninger!$B$5</f>
        <v>37122.618259138668</v>
      </c>
      <c r="AJ46" s="47">
        <f>T46*Forutsetninger!$C$23</f>
        <v>12324.727729597069</v>
      </c>
      <c r="AK46" s="47">
        <f t="shared" si="21"/>
        <v>1270.7269544005394</v>
      </c>
      <c r="AL46" s="47">
        <f>AJ46+U46+AK46+X46*Forutsetninger!$C$17</f>
        <v>14682.454683997608</v>
      </c>
      <c r="AM46" s="26">
        <f>(T46-E46)*Forutsetninger!$C$23+X46*Forutsetninger!$C$17+U46+V46*Forutsetninger!$B$5</f>
        <v>14924.163137597068</v>
      </c>
      <c r="AN46" s="26">
        <f>(Y46*Forutsetninger!$C$23)+Z46+(AC46*Forutsetninger!$C$17)+(AA46*Forutsetninger!$B$5)</f>
        <v>0</v>
      </c>
    </row>
    <row r="47" spans="1:40" s="68" customFormat="1" ht="12.75" x14ac:dyDescent="0.2">
      <c r="A47" s="185">
        <v>1832014</v>
      </c>
      <c r="B47" s="212" t="s">
        <v>49</v>
      </c>
      <c r="C47" s="67">
        <v>2014</v>
      </c>
      <c r="D47" s="49">
        <f t="shared" si="11"/>
        <v>8683.21044921875</v>
      </c>
      <c r="E47" s="245">
        <v>0</v>
      </c>
      <c r="F47" s="49">
        <f t="shared" si="12"/>
        <v>8683.21044921875</v>
      </c>
      <c r="G47" s="49">
        <f t="shared" si="13"/>
        <v>2432</v>
      </c>
      <c r="H47" s="49">
        <f t="shared" si="14"/>
        <v>40093</v>
      </c>
      <c r="I47" s="49">
        <f t="shared" si="15"/>
        <v>40493.93</v>
      </c>
      <c r="J47" s="47">
        <f t="shared" si="16"/>
        <v>1676</v>
      </c>
      <c r="K47" s="47">
        <f t="shared" si="17"/>
        <v>0</v>
      </c>
      <c r="L47" s="47">
        <f t="shared" si="18"/>
        <v>0</v>
      </c>
      <c r="M47" s="49">
        <f t="shared" si="19"/>
        <v>601</v>
      </c>
      <c r="N47" s="245">
        <v>8683.21044921875</v>
      </c>
      <c r="O47" s="245">
        <v>2432</v>
      </c>
      <c r="P47" s="245">
        <v>40493.93</v>
      </c>
      <c r="Q47" s="245">
        <v>1676</v>
      </c>
      <c r="R47" s="245">
        <v>601</v>
      </c>
      <c r="S47" s="245">
        <v>0</v>
      </c>
      <c r="T47" s="245">
        <v>0</v>
      </c>
      <c r="U47" s="245">
        <v>0</v>
      </c>
      <c r="V47" s="245">
        <v>0</v>
      </c>
      <c r="W47" s="245">
        <v>0</v>
      </c>
      <c r="X47" s="245">
        <v>0</v>
      </c>
      <c r="Y47" s="245">
        <v>0</v>
      </c>
      <c r="Z47" s="245">
        <v>0</v>
      </c>
      <c r="AA47" s="245">
        <v>0</v>
      </c>
      <c r="AB47" s="245"/>
      <c r="AC47" s="245">
        <v>0</v>
      </c>
      <c r="AD47" s="250">
        <v>247.85000085830688</v>
      </c>
      <c r="AE47" s="47">
        <f>N47*Forutsetninger!$C$23</f>
        <v>9134.9860764096065</v>
      </c>
      <c r="AF47" s="47">
        <f t="shared" si="20"/>
        <v>415.39660143852234</v>
      </c>
      <c r="AG47" s="47">
        <f>S47*Forutsetninger!$C$17</f>
        <v>0</v>
      </c>
      <c r="AH47" s="47">
        <f>AE47+O47+AF47+R47*Forutsetninger!$C$17-AG47</f>
        <v>12618.064197205324</v>
      </c>
      <c r="AI47" s="47">
        <f>AH47+P47*Forutsetninger!$B$5</f>
        <v>15177.280573205324</v>
      </c>
      <c r="AJ47" s="47">
        <f>T47*Forutsetninger!$C$23</f>
        <v>0</v>
      </c>
      <c r="AK47" s="47">
        <f t="shared" si="21"/>
        <v>0</v>
      </c>
      <c r="AL47" s="47">
        <f>AJ47+U47+AK47+X47*Forutsetninger!$C$17</f>
        <v>0</v>
      </c>
      <c r="AM47" s="26">
        <f>(T47-E47)*Forutsetninger!$C$23+X47*Forutsetninger!$C$17+U47+V47*Forutsetninger!$B$5</f>
        <v>0</v>
      </c>
      <c r="AN47" s="26">
        <f>(Y47*Forutsetninger!$C$23)+Z47+(AC47*Forutsetninger!$C$17)+(AA47*Forutsetninger!$B$5)</f>
        <v>0</v>
      </c>
    </row>
    <row r="48" spans="1:40" s="68" customFormat="1" ht="12.75" x14ac:dyDescent="0.2">
      <c r="A48" s="185">
        <v>822014</v>
      </c>
      <c r="B48" s="212" t="s">
        <v>210</v>
      </c>
      <c r="C48" s="67">
        <v>2014</v>
      </c>
      <c r="D48" s="49">
        <f t="shared" si="11"/>
        <v>14345.293746948242</v>
      </c>
      <c r="E48" s="245">
        <v>0</v>
      </c>
      <c r="F48" s="49">
        <f t="shared" si="12"/>
        <v>14345.293746948242</v>
      </c>
      <c r="G48" s="49">
        <f t="shared" si="13"/>
        <v>6586</v>
      </c>
      <c r="H48" s="49">
        <f t="shared" si="14"/>
        <v>93766</v>
      </c>
      <c r="I48" s="49">
        <f t="shared" si="15"/>
        <v>94703.66</v>
      </c>
      <c r="J48" s="47">
        <f t="shared" si="16"/>
        <v>11039</v>
      </c>
      <c r="K48" s="47">
        <f t="shared" si="17"/>
        <v>0</v>
      </c>
      <c r="L48" s="47">
        <f t="shared" si="18"/>
        <v>0</v>
      </c>
      <c r="M48" s="49">
        <f t="shared" si="19"/>
        <v>1104</v>
      </c>
      <c r="N48" s="245">
        <v>14345.293746948242</v>
      </c>
      <c r="O48" s="245">
        <v>6586</v>
      </c>
      <c r="P48" s="245">
        <v>94703.66</v>
      </c>
      <c r="Q48" s="245">
        <v>11039</v>
      </c>
      <c r="R48" s="245">
        <v>1104</v>
      </c>
      <c r="S48" s="245">
        <v>0</v>
      </c>
      <c r="T48" s="245">
        <v>0</v>
      </c>
      <c r="U48" s="245">
        <v>0</v>
      </c>
      <c r="V48" s="245">
        <v>0</v>
      </c>
      <c r="W48" s="245">
        <v>0</v>
      </c>
      <c r="X48" s="245">
        <v>0</v>
      </c>
      <c r="Y48" s="245">
        <v>0</v>
      </c>
      <c r="Z48" s="245">
        <v>0</v>
      </c>
      <c r="AA48" s="245">
        <v>0</v>
      </c>
      <c r="AB48" s="245"/>
      <c r="AC48" s="245">
        <v>0</v>
      </c>
      <c r="AD48" s="250">
        <v>259.70000028610229</v>
      </c>
      <c r="AE48" s="47">
        <f>N48*Forutsetninger!$C$23</f>
        <v>15091.659865524547</v>
      </c>
      <c r="AF48" s="47">
        <f t="shared" si="20"/>
        <v>2866.8283031582832</v>
      </c>
      <c r="AG48" s="47">
        <f>S48*Forutsetninger!$C$17</f>
        <v>0</v>
      </c>
      <c r="AH48" s="47">
        <f>AE48+O48+AF48+R48*Forutsetninger!$C$17-AG48</f>
        <v>25712.195984606864</v>
      </c>
      <c r="AI48" s="47">
        <f>AH48+P48*Forutsetninger!$B$5</f>
        <v>31697.467296606865</v>
      </c>
      <c r="AJ48" s="47">
        <f>T48*Forutsetninger!$C$23</f>
        <v>0</v>
      </c>
      <c r="AK48" s="47">
        <f t="shared" si="21"/>
        <v>0</v>
      </c>
      <c r="AL48" s="47">
        <f>AJ48+U48+AK48+X48*Forutsetninger!$C$17</f>
        <v>0</v>
      </c>
      <c r="AM48" s="26">
        <f>(T48-E48)*Forutsetninger!$C$23+X48*Forutsetninger!$C$17+U48+V48*Forutsetninger!$B$5</f>
        <v>0</v>
      </c>
      <c r="AN48" s="26">
        <f>(Y48*Forutsetninger!$C$23)+Z48+(AC48*Forutsetninger!$C$17)+(AA48*Forutsetninger!$B$5)</f>
        <v>0</v>
      </c>
    </row>
    <row r="49" spans="1:40" s="68" customFormat="1" ht="12.75" x14ac:dyDescent="0.2">
      <c r="A49" s="185">
        <v>2942014</v>
      </c>
      <c r="B49" s="212" t="s">
        <v>89</v>
      </c>
      <c r="C49" s="67">
        <v>2014</v>
      </c>
      <c r="D49" s="49">
        <f t="shared" si="11"/>
        <v>3105</v>
      </c>
      <c r="E49" s="245">
        <v>0</v>
      </c>
      <c r="F49" s="49">
        <f t="shared" si="12"/>
        <v>3105</v>
      </c>
      <c r="G49" s="49">
        <f t="shared" si="13"/>
        <v>8808</v>
      </c>
      <c r="H49" s="49">
        <f t="shared" si="14"/>
        <v>110073</v>
      </c>
      <c r="I49" s="49">
        <f t="shared" si="15"/>
        <v>111173.73</v>
      </c>
      <c r="J49" s="47">
        <f t="shared" si="16"/>
        <v>4877</v>
      </c>
      <c r="K49" s="47">
        <f t="shared" si="17"/>
        <v>0</v>
      </c>
      <c r="L49" s="47">
        <f t="shared" si="18"/>
        <v>0</v>
      </c>
      <c r="M49" s="49">
        <f t="shared" si="19"/>
        <v>858</v>
      </c>
      <c r="N49" s="245">
        <v>3105</v>
      </c>
      <c r="O49" s="245">
        <v>8808</v>
      </c>
      <c r="P49" s="245">
        <v>111173.73</v>
      </c>
      <c r="Q49" s="245">
        <v>4877</v>
      </c>
      <c r="R49" s="245">
        <v>858</v>
      </c>
      <c r="S49" s="245">
        <v>0</v>
      </c>
      <c r="T49" s="245">
        <v>0</v>
      </c>
      <c r="U49" s="245">
        <v>0</v>
      </c>
      <c r="V49" s="245">
        <v>0</v>
      </c>
      <c r="W49" s="245">
        <v>0</v>
      </c>
      <c r="X49" s="245">
        <v>0</v>
      </c>
      <c r="Y49" s="245">
        <v>0</v>
      </c>
      <c r="Z49" s="245">
        <v>0</v>
      </c>
      <c r="AA49" s="245">
        <v>0</v>
      </c>
      <c r="AB49" s="245"/>
      <c r="AC49" s="245">
        <v>0</v>
      </c>
      <c r="AD49" s="250">
        <v>264.89311456680298</v>
      </c>
      <c r="AE49" s="47">
        <f>N49*Forutsetninger!$C$23</f>
        <v>3266.5489260143199</v>
      </c>
      <c r="AF49" s="47">
        <f t="shared" si="20"/>
        <v>1291.8837197422981</v>
      </c>
      <c r="AG49" s="47">
        <f>S49*Forutsetninger!$C$17</f>
        <v>0</v>
      </c>
      <c r="AH49" s="47">
        <f>AE49+O49+AF49+R49*Forutsetninger!$C$17-AG49</f>
        <v>14273.944698349753</v>
      </c>
      <c r="AI49" s="47">
        <f>AH49+P49*Forutsetninger!$B$5</f>
        <v>21300.124434349753</v>
      </c>
      <c r="AJ49" s="47">
        <f>T49*Forutsetninger!$C$23</f>
        <v>0</v>
      </c>
      <c r="AK49" s="47">
        <f t="shared" si="21"/>
        <v>0</v>
      </c>
      <c r="AL49" s="47">
        <f>AJ49+U49+AK49+X49*Forutsetninger!$C$17</f>
        <v>0</v>
      </c>
      <c r="AM49" s="26">
        <f>(T49-E49)*Forutsetninger!$C$23+X49*Forutsetninger!$C$17+U49+V49*Forutsetninger!$B$5</f>
        <v>0</v>
      </c>
      <c r="AN49" s="26">
        <f>(Y49*Forutsetninger!$C$23)+Z49+(AC49*Forutsetninger!$C$17)+(AA49*Forutsetninger!$B$5)</f>
        <v>0</v>
      </c>
    </row>
    <row r="50" spans="1:40" s="68" customFormat="1" ht="12.75" x14ac:dyDescent="0.2">
      <c r="A50" s="185">
        <v>842014</v>
      </c>
      <c r="B50" s="212" t="s">
        <v>374</v>
      </c>
      <c r="C50" s="67">
        <v>2014</v>
      </c>
      <c r="D50" s="49">
        <f t="shared" si="11"/>
        <v>16024.928649902344</v>
      </c>
      <c r="E50" s="245">
        <v>0</v>
      </c>
      <c r="F50" s="49">
        <f t="shared" si="12"/>
        <v>16024.928649902344</v>
      </c>
      <c r="G50" s="49">
        <f t="shared" si="13"/>
        <v>5310</v>
      </c>
      <c r="H50" s="47">
        <f t="shared" si="14"/>
        <v>79434</v>
      </c>
      <c r="I50" s="49">
        <f t="shared" si="15"/>
        <v>80228.34</v>
      </c>
      <c r="J50" s="47">
        <f t="shared" si="16"/>
        <v>11078</v>
      </c>
      <c r="K50" s="47">
        <f t="shared" si="17"/>
        <v>0</v>
      </c>
      <c r="L50" s="47">
        <f t="shared" si="18"/>
        <v>0</v>
      </c>
      <c r="M50" s="49">
        <f t="shared" si="19"/>
        <v>582</v>
      </c>
      <c r="N50" s="245">
        <v>16024.928649902344</v>
      </c>
      <c r="O50" s="245">
        <v>5310</v>
      </c>
      <c r="P50" s="245">
        <v>80228.34</v>
      </c>
      <c r="Q50" s="245">
        <v>11078</v>
      </c>
      <c r="R50" s="245">
        <v>582</v>
      </c>
      <c r="S50" s="245">
        <v>0</v>
      </c>
      <c r="T50" s="245">
        <v>0</v>
      </c>
      <c r="U50" s="245">
        <v>0</v>
      </c>
      <c r="V50" s="245">
        <v>0</v>
      </c>
      <c r="W50" s="245">
        <v>0</v>
      </c>
      <c r="X50" s="245">
        <v>0</v>
      </c>
      <c r="Y50" s="245">
        <v>0</v>
      </c>
      <c r="Z50" s="245">
        <v>0</v>
      </c>
      <c r="AA50" s="245">
        <v>0</v>
      </c>
      <c r="AB50" s="245"/>
      <c r="AC50" s="245">
        <v>0</v>
      </c>
      <c r="AD50" s="250">
        <v>259.70000028610229</v>
      </c>
      <c r="AE50" s="47">
        <f>N50*Forutsetninger!$C$23</f>
        <v>16858.683887534495</v>
      </c>
      <c r="AF50" s="47">
        <f t="shared" si="20"/>
        <v>2876.9566031694412</v>
      </c>
      <c r="AG50" s="47">
        <f>S50*Forutsetninger!$C$17</f>
        <v>0</v>
      </c>
      <c r="AH50" s="47">
        <f>AE50+O50+AF50+R50*Forutsetninger!$C$17-AG50</f>
        <v>25661.225589316062</v>
      </c>
      <c r="AI50" s="47">
        <f>AH50+P50*Forutsetninger!$B$5</f>
        <v>30731.656677316063</v>
      </c>
      <c r="AJ50" s="47">
        <f>T50*Forutsetninger!$C$23</f>
        <v>0</v>
      </c>
      <c r="AK50" s="47">
        <f t="shared" si="21"/>
        <v>0</v>
      </c>
      <c r="AL50" s="47">
        <f>AJ50+U50+AK50+X50*Forutsetninger!$C$17</f>
        <v>0</v>
      </c>
      <c r="AM50" s="26">
        <f>(T50-E50)*Forutsetninger!$C$23+X50*Forutsetninger!$C$17+U50+V50*Forutsetninger!$B$5</f>
        <v>0</v>
      </c>
      <c r="AN50" s="26">
        <f>(Y50*Forutsetninger!$C$23)+Z50+(AC50*Forutsetninger!$C$17)+(AA50*Forutsetninger!$B$5)</f>
        <v>0</v>
      </c>
    </row>
    <row r="51" spans="1:40" s="68" customFormat="1" ht="12.75" x14ac:dyDescent="0.2">
      <c r="A51" s="185">
        <v>4332014</v>
      </c>
      <c r="B51" s="212" t="s">
        <v>119</v>
      </c>
      <c r="C51" s="67">
        <v>2014</v>
      </c>
      <c r="D51" s="49">
        <f t="shared" si="11"/>
        <v>70378.476112365723</v>
      </c>
      <c r="E51" s="245">
        <v>377</v>
      </c>
      <c r="F51" s="49">
        <f t="shared" si="12"/>
        <v>70001.476112365723</v>
      </c>
      <c r="G51" s="49">
        <f t="shared" si="13"/>
        <v>30377</v>
      </c>
      <c r="H51" s="49">
        <f t="shared" si="14"/>
        <v>387427</v>
      </c>
      <c r="I51" s="49">
        <f t="shared" si="15"/>
        <v>391301.26999999996</v>
      </c>
      <c r="J51" s="47">
        <f t="shared" si="16"/>
        <v>28475</v>
      </c>
      <c r="K51" s="47">
        <f t="shared" si="17"/>
        <v>8505</v>
      </c>
      <c r="L51" s="47">
        <f t="shared" si="18"/>
        <v>0</v>
      </c>
      <c r="M51" s="49">
        <f t="shared" si="19"/>
        <v>4233</v>
      </c>
      <c r="N51" s="245">
        <v>63073.04833984375</v>
      </c>
      <c r="O51" s="245">
        <v>24199</v>
      </c>
      <c r="P51" s="245">
        <v>316870.33</v>
      </c>
      <c r="Q51" s="245">
        <v>28475</v>
      </c>
      <c r="R51" s="245">
        <v>4089</v>
      </c>
      <c r="S51" s="245">
        <v>0</v>
      </c>
      <c r="T51" s="245">
        <v>6647.3619995117187</v>
      </c>
      <c r="U51" s="245">
        <v>5963</v>
      </c>
      <c r="V51" s="245">
        <v>71586.78</v>
      </c>
      <c r="W51" s="245">
        <v>8505</v>
      </c>
      <c r="X51" s="245">
        <v>144</v>
      </c>
      <c r="Y51" s="245">
        <v>658.06577301025391</v>
      </c>
      <c r="Z51" s="245">
        <v>215</v>
      </c>
      <c r="AA51" s="245">
        <v>2844.16</v>
      </c>
      <c r="AB51" s="245"/>
      <c r="AC51" s="245">
        <v>0</v>
      </c>
      <c r="AD51" s="250">
        <v>244.45000290870667</v>
      </c>
      <c r="AE51" s="47">
        <f>N51*Forutsetninger!$C$23</f>
        <v>66354.653241534907</v>
      </c>
      <c r="AF51" s="47">
        <f t="shared" si="20"/>
        <v>6960.7138328254223</v>
      </c>
      <c r="AG51" s="47">
        <f>S51*Forutsetninger!$C$17</f>
        <v>0</v>
      </c>
      <c r="AH51" s="47">
        <f>AE51+O51+AF51+R51*Forutsetninger!$C$17-AG51</f>
        <v>101839.32835997027</v>
      </c>
      <c r="AI51" s="47">
        <f>AH51+P51*Forutsetninger!$B$5</f>
        <v>121865.53321597027</v>
      </c>
      <c r="AJ51" s="47">
        <f>T51*Forutsetninger!$C$23</f>
        <v>6993.215201395622</v>
      </c>
      <c r="AK51" s="47">
        <f t="shared" si="21"/>
        <v>2079.0472747385502</v>
      </c>
      <c r="AL51" s="47">
        <f>AJ51+U51+AK51+X51*Forutsetninger!$C$17</f>
        <v>15187.572191254698</v>
      </c>
      <c r="AM51" s="26">
        <f>(T51-E51)*Forutsetninger!$C$23+X51*Forutsetninger!$C$17+U51+V51*Forutsetninger!$B$5</f>
        <v>17236.194615380111</v>
      </c>
      <c r="AN51" s="26">
        <f>(Y51*Forutsetninger!$C$23)+Z51+(AC51*Forutsetninger!$C$17)+(AA51*Forutsetninger!$B$5)</f>
        <v>1087.0549519592362</v>
      </c>
    </row>
    <row r="52" spans="1:40" s="68" customFormat="1" ht="12.75" x14ac:dyDescent="0.2">
      <c r="A52" s="185">
        <v>862014</v>
      </c>
      <c r="B52" s="212" t="s">
        <v>211</v>
      </c>
      <c r="C52" s="67">
        <v>2014</v>
      </c>
      <c r="D52" s="49">
        <f t="shared" si="11"/>
        <v>63890.501037597656</v>
      </c>
      <c r="E52" s="245">
        <v>487</v>
      </c>
      <c r="F52" s="49">
        <f t="shared" si="12"/>
        <v>63403.501037597656</v>
      </c>
      <c r="G52" s="49">
        <f t="shared" si="13"/>
        <v>30971</v>
      </c>
      <c r="H52" s="49">
        <f t="shared" si="14"/>
        <v>493702</v>
      </c>
      <c r="I52" s="49">
        <f t="shared" si="15"/>
        <v>498639.02</v>
      </c>
      <c r="J52" s="47">
        <f t="shared" si="16"/>
        <v>29596</v>
      </c>
      <c r="K52" s="47">
        <f t="shared" si="17"/>
        <v>9545</v>
      </c>
      <c r="L52" s="47">
        <f t="shared" si="18"/>
        <v>0</v>
      </c>
      <c r="M52" s="49">
        <f t="shared" si="19"/>
        <v>4807</v>
      </c>
      <c r="N52" s="245">
        <v>54938.45947265625</v>
      </c>
      <c r="O52" s="245">
        <v>25693</v>
      </c>
      <c r="P52" s="245">
        <v>418215.75</v>
      </c>
      <c r="Q52" s="245">
        <v>29596</v>
      </c>
      <c r="R52" s="245">
        <v>4743</v>
      </c>
      <c r="S52" s="245">
        <v>0</v>
      </c>
      <c r="T52" s="245">
        <v>8952.0415649414062</v>
      </c>
      <c r="U52" s="245">
        <v>5278</v>
      </c>
      <c r="V52" s="245">
        <v>80423.27</v>
      </c>
      <c r="W52" s="245">
        <v>9545</v>
      </c>
      <c r="X52" s="245">
        <v>64</v>
      </c>
      <c r="Y52" s="245">
        <v>0</v>
      </c>
      <c r="Z52" s="245">
        <v>0</v>
      </c>
      <c r="AA52" s="245">
        <v>0</v>
      </c>
      <c r="AB52" s="245"/>
      <c r="AC52" s="245">
        <v>0</v>
      </c>
      <c r="AD52" s="250">
        <v>276.60000324249268</v>
      </c>
      <c r="AE52" s="47">
        <f>N52*Forutsetninger!$C$23</f>
        <v>57796.832781734782</v>
      </c>
      <c r="AF52" s="47">
        <f t="shared" si="20"/>
        <v>8186.2536959648132</v>
      </c>
      <c r="AG52" s="47">
        <f>S52*Forutsetninger!$C$17</f>
        <v>0</v>
      </c>
      <c r="AH52" s="47">
        <f>AE52+O52+AF52+R52*Forutsetninger!$C$17-AG52</f>
        <v>96692.78771948193</v>
      </c>
      <c r="AI52" s="47">
        <f>AH52+P52*Forutsetninger!$B$5</f>
        <v>123124.02311948194</v>
      </c>
      <c r="AJ52" s="47">
        <f>T52*Forutsetninger!$C$23</f>
        <v>9417.8041093703378</v>
      </c>
      <c r="AK52" s="47">
        <f t="shared" si="21"/>
        <v>2640.1470309495926</v>
      </c>
      <c r="AL52" s="47">
        <f>AJ52+U52+AK52+X52*Forutsetninger!$C$17</f>
        <v>17403.644347040161</v>
      </c>
      <c r="AM52" s="26">
        <f>(T52-E52)*Forutsetninger!$C$23+X52*Forutsetninger!$C$17+U52+V52*Forutsetninger!$B$5</f>
        <v>19333.910032596541</v>
      </c>
      <c r="AN52" s="26">
        <f>(Y52*Forutsetninger!$C$23)+Z52+(AC52*Forutsetninger!$C$17)+(AA52*Forutsetninger!$B$5)</f>
        <v>0</v>
      </c>
    </row>
    <row r="53" spans="1:40" s="68" customFormat="1" ht="12.75" x14ac:dyDescent="0.2">
      <c r="A53" s="185">
        <v>882014</v>
      </c>
      <c r="B53" s="212" t="s">
        <v>81</v>
      </c>
      <c r="C53" s="67">
        <v>2014</v>
      </c>
      <c r="D53" s="49">
        <f t="shared" si="11"/>
        <v>22256.967472076416</v>
      </c>
      <c r="E53" s="245">
        <v>0</v>
      </c>
      <c r="F53" s="49">
        <f t="shared" si="12"/>
        <v>22256.967472076416</v>
      </c>
      <c r="G53" s="49">
        <f t="shared" si="13"/>
        <v>8731</v>
      </c>
      <c r="H53" s="47">
        <f t="shared" si="14"/>
        <v>136677</v>
      </c>
      <c r="I53" s="49">
        <f t="shared" si="15"/>
        <v>138043.76999999999</v>
      </c>
      <c r="J53" s="47">
        <f t="shared" si="16"/>
        <v>7599</v>
      </c>
      <c r="K53" s="47">
        <f t="shared" si="17"/>
        <v>1270</v>
      </c>
      <c r="L53" s="47">
        <f t="shared" si="18"/>
        <v>0</v>
      </c>
      <c r="M53" s="49">
        <f t="shared" si="19"/>
        <v>1048</v>
      </c>
      <c r="N53" s="245">
        <v>21690.6845703125</v>
      </c>
      <c r="O53" s="245">
        <v>7288</v>
      </c>
      <c r="P53" s="245">
        <v>113106.87</v>
      </c>
      <c r="Q53" s="245">
        <v>7599</v>
      </c>
      <c r="R53" s="245">
        <v>1048</v>
      </c>
      <c r="S53" s="245">
        <v>1020.02001953125</v>
      </c>
      <c r="T53" s="245">
        <v>566.28290176391602</v>
      </c>
      <c r="U53" s="245">
        <v>1443</v>
      </c>
      <c r="V53" s="245">
        <v>24936.9</v>
      </c>
      <c r="W53" s="245">
        <v>1270</v>
      </c>
      <c r="X53" s="245">
        <v>0</v>
      </c>
      <c r="Y53" s="245">
        <v>0</v>
      </c>
      <c r="Z53" s="245">
        <v>0</v>
      </c>
      <c r="AA53" s="245">
        <v>0</v>
      </c>
      <c r="AB53" s="245"/>
      <c r="AC53" s="245">
        <v>0</v>
      </c>
      <c r="AD53" s="250">
        <v>247.85000085830688</v>
      </c>
      <c r="AE53" s="47">
        <f>N53*Forutsetninger!$C$23</f>
        <v>22819.221380892006</v>
      </c>
      <c r="AF53" s="47">
        <f t="shared" si="20"/>
        <v>1883.412156522274</v>
      </c>
      <c r="AG53" s="47">
        <f>S53*Forutsetninger!$C$17</f>
        <v>1078.8816568891527</v>
      </c>
      <c r="AH53" s="47">
        <f>AE53+O53+AF53+R53*Forutsetninger!$C$17-AG53</f>
        <v>32020.228140568954</v>
      </c>
      <c r="AI53" s="47">
        <f>AH53+P53*Forutsetninger!$B$5</f>
        <v>39168.582324568953</v>
      </c>
      <c r="AJ53" s="47">
        <f>T53*Forutsetninger!$C$23</f>
        <v>595.74583078170451</v>
      </c>
      <c r="AK53" s="47">
        <f t="shared" si="21"/>
        <v>314.76950109004974</v>
      </c>
      <c r="AL53" s="47">
        <f>AJ53+U53+AK53+X53*Forutsetninger!$C$17</f>
        <v>2353.5153318717544</v>
      </c>
      <c r="AM53" s="26">
        <f>(T53-E53)*Forutsetninger!$C$23+X53*Forutsetninger!$C$17+U53+V53*Forutsetninger!$B$5</f>
        <v>3614.7579107817046</v>
      </c>
      <c r="AN53" s="26">
        <f>(Y53*Forutsetninger!$C$23)+Z53+(AC53*Forutsetninger!$C$17)+(AA53*Forutsetninger!$B$5)</f>
        <v>0</v>
      </c>
    </row>
    <row r="54" spans="1:40" s="68" customFormat="1" ht="12.75" x14ac:dyDescent="0.2">
      <c r="A54" s="185">
        <v>912014</v>
      </c>
      <c r="B54" s="212" t="s">
        <v>212</v>
      </c>
      <c r="C54" s="67">
        <v>2014</v>
      </c>
      <c r="D54" s="49">
        <f t="shared" si="11"/>
        <v>13920.082077026367</v>
      </c>
      <c r="E54" s="245">
        <v>0</v>
      </c>
      <c r="F54" s="49">
        <f t="shared" si="12"/>
        <v>13920.082077026367</v>
      </c>
      <c r="G54" s="49">
        <f t="shared" si="13"/>
        <v>8862</v>
      </c>
      <c r="H54" s="47">
        <f t="shared" si="14"/>
        <v>131082</v>
      </c>
      <c r="I54" s="49">
        <f t="shared" si="15"/>
        <v>132392.82</v>
      </c>
      <c r="J54" s="47">
        <f t="shared" si="16"/>
        <v>10588</v>
      </c>
      <c r="K54" s="47">
        <f t="shared" si="17"/>
        <v>0</v>
      </c>
      <c r="L54" s="47">
        <f t="shared" si="18"/>
        <v>0</v>
      </c>
      <c r="M54" s="49">
        <f t="shared" si="19"/>
        <v>419</v>
      </c>
      <c r="N54" s="245">
        <v>13920.082077026367</v>
      </c>
      <c r="O54" s="245">
        <v>8862</v>
      </c>
      <c r="P54" s="245">
        <v>132392.82</v>
      </c>
      <c r="Q54" s="245">
        <v>10588</v>
      </c>
      <c r="R54" s="245">
        <v>419</v>
      </c>
      <c r="S54" s="245">
        <v>3937.2099609375</v>
      </c>
      <c r="T54" s="245">
        <v>0</v>
      </c>
      <c r="U54" s="245">
        <v>0</v>
      </c>
      <c r="V54" s="245">
        <v>0</v>
      </c>
      <c r="W54" s="245">
        <v>0</v>
      </c>
      <c r="X54" s="245">
        <v>0</v>
      </c>
      <c r="Y54" s="245">
        <v>0</v>
      </c>
      <c r="Z54" s="245">
        <v>0</v>
      </c>
      <c r="AA54" s="245">
        <v>0</v>
      </c>
      <c r="AB54" s="245"/>
      <c r="AC54" s="245">
        <v>0</v>
      </c>
      <c r="AD54" s="250">
        <v>247.85000085830688</v>
      </c>
      <c r="AE54" s="47">
        <f>N54*Forutsetninger!$C$23</f>
        <v>14644.32501086688</v>
      </c>
      <c r="AF54" s="47">
        <f t="shared" si="20"/>
        <v>2624.2358090877533</v>
      </c>
      <c r="AG54" s="47">
        <f>S54*Forutsetninger!$C$17</f>
        <v>4164.4119966672752</v>
      </c>
      <c r="AH54" s="47">
        <f>AE54+O54+AF54+R54*Forutsetninger!$C$17-AG54</f>
        <v>22409.327786033886</v>
      </c>
      <c r="AI54" s="47">
        <f>AH54+P54*Forutsetninger!$B$5</f>
        <v>30776.554010033888</v>
      </c>
      <c r="AJ54" s="47">
        <f>T54*Forutsetninger!$C$23</f>
        <v>0</v>
      </c>
      <c r="AK54" s="47">
        <f t="shared" si="21"/>
        <v>0</v>
      </c>
      <c r="AL54" s="47">
        <f>AJ54+U54+AK54+X54*Forutsetninger!$C$17</f>
        <v>0</v>
      </c>
      <c r="AM54" s="26">
        <f>(T54-E54)*Forutsetninger!$C$23+X54*Forutsetninger!$C$17+U54+V54*Forutsetninger!$B$5</f>
        <v>0</v>
      </c>
      <c r="AN54" s="26">
        <f>(Y54*Forutsetninger!$C$23)+Z54+(AC54*Forutsetninger!$C$17)+(AA54*Forutsetninger!$B$5)</f>
        <v>0</v>
      </c>
    </row>
    <row r="55" spans="1:40" s="68" customFormat="1" ht="12.75" x14ac:dyDescent="0.2">
      <c r="A55" s="185">
        <v>2882014</v>
      </c>
      <c r="B55" s="212" t="s">
        <v>275</v>
      </c>
      <c r="C55" s="67">
        <v>2014</v>
      </c>
      <c r="D55" s="49">
        <f t="shared" si="11"/>
        <v>1600.9185600280762</v>
      </c>
      <c r="E55" s="245">
        <v>0</v>
      </c>
      <c r="F55" s="49">
        <f t="shared" si="12"/>
        <v>1600.9185600280762</v>
      </c>
      <c r="G55" s="49">
        <f t="shared" si="13"/>
        <v>4072</v>
      </c>
      <c r="H55" s="49">
        <f t="shared" si="14"/>
        <v>20945</v>
      </c>
      <c r="I55" s="49">
        <f t="shared" si="15"/>
        <v>21154.45</v>
      </c>
      <c r="J55" s="47">
        <f t="shared" si="16"/>
        <v>0</v>
      </c>
      <c r="K55" s="47">
        <f t="shared" si="17"/>
        <v>9290</v>
      </c>
      <c r="L55" s="47">
        <f t="shared" si="18"/>
        <v>0</v>
      </c>
      <c r="M55" s="49">
        <f t="shared" si="19"/>
        <v>0</v>
      </c>
      <c r="N55" s="245">
        <v>0</v>
      </c>
      <c r="O55" s="245">
        <v>0</v>
      </c>
      <c r="P55" s="245">
        <v>0</v>
      </c>
      <c r="Q55" s="245">
        <v>0</v>
      </c>
      <c r="R55" s="245">
        <v>0</v>
      </c>
      <c r="S55" s="245">
        <v>0</v>
      </c>
      <c r="T55" s="245">
        <v>1600.9185600280762</v>
      </c>
      <c r="U55" s="245">
        <v>4072</v>
      </c>
      <c r="V55" s="245">
        <v>21154.45</v>
      </c>
      <c r="W55" s="245">
        <v>9290</v>
      </c>
      <c r="X55" s="245">
        <v>0</v>
      </c>
      <c r="Y55" s="245">
        <v>0</v>
      </c>
      <c r="Z55" s="245">
        <v>0</v>
      </c>
      <c r="AA55" s="245">
        <v>0</v>
      </c>
      <c r="AB55" s="245"/>
      <c r="AC55" s="245">
        <v>0</v>
      </c>
      <c r="AD55" s="250">
        <v>276.60000324249268</v>
      </c>
      <c r="AE55" s="47">
        <f>N55*Forutsetninger!$C$23</f>
        <v>0</v>
      </c>
      <c r="AF55" s="47">
        <f t="shared" si="20"/>
        <v>0</v>
      </c>
      <c r="AG55" s="47">
        <f>S55*Forutsetninger!$C$17</f>
        <v>0</v>
      </c>
      <c r="AH55" s="47">
        <f>AE55+O55+AF55+R55*Forutsetninger!$C$17-AG55</f>
        <v>0</v>
      </c>
      <c r="AI55" s="47">
        <f>AH55+P55*Forutsetninger!$B$5</f>
        <v>0</v>
      </c>
      <c r="AJ55" s="47">
        <f>T55*Forutsetninger!$C$23</f>
        <v>1684.212174845766</v>
      </c>
      <c r="AK55" s="47">
        <f t="shared" si="21"/>
        <v>2569.614030122757</v>
      </c>
      <c r="AL55" s="47">
        <f>AJ55+U55+AK55+X55*Forutsetninger!$C$17</f>
        <v>8325.8262049685218</v>
      </c>
      <c r="AM55" s="26">
        <f>(T55-E55)*Forutsetninger!$C$23+X55*Forutsetninger!$C$17+U55+V55*Forutsetninger!$B$5</f>
        <v>7093.1734148457654</v>
      </c>
      <c r="AN55" s="26">
        <f>(Y55*Forutsetninger!$C$23)+Z55+(AC55*Forutsetninger!$C$17)+(AA55*Forutsetninger!$B$5)</f>
        <v>0</v>
      </c>
    </row>
    <row r="56" spans="1:40" s="68" customFormat="1" ht="12.75" x14ac:dyDescent="0.2">
      <c r="A56" s="185">
        <v>932014</v>
      </c>
      <c r="B56" s="212" t="s">
        <v>213</v>
      </c>
      <c r="C56" s="67">
        <v>2014</v>
      </c>
      <c r="D56" s="49">
        <f t="shared" si="11"/>
        <v>28116.676219940186</v>
      </c>
      <c r="E56" s="245">
        <v>0</v>
      </c>
      <c r="F56" s="49">
        <f t="shared" si="12"/>
        <v>28116.676219940186</v>
      </c>
      <c r="G56" s="49">
        <f t="shared" si="13"/>
        <v>9051</v>
      </c>
      <c r="H56" s="47">
        <f t="shared" si="14"/>
        <v>127215</v>
      </c>
      <c r="I56" s="49">
        <f t="shared" si="15"/>
        <v>128487.15000000001</v>
      </c>
      <c r="J56" s="47">
        <f t="shared" si="16"/>
        <v>8677</v>
      </c>
      <c r="K56" s="47">
        <f t="shared" si="17"/>
        <v>729</v>
      </c>
      <c r="L56" s="47">
        <f t="shared" si="18"/>
        <v>0</v>
      </c>
      <c r="M56" s="49">
        <f t="shared" si="19"/>
        <v>1207</v>
      </c>
      <c r="N56" s="245">
        <v>24996.409545898438</v>
      </c>
      <c r="O56" s="245">
        <v>7301</v>
      </c>
      <c r="P56" s="245">
        <v>109022.43000000001</v>
      </c>
      <c r="Q56" s="245">
        <v>8677</v>
      </c>
      <c r="R56" s="245">
        <v>1207</v>
      </c>
      <c r="S56" s="245">
        <v>0</v>
      </c>
      <c r="T56" s="245">
        <v>3120.266674041748</v>
      </c>
      <c r="U56" s="245">
        <v>1750</v>
      </c>
      <c r="V56" s="245">
        <v>19464.72</v>
      </c>
      <c r="W56" s="245">
        <v>729</v>
      </c>
      <c r="X56" s="245">
        <v>0</v>
      </c>
      <c r="Y56" s="245">
        <v>0</v>
      </c>
      <c r="Z56" s="245">
        <v>0</v>
      </c>
      <c r="AA56" s="245">
        <v>0</v>
      </c>
      <c r="AB56" s="245"/>
      <c r="AC56" s="245">
        <v>0</v>
      </c>
      <c r="AD56" s="250">
        <v>247.85000085830688</v>
      </c>
      <c r="AE56" s="47">
        <f>N56*Forutsetninger!$C$23</f>
        <v>26296.938729909383</v>
      </c>
      <c r="AF56" s="47">
        <f t="shared" si="20"/>
        <v>2150.5944574475288</v>
      </c>
      <c r="AG56" s="47">
        <f>S56*Forutsetninger!$C$17</f>
        <v>0</v>
      </c>
      <c r="AH56" s="47">
        <f>AE56+O56+AF56+R56*Forutsetninger!$C$17-AG56</f>
        <v>37025.18475784632</v>
      </c>
      <c r="AI56" s="47">
        <f>AH56+P56*Forutsetninger!$B$5</f>
        <v>43915.402333846323</v>
      </c>
      <c r="AJ56" s="47">
        <f>T56*Forutsetninger!$C$23</f>
        <v>3282.6099043379536</v>
      </c>
      <c r="AK56" s="47">
        <f t="shared" si="21"/>
        <v>180.68265062570572</v>
      </c>
      <c r="AL56" s="47">
        <f>AJ56+U56+AK56+X56*Forutsetninger!$C$17</f>
        <v>5213.2925549636593</v>
      </c>
      <c r="AM56" s="26">
        <f>(T56-E56)*Forutsetninger!$C$23+X56*Forutsetninger!$C$17+U56+V56*Forutsetninger!$B$5</f>
        <v>6262.7802083379538</v>
      </c>
      <c r="AN56" s="26">
        <f>(Y56*Forutsetninger!$C$23)+Z56+(AC56*Forutsetninger!$C$17)+(AA56*Forutsetninger!$B$5)</f>
        <v>0</v>
      </c>
    </row>
    <row r="57" spans="1:40" s="68" customFormat="1" ht="12.75" x14ac:dyDescent="0.2">
      <c r="A57" s="185">
        <v>952014</v>
      </c>
      <c r="B57" s="212" t="s">
        <v>52</v>
      </c>
      <c r="C57" s="67">
        <v>2014</v>
      </c>
      <c r="D57" s="49">
        <f t="shared" si="11"/>
        <v>6223.5201416015625</v>
      </c>
      <c r="E57" s="245">
        <v>0</v>
      </c>
      <c r="F57" s="49">
        <f t="shared" si="12"/>
        <v>6223.5201416015625</v>
      </c>
      <c r="G57" s="49">
        <f t="shared" si="13"/>
        <v>2023</v>
      </c>
      <c r="H57" s="49">
        <f t="shared" si="14"/>
        <v>26492</v>
      </c>
      <c r="I57" s="49">
        <f t="shared" si="15"/>
        <v>26756.920000000002</v>
      </c>
      <c r="J57" s="47">
        <f t="shared" si="16"/>
        <v>3705</v>
      </c>
      <c r="K57" s="47">
        <f t="shared" si="17"/>
        <v>0</v>
      </c>
      <c r="L57" s="47">
        <f t="shared" si="18"/>
        <v>0</v>
      </c>
      <c r="M57" s="49">
        <f t="shared" si="19"/>
        <v>500</v>
      </c>
      <c r="N57" s="245">
        <v>6223.5201416015625</v>
      </c>
      <c r="O57" s="245">
        <v>2023</v>
      </c>
      <c r="P57" s="245">
        <v>26756.920000000002</v>
      </c>
      <c r="Q57" s="245">
        <v>3705</v>
      </c>
      <c r="R57" s="245">
        <v>500</v>
      </c>
      <c r="S57" s="245">
        <v>0</v>
      </c>
      <c r="T57" s="245">
        <v>0</v>
      </c>
      <c r="U57" s="245">
        <v>0</v>
      </c>
      <c r="V57" s="245">
        <v>0</v>
      </c>
      <c r="W57" s="245">
        <v>0</v>
      </c>
      <c r="X57" s="245">
        <v>0</v>
      </c>
      <c r="Y57" s="245">
        <v>0</v>
      </c>
      <c r="Z57" s="245">
        <v>0</v>
      </c>
      <c r="AA57" s="245">
        <v>0</v>
      </c>
      <c r="AB57" s="245"/>
      <c r="AC57" s="245">
        <v>0</v>
      </c>
      <c r="AD57" s="250">
        <v>259.70000028610229</v>
      </c>
      <c r="AE57" s="47">
        <f>N57*Forutsetninger!$C$23</f>
        <v>6547.3214282051758</v>
      </c>
      <c r="AF57" s="47">
        <f t="shared" si="20"/>
        <v>962.188501060009</v>
      </c>
      <c r="AG57" s="47">
        <f>S57*Forutsetninger!$C$17</f>
        <v>0</v>
      </c>
      <c r="AH57" s="47">
        <f>AE57+O57+AF57+R57*Forutsetninger!$C$17-AG57</f>
        <v>10061.36310676701</v>
      </c>
      <c r="AI57" s="47">
        <f>AH57+P57*Forutsetninger!$B$5</f>
        <v>11752.400450767011</v>
      </c>
      <c r="AJ57" s="47">
        <f>T57*Forutsetninger!$C$23</f>
        <v>0</v>
      </c>
      <c r="AK57" s="47">
        <f t="shared" si="21"/>
        <v>0</v>
      </c>
      <c r="AL57" s="47">
        <f>AJ57+U57+AK57+X57*Forutsetninger!$C$17</f>
        <v>0</v>
      </c>
      <c r="AM57" s="26">
        <f>(T57-E57)*Forutsetninger!$C$23+X57*Forutsetninger!$C$17+U57+V57*Forutsetninger!$B$5</f>
        <v>0</v>
      </c>
      <c r="AN57" s="26">
        <f>(Y57*Forutsetninger!$C$23)+Z57+(AC57*Forutsetninger!$C$17)+(AA57*Forutsetninger!$B$5)</f>
        <v>0</v>
      </c>
    </row>
    <row r="58" spans="1:40" s="68" customFormat="1" ht="12.75" x14ac:dyDescent="0.2">
      <c r="A58" s="185">
        <v>962014</v>
      </c>
      <c r="B58" s="212" t="s">
        <v>214</v>
      </c>
      <c r="C58" s="67">
        <v>2014</v>
      </c>
      <c r="D58" s="49">
        <f t="shared" si="11"/>
        <v>22811</v>
      </c>
      <c r="E58" s="245">
        <v>0</v>
      </c>
      <c r="F58" s="49">
        <f t="shared" si="12"/>
        <v>22811</v>
      </c>
      <c r="G58" s="49">
        <f t="shared" si="13"/>
        <v>7162</v>
      </c>
      <c r="H58" s="47">
        <f t="shared" si="14"/>
        <v>113967</v>
      </c>
      <c r="I58" s="49">
        <f t="shared" si="15"/>
        <v>115106.67</v>
      </c>
      <c r="J58" s="47">
        <f t="shared" si="16"/>
        <v>7614</v>
      </c>
      <c r="K58" s="47">
        <f t="shared" si="17"/>
        <v>0</v>
      </c>
      <c r="L58" s="47">
        <f t="shared" si="18"/>
        <v>0</v>
      </c>
      <c r="M58" s="49">
        <f t="shared" si="19"/>
        <v>1468</v>
      </c>
      <c r="N58" s="245">
        <v>22811</v>
      </c>
      <c r="O58" s="245">
        <v>7162</v>
      </c>
      <c r="P58" s="245">
        <v>115106.67</v>
      </c>
      <c r="Q58" s="245">
        <v>7614</v>
      </c>
      <c r="R58" s="245">
        <v>1468</v>
      </c>
      <c r="S58" s="245">
        <v>131.61000061035156</v>
      </c>
      <c r="T58" s="245">
        <v>0</v>
      </c>
      <c r="U58" s="245">
        <v>0</v>
      </c>
      <c r="V58" s="245">
        <v>0</v>
      </c>
      <c r="W58" s="245">
        <v>0</v>
      </c>
      <c r="X58" s="245">
        <v>0</v>
      </c>
      <c r="Y58" s="245">
        <v>0</v>
      </c>
      <c r="Z58" s="245">
        <v>0</v>
      </c>
      <c r="AA58" s="245">
        <v>0</v>
      </c>
      <c r="AB58" s="245"/>
      <c r="AC58" s="245">
        <v>0</v>
      </c>
      <c r="AD58" s="250">
        <v>246.69000506401062</v>
      </c>
      <c r="AE58" s="47">
        <f>N58*Forutsetninger!$C$23</f>
        <v>23997.825298329357</v>
      </c>
      <c r="AF58" s="47">
        <f t="shared" si="20"/>
        <v>1878.2976985573769</v>
      </c>
      <c r="AG58" s="47">
        <f>S58*Forutsetninger!$C$17</f>
        <v>139.20473402760339</v>
      </c>
      <c r="AH58" s="47">
        <f>AE58+O58+AF58+R58*Forutsetninger!$C$17-AG58</f>
        <v>34451.63119200449</v>
      </c>
      <c r="AI58" s="47">
        <f>AH58+P58*Forutsetninger!$B$5</f>
        <v>41726.372736004487</v>
      </c>
      <c r="AJ58" s="47">
        <f>T58*Forutsetninger!$C$23</f>
        <v>0</v>
      </c>
      <c r="AK58" s="47">
        <f t="shared" si="21"/>
        <v>0</v>
      </c>
      <c r="AL58" s="47">
        <f>AJ58+U58+AK58+X58*Forutsetninger!$C$17</f>
        <v>0</v>
      </c>
      <c r="AM58" s="26">
        <f>(T58-E58)*Forutsetninger!$C$23+X58*Forutsetninger!$C$17+U58+V58*Forutsetninger!$B$5</f>
        <v>0</v>
      </c>
      <c r="AN58" s="26">
        <f>(Y58*Forutsetninger!$C$23)+Z58+(AC58*Forutsetninger!$C$17)+(AA58*Forutsetninger!$B$5)</f>
        <v>0</v>
      </c>
    </row>
    <row r="59" spans="1:40" s="68" customFormat="1" ht="12.75" x14ac:dyDescent="0.2">
      <c r="A59" s="185">
        <v>1632014</v>
      </c>
      <c r="B59" s="212" t="s">
        <v>271</v>
      </c>
      <c r="C59" s="67">
        <v>2014</v>
      </c>
      <c r="D59" s="49">
        <f t="shared" si="11"/>
        <v>16896.750732421875</v>
      </c>
      <c r="E59" s="245">
        <v>0</v>
      </c>
      <c r="F59" s="49">
        <f t="shared" si="12"/>
        <v>16896.750732421875</v>
      </c>
      <c r="G59" s="49">
        <f t="shared" si="13"/>
        <v>4591</v>
      </c>
      <c r="H59" s="49">
        <f t="shared" si="14"/>
        <v>75659</v>
      </c>
      <c r="I59" s="49">
        <f t="shared" si="15"/>
        <v>76415.59</v>
      </c>
      <c r="J59" s="47">
        <f t="shared" si="16"/>
        <v>5367</v>
      </c>
      <c r="K59" s="47">
        <f t="shared" si="17"/>
        <v>0</v>
      </c>
      <c r="L59" s="47">
        <f t="shared" si="18"/>
        <v>0</v>
      </c>
      <c r="M59" s="49">
        <f t="shared" si="19"/>
        <v>145</v>
      </c>
      <c r="N59" s="245">
        <v>16896.750732421875</v>
      </c>
      <c r="O59" s="245">
        <v>4591</v>
      </c>
      <c r="P59" s="245">
        <v>76415.59</v>
      </c>
      <c r="Q59" s="245">
        <v>5367</v>
      </c>
      <c r="R59" s="245">
        <v>145</v>
      </c>
      <c r="S59" s="245">
        <v>18.899999618530273</v>
      </c>
      <c r="T59" s="245">
        <v>0</v>
      </c>
      <c r="U59" s="245">
        <v>0</v>
      </c>
      <c r="V59" s="245">
        <v>0</v>
      </c>
      <c r="W59" s="245">
        <v>0</v>
      </c>
      <c r="X59" s="245">
        <v>0</v>
      </c>
      <c r="Y59" s="245">
        <v>0</v>
      </c>
      <c r="Z59" s="245">
        <v>0</v>
      </c>
      <c r="AA59" s="245">
        <v>0</v>
      </c>
      <c r="AB59" s="245"/>
      <c r="AC59" s="245">
        <v>0</v>
      </c>
      <c r="AD59" s="250">
        <v>276.60000324249268</v>
      </c>
      <c r="AE59" s="47">
        <f>N59*Forutsetninger!$C$23</f>
        <v>17775.865686996571</v>
      </c>
      <c r="AF59" s="47">
        <f t="shared" si="20"/>
        <v>1484.5122174024582</v>
      </c>
      <c r="AG59" s="47">
        <f>S59*Forutsetninger!$C$17</f>
        <v>19.990649706086074</v>
      </c>
      <c r="AH59" s="47">
        <f>AE59+O59+AF59+R59*Forutsetninger!$C$17-AG59</f>
        <v>23984.754676168472</v>
      </c>
      <c r="AI59" s="47">
        <f>AH59+P59*Forutsetninger!$B$5</f>
        <v>28814.219964168471</v>
      </c>
      <c r="AJ59" s="47">
        <f>T59*Forutsetninger!$C$23</f>
        <v>0</v>
      </c>
      <c r="AK59" s="47">
        <f t="shared" si="21"/>
        <v>0</v>
      </c>
      <c r="AL59" s="47">
        <f>AJ59+U59+AK59+X59*Forutsetninger!$C$17</f>
        <v>0</v>
      </c>
      <c r="AM59" s="26">
        <f>(T59-E59)*Forutsetninger!$C$23+X59*Forutsetninger!$C$17+U59+V59*Forutsetninger!$B$5</f>
        <v>0</v>
      </c>
      <c r="AN59" s="26">
        <f>(Y59*Forutsetninger!$C$23)+Z59+(AC59*Forutsetninger!$C$17)+(AA59*Forutsetninger!$B$5)</f>
        <v>0</v>
      </c>
    </row>
    <row r="60" spans="1:40" s="68" customFormat="1" ht="12.75" x14ac:dyDescent="0.2">
      <c r="A60" s="185">
        <v>972014</v>
      </c>
      <c r="B60" s="212" t="s">
        <v>215</v>
      </c>
      <c r="C60" s="67">
        <v>2014</v>
      </c>
      <c r="D60" s="49">
        <f t="shared" si="11"/>
        <v>30445.1923828125</v>
      </c>
      <c r="E60" s="245">
        <v>0</v>
      </c>
      <c r="F60" s="49">
        <f t="shared" si="12"/>
        <v>30445.1923828125</v>
      </c>
      <c r="G60" s="49">
        <f t="shared" si="13"/>
        <v>8709</v>
      </c>
      <c r="H60" s="49">
        <f t="shared" si="14"/>
        <v>122134</v>
      </c>
      <c r="I60" s="49">
        <f t="shared" si="15"/>
        <v>123355.34</v>
      </c>
      <c r="J60" s="47">
        <f t="shared" si="16"/>
        <v>5814</v>
      </c>
      <c r="K60" s="47">
        <f t="shared" si="17"/>
        <v>0</v>
      </c>
      <c r="L60" s="47">
        <f t="shared" si="18"/>
        <v>0</v>
      </c>
      <c r="M60" s="49">
        <f t="shared" si="19"/>
        <v>1014</v>
      </c>
      <c r="N60" s="245">
        <v>30445.1923828125</v>
      </c>
      <c r="O60" s="245">
        <v>8709</v>
      </c>
      <c r="P60" s="245">
        <v>123355.34</v>
      </c>
      <c r="Q60" s="245">
        <v>5814</v>
      </c>
      <c r="R60" s="245">
        <v>1014</v>
      </c>
      <c r="S60" s="245">
        <v>888.40997314453125</v>
      </c>
      <c r="T60" s="245">
        <v>0</v>
      </c>
      <c r="U60" s="245">
        <v>0</v>
      </c>
      <c r="V60" s="245">
        <v>0</v>
      </c>
      <c r="W60" s="245">
        <v>0</v>
      </c>
      <c r="X60" s="245">
        <v>0</v>
      </c>
      <c r="Y60" s="245">
        <v>0</v>
      </c>
      <c r="Z60" s="245">
        <v>0</v>
      </c>
      <c r="AA60" s="245">
        <v>0</v>
      </c>
      <c r="AB60" s="245"/>
      <c r="AC60" s="245">
        <v>0</v>
      </c>
      <c r="AD60" s="250">
        <v>246.69000506401062</v>
      </c>
      <c r="AE60" s="47">
        <f>N60*Forutsetninger!$C$23</f>
        <v>32029.214325402743</v>
      </c>
      <c r="AF60" s="47">
        <f t="shared" si="20"/>
        <v>1434.2556894421577</v>
      </c>
      <c r="AG60" s="47">
        <f>S60*Forutsetninger!$C$17</f>
        <v>939.67687444359478</v>
      </c>
      <c r="AH60" s="47">
        <f>AE60+O60+AF60+R60*Forutsetninger!$C$17-AG60</f>
        <v>42305.30738437501</v>
      </c>
      <c r="AI60" s="47">
        <f>AH60+P60*Forutsetninger!$B$5</f>
        <v>50101.364872375008</v>
      </c>
      <c r="AJ60" s="47">
        <f>T60*Forutsetninger!$C$23</f>
        <v>0</v>
      </c>
      <c r="AK60" s="47">
        <f t="shared" si="21"/>
        <v>0</v>
      </c>
      <c r="AL60" s="47">
        <f>AJ60+U60+AK60+X60*Forutsetninger!$C$17</f>
        <v>0</v>
      </c>
      <c r="AM60" s="26">
        <f>(T60-E60)*Forutsetninger!$C$23+X60*Forutsetninger!$C$17+U60+V60*Forutsetninger!$B$5</f>
        <v>0</v>
      </c>
      <c r="AN60" s="26">
        <f>(Y60*Forutsetninger!$C$23)+Z60+(AC60*Forutsetninger!$C$17)+(AA60*Forutsetninger!$B$5)</f>
        <v>0</v>
      </c>
    </row>
    <row r="61" spans="1:40" s="68" customFormat="1" ht="12.75" x14ac:dyDescent="0.2">
      <c r="A61" s="185">
        <v>982014</v>
      </c>
      <c r="B61" s="212" t="s">
        <v>216</v>
      </c>
      <c r="C61" s="67">
        <v>2014</v>
      </c>
      <c r="D61" s="49">
        <f t="shared" si="11"/>
        <v>871.46250605583191</v>
      </c>
      <c r="E61" s="245">
        <v>0</v>
      </c>
      <c r="F61" s="49">
        <f t="shared" si="12"/>
        <v>871.46250605583191</v>
      </c>
      <c r="G61" s="49">
        <f t="shared" si="13"/>
        <v>1039</v>
      </c>
      <c r="H61" s="47">
        <f t="shared" si="14"/>
        <v>16832</v>
      </c>
      <c r="I61" s="49">
        <f t="shared" si="15"/>
        <v>17000.32</v>
      </c>
      <c r="J61" s="47">
        <f t="shared" si="16"/>
        <v>0</v>
      </c>
      <c r="K61" s="47">
        <f t="shared" si="17"/>
        <v>0</v>
      </c>
      <c r="L61" s="47">
        <f t="shared" si="18"/>
        <v>0</v>
      </c>
      <c r="M61" s="49">
        <f t="shared" si="19"/>
        <v>0</v>
      </c>
      <c r="N61" s="245">
        <v>0</v>
      </c>
      <c r="O61" s="245">
        <v>0</v>
      </c>
      <c r="P61" s="245">
        <v>0</v>
      </c>
      <c r="Q61" s="245">
        <v>0</v>
      </c>
      <c r="R61" s="245">
        <v>0</v>
      </c>
      <c r="S61" s="245">
        <v>0</v>
      </c>
      <c r="T61" s="245">
        <v>155.77104353904724</v>
      </c>
      <c r="U61" s="245">
        <v>677</v>
      </c>
      <c r="V61" s="245">
        <v>12309.88</v>
      </c>
      <c r="W61" s="245">
        <v>0</v>
      </c>
      <c r="X61" s="245">
        <v>0</v>
      </c>
      <c r="Y61" s="245">
        <v>715.69146251678467</v>
      </c>
      <c r="Z61" s="245">
        <v>362</v>
      </c>
      <c r="AA61" s="245">
        <v>4690.4399999999996</v>
      </c>
      <c r="AB61" s="245"/>
      <c r="AC61" s="245">
        <v>0</v>
      </c>
      <c r="AD61" s="250">
        <v>244.45000290870667</v>
      </c>
      <c r="AE61" s="47">
        <f>N61*Forutsetninger!$C$23</f>
        <v>0</v>
      </c>
      <c r="AF61" s="47">
        <f t="shared" si="20"/>
        <v>0</v>
      </c>
      <c r="AG61" s="47">
        <f>S61*Forutsetninger!$C$17</f>
        <v>0</v>
      </c>
      <c r="AH61" s="47">
        <f>AE61+O61+AF61+R61*Forutsetninger!$C$17-AG61</f>
        <v>0</v>
      </c>
      <c r="AI61" s="47">
        <f>AH61+P61*Forutsetninger!$B$5</f>
        <v>0</v>
      </c>
      <c r="AJ61" s="47">
        <f>T61*Forutsetninger!$C$23</f>
        <v>163.87559902628169</v>
      </c>
      <c r="AK61" s="47">
        <f t="shared" si="21"/>
        <v>0</v>
      </c>
      <c r="AL61" s="47">
        <f>AJ61+U61+AK61+X61*Forutsetninger!$C$17</f>
        <v>840.87559902628163</v>
      </c>
      <c r="AM61" s="26">
        <f>(T61-E61)*Forutsetninger!$C$23+X61*Forutsetninger!$C$17+U61+V61*Forutsetninger!$B$5</f>
        <v>1618.8600150262816</v>
      </c>
      <c r="AN61" s="26">
        <f>(Y61*Forutsetninger!$C$23)+Z61+(AC61*Forutsetninger!$C$17)+(AA61*Forutsetninger!$B$5)</f>
        <v>1411.3637236978489</v>
      </c>
    </row>
    <row r="62" spans="1:40" s="68" customFormat="1" ht="12.75" x14ac:dyDescent="0.2">
      <c r="A62" s="185">
        <v>1022014</v>
      </c>
      <c r="B62" s="212" t="s">
        <v>53</v>
      </c>
      <c r="C62" s="67">
        <v>2014</v>
      </c>
      <c r="D62" s="49">
        <f t="shared" si="11"/>
        <v>20987.5341796875</v>
      </c>
      <c r="E62" s="245">
        <v>0</v>
      </c>
      <c r="F62" s="49">
        <f t="shared" si="12"/>
        <v>20987.5341796875</v>
      </c>
      <c r="G62" s="49">
        <f t="shared" si="13"/>
        <v>9897</v>
      </c>
      <c r="H62" s="47">
        <f t="shared" si="14"/>
        <v>97833</v>
      </c>
      <c r="I62" s="49">
        <f t="shared" si="15"/>
        <v>98811.33</v>
      </c>
      <c r="J62" s="47">
        <f t="shared" si="16"/>
        <v>26894</v>
      </c>
      <c r="K62" s="47">
        <f t="shared" si="17"/>
        <v>0</v>
      </c>
      <c r="L62" s="47">
        <f t="shared" si="18"/>
        <v>0</v>
      </c>
      <c r="M62" s="49">
        <f t="shared" si="19"/>
        <v>2694</v>
      </c>
      <c r="N62" s="245">
        <v>20987.5341796875</v>
      </c>
      <c r="O62" s="245">
        <v>9897</v>
      </c>
      <c r="P62" s="245">
        <v>98811.33</v>
      </c>
      <c r="Q62" s="245">
        <v>26894</v>
      </c>
      <c r="R62" s="245">
        <v>2694</v>
      </c>
      <c r="S62" s="245">
        <v>0</v>
      </c>
      <c r="T62" s="245">
        <v>0</v>
      </c>
      <c r="U62" s="245">
        <v>0</v>
      </c>
      <c r="V62" s="245">
        <v>0</v>
      </c>
      <c r="W62" s="245">
        <v>0</v>
      </c>
      <c r="X62" s="245">
        <v>0</v>
      </c>
      <c r="Y62" s="245">
        <v>0</v>
      </c>
      <c r="Z62" s="245">
        <v>0</v>
      </c>
      <c r="AA62" s="245">
        <v>0</v>
      </c>
      <c r="AB62" s="245"/>
      <c r="AC62" s="245">
        <v>0</v>
      </c>
      <c r="AD62" s="250">
        <v>259.70000028610229</v>
      </c>
      <c r="AE62" s="47">
        <f>N62*Forutsetninger!$C$23</f>
        <v>22079.487031995825</v>
      </c>
      <c r="AF62" s="47">
        <f t="shared" si="20"/>
        <v>6984.3718076944351</v>
      </c>
      <c r="AG62" s="47">
        <f>S62*Forutsetninger!$C$17</f>
        <v>0</v>
      </c>
      <c r="AH62" s="47">
        <f>AE62+O62+AF62+R62*Forutsetninger!$C$17-AG62</f>
        <v>41810.319760070102</v>
      </c>
      <c r="AI62" s="47">
        <f>AH62+P62*Forutsetninger!$B$5</f>
        <v>48055.195816070103</v>
      </c>
      <c r="AJ62" s="47">
        <f>T62*Forutsetninger!$C$23</f>
        <v>0</v>
      </c>
      <c r="AK62" s="47">
        <f t="shared" si="21"/>
        <v>0</v>
      </c>
      <c r="AL62" s="47">
        <f>AJ62+U62+AK62+X62*Forutsetninger!$C$17</f>
        <v>0</v>
      </c>
      <c r="AM62" s="26">
        <f>(T62-E62)*Forutsetninger!$C$23+X62*Forutsetninger!$C$17+U62+V62*Forutsetninger!$B$5</f>
        <v>0</v>
      </c>
      <c r="AN62" s="26">
        <f>(Y62*Forutsetninger!$C$23)+Z62+(AC62*Forutsetninger!$C$17)+(AA62*Forutsetninger!$B$5)</f>
        <v>0</v>
      </c>
    </row>
    <row r="63" spans="1:40" s="68" customFormat="1" ht="12.75" x14ac:dyDescent="0.2">
      <c r="A63" s="185">
        <v>3542014</v>
      </c>
      <c r="B63" s="212" t="s">
        <v>116</v>
      </c>
      <c r="C63" s="67">
        <v>2014</v>
      </c>
      <c r="D63" s="49">
        <f t="shared" si="11"/>
        <v>83562.291564941406</v>
      </c>
      <c r="E63" s="245">
        <v>0</v>
      </c>
      <c r="F63" s="49">
        <f t="shared" si="12"/>
        <v>83562.291564941406</v>
      </c>
      <c r="G63" s="49">
        <f t="shared" si="13"/>
        <v>39876</v>
      </c>
      <c r="H63" s="49">
        <f t="shared" si="14"/>
        <v>875254</v>
      </c>
      <c r="I63" s="49">
        <f t="shared" si="15"/>
        <v>884006.54</v>
      </c>
      <c r="J63" s="47">
        <f t="shared" si="16"/>
        <v>33725</v>
      </c>
      <c r="K63" s="47">
        <f t="shared" si="17"/>
        <v>14000</v>
      </c>
      <c r="L63" s="47">
        <f t="shared" si="18"/>
        <v>0</v>
      </c>
      <c r="M63" s="49">
        <f t="shared" si="19"/>
        <v>10821</v>
      </c>
      <c r="N63" s="245">
        <v>70807.5361328125</v>
      </c>
      <c r="O63" s="245">
        <v>28329</v>
      </c>
      <c r="P63" s="245">
        <v>534510.18000000005</v>
      </c>
      <c r="Q63" s="245">
        <v>33725</v>
      </c>
      <c r="R63" s="245">
        <v>6027</v>
      </c>
      <c r="S63" s="245">
        <v>0</v>
      </c>
      <c r="T63" s="245">
        <v>12754.755432128906</v>
      </c>
      <c r="U63" s="245">
        <v>11547</v>
      </c>
      <c r="V63" s="245">
        <v>349496.36</v>
      </c>
      <c r="W63" s="245">
        <v>14000</v>
      </c>
      <c r="X63" s="245">
        <v>4794</v>
      </c>
      <c r="Y63" s="245">
        <v>0</v>
      </c>
      <c r="Z63" s="245">
        <v>0</v>
      </c>
      <c r="AA63" s="245">
        <v>0</v>
      </c>
      <c r="AB63" s="245"/>
      <c r="AC63" s="245">
        <v>0</v>
      </c>
      <c r="AD63" s="250">
        <v>244.45000290870667</v>
      </c>
      <c r="AE63" s="47">
        <f>N63*Forutsetninger!$C$23</f>
        <v>74491.555912514916</v>
      </c>
      <c r="AF63" s="47">
        <f t="shared" si="20"/>
        <v>8244.0763480961323</v>
      </c>
      <c r="AG63" s="47">
        <f>S63*Forutsetninger!$C$17</f>
        <v>0</v>
      </c>
      <c r="AH63" s="47">
        <f>AE63+O63+AF63+R63*Forutsetninger!$C$17-AG63</f>
        <v>117439.42846221806</v>
      </c>
      <c r="AI63" s="47">
        <f>AH63+P63*Forutsetninger!$B$5</f>
        <v>151220.47183821807</v>
      </c>
      <c r="AJ63" s="47">
        <f>T63*Forutsetninger!$C$23</f>
        <v>13418.368005924634</v>
      </c>
      <c r="AK63" s="47">
        <f t="shared" si="21"/>
        <v>3422.3000407218933</v>
      </c>
      <c r="AL63" s="47">
        <f>AJ63+U63+AK63+X63*Forutsetninger!$C$17</f>
        <v>33458.312312534035</v>
      </c>
      <c r="AM63" s="26">
        <f>(T63-E63)*Forutsetninger!$C$23+X63*Forutsetninger!$C$17+U63+V63*Forutsetninger!$B$5</f>
        <v>52124.182223812139</v>
      </c>
      <c r="AN63" s="26">
        <f>(Y63*Forutsetninger!$C$23)+Z63+(AC63*Forutsetninger!$C$17)+(AA63*Forutsetninger!$B$5)</f>
        <v>0</v>
      </c>
    </row>
    <row r="64" spans="1:40" s="68" customFormat="1" ht="12.75" x14ac:dyDescent="0.2">
      <c r="A64" s="185">
        <v>1032014</v>
      </c>
      <c r="B64" s="212" t="s">
        <v>375</v>
      </c>
      <c r="C64" s="67">
        <v>2014</v>
      </c>
      <c r="D64" s="49">
        <f t="shared" si="11"/>
        <v>26351.641701698303</v>
      </c>
      <c r="E64" s="245">
        <v>0</v>
      </c>
      <c r="F64" s="49">
        <f t="shared" si="12"/>
        <v>26351.641701698303</v>
      </c>
      <c r="G64" s="49">
        <f t="shared" si="13"/>
        <v>5583</v>
      </c>
      <c r="H64" s="47">
        <f t="shared" si="14"/>
        <v>132630</v>
      </c>
      <c r="I64" s="49">
        <f t="shared" si="15"/>
        <v>133956.29999999999</v>
      </c>
      <c r="J64" s="47">
        <f t="shared" si="16"/>
        <v>6839</v>
      </c>
      <c r="K64" s="47">
        <f t="shared" si="17"/>
        <v>1228</v>
      </c>
      <c r="L64" s="47">
        <f t="shared" si="18"/>
        <v>0</v>
      </c>
      <c r="M64" s="49">
        <f t="shared" si="19"/>
        <v>3187</v>
      </c>
      <c r="N64" s="245">
        <v>25697.972412109375</v>
      </c>
      <c r="O64" s="245">
        <v>4305</v>
      </c>
      <c r="P64" s="245">
        <v>82370.55</v>
      </c>
      <c r="Q64" s="245">
        <v>6839</v>
      </c>
      <c r="R64" s="245">
        <v>2918</v>
      </c>
      <c r="S64" s="245">
        <v>0</v>
      </c>
      <c r="T64" s="245">
        <v>653.66928958892822</v>
      </c>
      <c r="U64" s="245">
        <v>1278</v>
      </c>
      <c r="V64" s="245">
        <v>51585.75</v>
      </c>
      <c r="W64" s="245">
        <v>1228</v>
      </c>
      <c r="X64" s="245">
        <v>269</v>
      </c>
      <c r="Y64" s="245">
        <v>0</v>
      </c>
      <c r="Z64" s="245">
        <v>0</v>
      </c>
      <c r="AA64" s="245">
        <v>0</v>
      </c>
      <c r="AB64" s="245"/>
      <c r="AC64" s="245">
        <v>0</v>
      </c>
      <c r="AD64" s="250">
        <v>244.45000290870667</v>
      </c>
      <c r="AE64" s="47">
        <f>N64*Forutsetninger!$C$23</f>
        <v>27035.002957655877</v>
      </c>
      <c r="AF64" s="47">
        <f t="shared" si="20"/>
        <v>1671.7935698926449</v>
      </c>
      <c r="AG64" s="47">
        <f>S64*Forutsetninger!$C$17</f>
        <v>0</v>
      </c>
      <c r="AH64" s="47">
        <f>AE64+O64+AF64+R64*Forutsetninger!$C$17-AG64</f>
        <v>36098.183671449173</v>
      </c>
      <c r="AI64" s="47">
        <f>AH64+P64*Forutsetninger!$B$5</f>
        <v>41304.002431449175</v>
      </c>
      <c r="AJ64" s="47">
        <f>T64*Forutsetninger!$C$23</f>
        <v>687.67881348639514</v>
      </c>
      <c r="AK64" s="47">
        <f t="shared" si="21"/>
        <v>300.18460357189178</v>
      </c>
      <c r="AL64" s="47">
        <f>AJ64+U64+AK64+X64*Forutsetninger!$C$17</f>
        <v>2550.3864265542693</v>
      </c>
      <c r="AM64" s="26">
        <f>(T64-E64)*Forutsetninger!$C$23+X64*Forutsetninger!$C$17+U64+V64*Forutsetninger!$B$5</f>
        <v>5510.4212229823779</v>
      </c>
      <c r="AN64" s="26">
        <f>(Y64*Forutsetninger!$C$23)+Z64+(AC64*Forutsetninger!$C$17)+(AA64*Forutsetninger!$B$5)</f>
        <v>0</v>
      </c>
    </row>
    <row r="65" spans="1:40" s="68" customFormat="1" ht="12.75" x14ac:dyDescent="0.2">
      <c r="A65" s="185">
        <v>1042014</v>
      </c>
      <c r="B65" s="212" t="s">
        <v>217</v>
      </c>
      <c r="C65" s="67">
        <v>2014</v>
      </c>
      <c r="D65" s="49">
        <f t="shared" si="11"/>
        <v>14259.553833007813</v>
      </c>
      <c r="E65" s="245">
        <v>0</v>
      </c>
      <c r="F65" s="49">
        <f t="shared" si="12"/>
        <v>14259.553833007813</v>
      </c>
      <c r="G65" s="49">
        <f t="shared" si="13"/>
        <v>3486</v>
      </c>
      <c r="H65" s="49">
        <f t="shared" si="14"/>
        <v>41730</v>
      </c>
      <c r="I65" s="49">
        <f t="shared" si="15"/>
        <v>42147.3</v>
      </c>
      <c r="J65" s="47">
        <f t="shared" si="16"/>
        <v>6334</v>
      </c>
      <c r="K65" s="47">
        <f t="shared" si="17"/>
        <v>0</v>
      </c>
      <c r="L65" s="47">
        <f t="shared" si="18"/>
        <v>0</v>
      </c>
      <c r="M65" s="49">
        <f t="shared" si="19"/>
        <v>852</v>
      </c>
      <c r="N65" s="245">
        <v>14259.553833007813</v>
      </c>
      <c r="O65" s="245">
        <v>3486</v>
      </c>
      <c r="P65" s="245">
        <v>42147.3</v>
      </c>
      <c r="Q65" s="245">
        <v>6334</v>
      </c>
      <c r="R65" s="245">
        <v>852</v>
      </c>
      <c r="S65" s="245">
        <v>131.61000061035156</v>
      </c>
      <c r="T65" s="245">
        <v>0</v>
      </c>
      <c r="U65" s="245">
        <v>0</v>
      </c>
      <c r="V65" s="245">
        <v>0</v>
      </c>
      <c r="W65" s="245">
        <v>0</v>
      </c>
      <c r="X65" s="245">
        <v>0</v>
      </c>
      <c r="Y65" s="245">
        <v>0</v>
      </c>
      <c r="Z65" s="245">
        <v>0</v>
      </c>
      <c r="AA65" s="245">
        <v>0</v>
      </c>
      <c r="AB65" s="245"/>
      <c r="AC65" s="245">
        <v>0</v>
      </c>
      <c r="AD65" s="250">
        <v>259.70000028610229</v>
      </c>
      <c r="AE65" s="47">
        <f>N65*Forutsetninger!$C$23</f>
        <v>15001.459020500821</v>
      </c>
      <c r="AF65" s="47">
        <f t="shared" si="20"/>
        <v>1644.9398018121719</v>
      </c>
      <c r="AG65" s="47">
        <f>S65*Forutsetninger!$C$17</f>
        <v>139.20473402760339</v>
      </c>
      <c r="AH65" s="47">
        <f>AE65+O65+AF65+R65*Forutsetninger!$C$17-AG65</f>
        <v>20894.3599027485</v>
      </c>
      <c r="AI65" s="47">
        <f>AH65+P65*Forutsetninger!$B$5</f>
        <v>23558.0692627485</v>
      </c>
      <c r="AJ65" s="47">
        <f>T65*Forutsetninger!$C$23</f>
        <v>0</v>
      </c>
      <c r="AK65" s="47">
        <f t="shared" si="21"/>
        <v>0</v>
      </c>
      <c r="AL65" s="47">
        <f>AJ65+U65+AK65+X65*Forutsetninger!$C$17</f>
        <v>0</v>
      </c>
      <c r="AM65" s="26">
        <f>(T65-E65)*Forutsetninger!$C$23+X65*Forutsetninger!$C$17+U65+V65*Forutsetninger!$B$5</f>
        <v>0</v>
      </c>
      <c r="AN65" s="26">
        <f>(Y65*Forutsetninger!$C$23)+Z65+(AC65*Forutsetninger!$C$17)+(AA65*Forutsetninger!$B$5)</f>
        <v>0</v>
      </c>
    </row>
    <row r="66" spans="1:40" s="68" customFormat="1" ht="12.75" x14ac:dyDescent="0.2">
      <c r="A66" s="185">
        <v>5112014</v>
      </c>
      <c r="B66" s="212" t="s">
        <v>92</v>
      </c>
      <c r="C66" s="67">
        <v>2014</v>
      </c>
      <c r="D66" s="49">
        <f t="shared" si="11"/>
        <v>316968.32921218872</v>
      </c>
      <c r="E66" s="245">
        <v>1111</v>
      </c>
      <c r="F66" s="49">
        <f t="shared" si="12"/>
        <v>315857.32921218872</v>
      </c>
      <c r="G66" s="49">
        <f t="shared" si="13"/>
        <v>142898</v>
      </c>
      <c r="H66" s="49">
        <f t="shared" si="14"/>
        <v>2475067</v>
      </c>
      <c r="I66" s="49">
        <f t="shared" si="15"/>
        <v>2499817.67</v>
      </c>
      <c r="J66" s="47">
        <f t="shared" si="16"/>
        <v>164014</v>
      </c>
      <c r="K66" s="47">
        <f t="shared" si="17"/>
        <v>69550</v>
      </c>
      <c r="L66" s="47">
        <f t="shared" si="18"/>
        <v>0</v>
      </c>
      <c r="M66" s="49">
        <f t="shared" si="19"/>
        <v>11955</v>
      </c>
      <c r="N66" s="245">
        <v>207444.072265625</v>
      </c>
      <c r="O66" s="245">
        <v>99814</v>
      </c>
      <c r="P66" s="245">
        <v>1850500.79</v>
      </c>
      <c r="Q66" s="245">
        <v>164014</v>
      </c>
      <c r="R66" s="245">
        <v>11202</v>
      </c>
      <c r="S66" s="245">
        <v>19491.029296875</v>
      </c>
      <c r="T66" s="245">
        <v>109547.56713867187</v>
      </c>
      <c r="U66" s="245">
        <v>42100</v>
      </c>
      <c r="V66" s="245">
        <v>631910.54</v>
      </c>
      <c r="W66" s="245">
        <v>69550</v>
      </c>
      <c r="X66" s="245">
        <v>753</v>
      </c>
      <c r="Y66" s="245">
        <v>-23.310192108154297</v>
      </c>
      <c r="Z66" s="245">
        <v>984</v>
      </c>
      <c r="AA66" s="245">
        <v>17406.34</v>
      </c>
      <c r="AB66" s="245"/>
      <c r="AC66" s="245">
        <v>0</v>
      </c>
      <c r="AD66" s="250">
        <v>247.85000085830688</v>
      </c>
      <c r="AE66" s="47">
        <f>N66*Forutsetninger!$C$23</f>
        <v>218237.10514245226</v>
      </c>
      <c r="AF66" s="47">
        <f t="shared" si="20"/>
        <v>40650.870040774345</v>
      </c>
      <c r="AG66" s="47">
        <f>S66*Forutsetninger!$C$17</f>
        <v>20615.785552867055</v>
      </c>
      <c r="AH66" s="47">
        <f>AE66+O66+AF66+R66*Forutsetninger!$C$17-AG66</f>
        <v>349934.6162191105</v>
      </c>
      <c r="AI66" s="47">
        <f>AH66+P66*Forutsetninger!$B$5</f>
        <v>466886.26614711049</v>
      </c>
      <c r="AJ66" s="47">
        <f>T66*Forutsetninger!$C$23</f>
        <v>115247.17803037366</v>
      </c>
      <c r="AK66" s="47">
        <f t="shared" si="21"/>
        <v>17237.967559695244</v>
      </c>
      <c r="AL66" s="47">
        <f>AJ66+U66+AK66+X66*Forutsetninger!$C$17</f>
        <v>175381.59847538665</v>
      </c>
      <c r="AM66" s="26">
        <f>(T66-E66)*Forutsetninger!$C$23+X66*Forutsetninger!$C$17+U66+V66*Forutsetninger!$B$5</f>
        <v>196911.57322507564</v>
      </c>
      <c r="AN66" s="26">
        <f>(Y66*Forutsetninger!$C$23)+Z66+(AC66*Forutsetninger!$C$17)+(AA66*Forutsetninger!$B$5)</f>
        <v>2059.557698307221</v>
      </c>
    </row>
    <row r="67" spans="1:40" s="68" customFormat="1" ht="12.75" x14ac:dyDescent="0.2">
      <c r="A67" s="185">
        <v>5122014</v>
      </c>
      <c r="B67" s="212" t="s">
        <v>93</v>
      </c>
      <c r="C67" s="67">
        <v>2014</v>
      </c>
      <c r="D67" s="49">
        <f t="shared" ref="D67:D98" si="22">N67+T67+Y67</f>
        <v>1029</v>
      </c>
      <c r="E67" s="245">
        <v>0</v>
      </c>
      <c r="F67" s="49">
        <f t="shared" ref="F67:F98" si="23">D67-E67</f>
        <v>1029</v>
      </c>
      <c r="G67" s="49">
        <f t="shared" ref="G67:G98" si="24">O67+U67+Z67</f>
        <v>1165</v>
      </c>
      <c r="H67" s="49">
        <f t="shared" ref="H67:H98" si="25">ROUND(I67/1.01,0)</f>
        <v>12588</v>
      </c>
      <c r="I67" s="49">
        <f t="shared" ref="I67:I98" si="26">P67+V67+AA67</f>
        <v>12713.880000000001</v>
      </c>
      <c r="J67" s="47">
        <f t="shared" ref="J67:J98" si="27">Q67</f>
        <v>0</v>
      </c>
      <c r="K67" s="47">
        <f t="shared" ref="K67:K98" si="28">W67</f>
        <v>0</v>
      </c>
      <c r="L67" s="47">
        <f t="shared" ref="L67:L98" si="29">AB67</f>
        <v>0</v>
      </c>
      <c r="M67" s="49">
        <f t="shared" ref="M67:M98" si="30">R67+X67+AC67</f>
        <v>0</v>
      </c>
      <c r="N67" s="245">
        <v>208</v>
      </c>
      <c r="O67" s="245">
        <v>649</v>
      </c>
      <c r="P67" s="245">
        <v>9026.3700000000008</v>
      </c>
      <c r="Q67" s="245">
        <v>0</v>
      </c>
      <c r="R67" s="245">
        <v>0</v>
      </c>
      <c r="S67" s="245">
        <v>0</v>
      </c>
      <c r="T67" s="245">
        <v>821</v>
      </c>
      <c r="U67" s="245">
        <v>516</v>
      </c>
      <c r="V67" s="245">
        <v>3687.51</v>
      </c>
      <c r="W67" s="245">
        <v>0</v>
      </c>
      <c r="X67" s="245">
        <v>0</v>
      </c>
      <c r="Y67" s="245">
        <v>0</v>
      </c>
      <c r="Z67" s="245">
        <v>0</v>
      </c>
      <c r="AA67" s="245">
        <v>0</v>
      </c>
      <c r="AB67" s="245"/>
      <c r="AC67" s="245">
        <v>0</v>
      </c>
      <c r="AD67" s="250">
        <v>247.85000085830688</v>
      </c>
      <c r="AE67" s="47">
        <f>N67*Forutsetninger!$C$23</f>
        <v>218.82195704057278</v>
      </c>
      <c r="AF67" s="47">
        <f t="shared" ref="AF67:AF98" si="31">(Q67*AD67)/1000</f>
        <v>0</v>
      </c>
      <c r="AG67" s="47">
        <f>S67*Forutsetninger!$C$17</f>
        <v>0</v>
      </c>
      <c r="AH67" s="47">
        <f>AE67+O67+AF67+R67*Forutsetninger!$C$17-AG67</f>
        <v>867.82195704057278</v>
      </c>
      <c r="AI67" s="47">
        <f>AH67+P67*Forutsetninger!$B$5</f>
        <v>1438.2885410405729</v>
      </c>
      <c r="AJ67" s="47">
        <f>T67*Forutsetninger!$C$23</f>
        <v>863.7155131264916</v>
      </c>
      <c r="AK67" s="47">
        <f t="shared" ref="AK67:AK98" si="32">(W67*AD67)/1000</f>
        <v>0</v>
      </c>
      <c r="AL67" s="47">
        <f>AJ67+U67+AK67+X67*Forutsetninger!$C$17</f>
        <v>1379.7155131264917</v>
      </c>
      <c r="AM67" s="26">
        <f>(T67-E67)*Forutsetninger!$C$23+X67*Forutsetninger!$C$17+U67+V67*Forutsetninger!$B$5</f>
        <v>1612.7661451264917</v>
      </c>
      <c r="AN67" s="26">
        <f>(Y67*Forutsetninger!$C$23)+Z67+(AC67*Forutsetninger!$C$17)+(AA67*Forutsetninger!$B$5)</f>
        <v>0</v>
      </c>
    </row>
    <row r="68" spans="1:40" s="68" customFormat="1" ht="12.75" x14ac:dyDescent="0.2">
      <c r="A68" s="185">
        <v>8722014</v>
      </c>
      <c r="B68" s="212" t="s">
        <v>278</v>
      </c>
      <c r="C68" s="67">
        <v>2014</v>
      </c>
      <c r="D68" s="49">
        <f t="shared" si="22"/>
        <v>17856.600006103516</v>
      </c>
      <c r="E68" s="245">
        <v>0</v>
      </c>
      <c r="F68" s="49">
        <f t="shared" si="23"/>
        <v>17856.600006103516</v>
      </c>
      <c r="G68" s="49">
        <f t="shared" si="24"/>
        <v>8820</v>
      </c>
      <c r="H68" s="49">
        <f t="shared" si="25"/>
        <v>98294</v>
      </c>
      <c r="I68" s="49">
        <f t="shared" si="26"/>
        <v>99276.94</v>
      </c>
      <c r="J68" s="47">
        <f t="shared" si="27"/>
        <v>0</v>
      </c>
      <c r="K68" s="47">
        <f t="shared" si="28"/>
        <v>0</v>
      </c>
      <c r="L68" s="47">
        <f t="shared" si="29"/>
        <v>0</v>
      </c>
      <c r="M68" s="49">
        <f t="shared" si="30"/>
        <v>0</v>
      </c>
      <c r="N68" s="245">
        <v>0</v>
      </c>
      <c r="O68" s="245">
        <v>0</v>
      </c>
      <c r="P68" s="245">
        <v>0</v>
      </c>
      <c r="Q68" s="245">
        <v>0</v>
      </c>
      <c r="R68" s="245">
        <v>0</v>
      </c>
      <c r="S68" s="245">
        <v>0</v>
      </c>
      <c r="T68" s="245">
        <v>0</v>
      </c>
      <c r="U68" s="245">
        <v>0</v>
      </c>
      <c r="V68" s="245">
        <v>0</v>
      </c>
      <c r="W68" s="245">
        <v>0</v>
      </c>
      <c r="X68" s="245">
        <v>0</v>
      </c>
      <c r="Y68" s="245">
        <v>17856.600006103516</v>
      </c>
      <c r="Z68" s="245">
        <v>8820</v>
      </c>
      <c r="AA68" s="245">
        <v>99276.94</v>
      </c>
      <c r="AB68" s="245"/>
      <c r="AC68" s="245">
        <v>0</v>
      </c>
      <c r="AD68" s="250">
        <v>247.85000085830688</v>
      </c>
      <c r="AE68" s="47">
        <f>N68*Forutsetninger!$C$23</f>
        <v>0</v>
      </c>
      <c r="AF68" s="47">
        <f t="shared" si="31"/>
        <v>0</v>
      </c>
      <c r="AG68" s="47">
        <f>S68*Forutsetninger!$C$17</f>
        <v>0</v>
      </c>
      <c r="AH68" s="47">
        <f>AE68+O68+AF68+R68*Forutsetninger!$C$17-AG68</f>
        <v>0</v>
      </c>
      <c r="AI68" s="47">
        <f>AH68+P68*Forutsetninger!$B$5</f>
        <v>0</v>
      </c>
      <c r="AJ68" s="47">
        <f>T68*Forutsetninger!$C$23</f>
        <v>0</v>
      </c>
      <c r="AK68" s="47">
        <f t="shared" si="32"/>
        <v>0</v>
      </c>
      <c r="AL68" s="47">
        <f>AJ68+U68+AK68+X68*Forutsetninger!$C$17</f>
        <v>0</v>
      </c>
      <c r="AM68" s="26">
        <f>(T68-E68)*Forutsetninger!$C$23+X68*Forutsetninger!$C$17+U68+V68*Forutsetninger!$B$5</f>
        <v>0</v>
      </c>
      <c r="AN68" s="26">
        <f>(Y68*Forutsetninger!$C$23)+Z68+(AC68*Forutsetninger!$C$17)+(AA68*Forutsetninger!$B$5)</f>
        <v>33879.957220626326</v>
      </c>
    </row>
    <row r="69" spans="1:40" s="68" customFormat="1" ht="12.75" x14ac:dyDescent="0.2">
      <c r="A69" s="185">
        <v>1062014</v>
      </c>
      <c r="B69" s="212" t="s">
        <v>108</v>
      </c>
      <c r="C69" s="67">
        <v>2014</v>
      </c>
      <c r="D69" s="49">
        <f t="shared" si="22"/>
        <v>16297.065155029297</v>
      </c>
      <c r="E69" s="245">
        <v>0</v>
      </c>
      <c r="F69" s="49">
        <f t="shared" si="23"/>
        <v>16297.065155029297</v>
      </c>
      <c r="G69" s="49">
        <f t="shared" si="24"/>
        <v>2358</v>
      </c>
      <c r="H69" s="49">
        <f t="shared" si="25"/>
        <v>24239</v>
      </c>
      <c r="I69" s="49">
        <f t="shared" si="26"/>
        <v>24481.39</v>
      </c>
      <c r="J69" s="47">
        <f t="shared" si="27"/>
        <v>4842</v>
      </c>
      <c r="K69" s="47">
        <f t="shared" si="28"/>
        <v>2438</v>
      </c>
      <c r="L69" s="47">
        <f t="shared" si="29"/>
        <v>0</v>
      </c>
      <c r="M69" s="49">
        <f t="shared" si="30"/>
        <v>2722</v>
      </c>
      <c r="N69" s="245">
        <v>14568.4658203125</v>
      </c>
      <c r="O69" s="245">
        <v>2032</v>
      </c>
      <c r="P69" s="245">
        <v>19103.14</v>
      </c>
      <c r="Q69" s="245">
        <v>4842</v>
      </c>
      <c r="R69" s="245">
        <v>2722</v>
      </c>
      <c r="S69" s="245">
        <v>32.900001525878906</v>
      </c>
      <c r="T69" s="245">
        <v>1728.5993347167969</v>
      </c>
      <c r="U69" s="245">
        <v>326</v>
      </c>
      <c r="V69" s="245">
        <v>5378.25</v>
      </c>
      <c r="W69" s="245">
        <v>2438</v>
      </c>
      <c r="X69" s="245">
        <v>0</v>
      </c>
      <c r="Y69" s="245">
        <v>0</v>
      </c>
      <c r="Z69" s="245">
        <v>0</v>
      </c>
      <c r="AA69" s="245">
        <v>0</v>
      </c>
      <c r="AB69" s="245"/>
      <c r="AC69" s="245">
        <v>0</v>
      </c>
      <c r="AD69" s="250">
        <v>246.69000506401062</v>
      </c>
      <c r="AE69" s="47">
        <f>N69*Forutsetninger!$C$23</f>
        <v>15326.443278266706</v>
      </c>
      <c r="AF69" s="47">
        <f t="shared" si="31"/>
        <v>1194.4730045199394</v>
      </c>
      <c r="AG69" s="47">
        <f>S69*Forutsetninger!$C$17</f>
        <v>34.798540693551978</v>
      </c>
      <c r="AH69" s="47">
        <f>AE69+O69+AF69+R69*Forutsetninger!$C$17-AG69</f>
        <v>21397.194440413037</v>
      </c>
      <c r="AI69" s="47">
        <f>AH69+P69*Forutsetninger!$B$5</f>
        <v>22604.512888413039</v>
      </c>
      <c r="AJ69" s="47">
        <f>T69*Forutsetninger!$C$23</f>
        <v>1818.5360065469308</v>
      </c>
      <c r="AK69" s="47">
        <f t="shared" si="32"/>
        <v>601.43023234605789</v>
      </c>
      <c r="AL69" s="47">
        <f>AJ69+U69+AK69+X69*Forutsetninger!$C$17</f>
        <v>2745.9662388929887</v>
      </c>
      <c r="AM69" s="26">
        <f>(T69-E69)*Forutsetninger!$C$23+X69*Forutsetninger!$C$17+U69+V69*Forutsetninger!$B$5</f>
        <v>2484.4414065469309</v>
      </c>
      <c r="AN69" s="26">
        <f>(Y69*Forutsetninger!$C$23)+Z69+(AC69*Forutsetninger!$C$17)+(AA69*Forutsetninger!$B$5)</f>
        <v>0</v>
      </c>
    </row>
    <row r="70" spans="1:40" s="68" customFormat="1" ht="12.75" x14ac:dyDescent="0.2">
      <c r="A70" s="185">
        <v>1082014</v>
      </c>
      <c r="B70" s="212" t="s">
        <v>269</v>
      </c>
      <c r="C70" s="67">
        <v>2014</v>
      </c>
      <c r="D70" s="49">
        <f t="shared" si="22"/>
        <v>1876.8624420166016</v>
      </c>
      <c r="E70" s="245">
        <v>0</v>
      </c>
      <c r="F70" s="49">
        <f t="shared" si="23"/>
        <v>1876.8624420166016</v>
      </c>
      <c r="G70" s="49">
        <f t="shared" si="24"/>
        <v>720</v>
      </c>
      <c r="H70" s="47">
        <f t="shared" si="25"/>
        <v>13307</v>
      </c>
      <c r="I70" s="49">
        <f t="shared" si="26"/>
        <v>13440.07</v>
      </c>
      <c r="J70" s="47">
        <f t="shared" si="27"/>
        <v>3076</v>
      </c>
      <c r="K70" s="47">
        <f t="shared" si="28"/>
        <v>0</v>
      </c>
      <c r="L70" s="47">
        <f t="shared" si="29"/>
        <v>0</v>
      </c>
      <c r="M70" s="49">
        <f t="shared" si="30"/>
        <v>0</v>
      </c>
      <c r="N70" s="245">
        <v>1876.8624420166016</v>
      </c>
      <c r="O70" s="245">
        <v>720</v>
      </c>
      <c r="P70" s="245">
        <v>13440.07</v>
      </c>
      <c r="Q70" s="245">
        <v>3076</v>
      </c>
      <c r="R70" s="245">
        <v>0</v>
      </c>
      <c r="S70" s="245">
        <v>0</v>
      </c>
      <c r="T70" s="245">
        <v>0</v>
      </c>
      <c r="U70" s="245">
        <v>0</v>
      </c>
      <c r="V70" s="245">
        <v>0</v>
      </c>
      <c r="W70" s="245">
        <v>0</v>
      </c>
      <c r="X70" s="245">
        <v>0</v>
      </c>
      <c r="Y70" s="245">
        <v>0</v>
      </c>
      <c r="Z70" s="245">
        <v>0</v>
      </c>
      <c r="AA70" s="245">
        <v>0</v>
      </c>
      <c r="AB70" s="245"/>
      <c r="AC70" s="245">
        <v>0</v>
      </c>
      <c r="AD70" s="250">
        <v>247.85000085830688</v>
      </c>
      <c r="AE70" s="47">
        <f>N70*Forutsetninger!$C$23</f>
        <v>1974.5130416251025</v>
      </c>
      <c r="AF70" s="47">
        <f t="shared" si="31"/>
        <v>762.38660264015198</v>
      </c>
      <c r="AG70" s="47">
        <f>S70*Forutsetninger!$C$17</f>
        <v>0</v>
      </c>
      <c r="AH70" s="47">
        <f>AE70+O70+AF70+R70*Forutsetninger!$C$17-AG70</f>
        <v>3456.8996442652542</v>
      </c>
      <c r="AI70" s="47">
        <f>AH70+P70*Forutsetninger!$B$5</f>
        <v>4306.3120682652543</v>
      </c>
      <c r="AJ70" s="47">
        <f>T70*Forutsetninger!$C$23</f>
        <v>0</v>
      </c>
      <c r="AK70" s="47">
        <f t="shared" si="32"/>
        <v>0</v>
      </c>
      <c r="AL70" s="47">
        <f>AJ70+U70+AK70+X70*Forutsetninger!$C$17</f>
        <v>0</v>
      </c>
      <c r="AM70" s="26">
        <f>(T70-E70)*Forutsetninger!$C$23+X70*Forutsetninger!$C$17+U70+V70*Forutsetninger!$B$5</f>
        <v>0</v>
      </c>
      <c r="AN70" s="26">
        <f>(Y70*Forutsetninger!$C$23)+Z70+(AC70*Forutsetninger!$C$17)+(AA70*Forutsetninger!$B$5)</f>
        <v>0</v>
      </c>
    </row>
    <row r="71" spans="1:40" s="68" customFormat="1" ht="12.75" x14ac:dyDescent="0.2">
      <c r="A71" s="185">
        <v>1162014</v>
      </c>
      <c r="B71" s="212" t="s">
        <v>218</v>
      </c>
      <c r="C71" s="67">
        <v>2014</v>
      </c>
      <c r="D71" s="49">
        <f t="shared" si="22"/>
        <v>22653.4892578125</v>
      </c>
      <c r="E71" s="245">
        <v>0</v>
      </c>
      <c r="F71" s="49">
        <f t="shared" si="23"/>
        <v>22653.4892578125</v>
      </c>
      <c r="G71" s="49">
        <f t="shared" si="24"/>
        <v>6288</v>
      </c>
      <c r="H71" s="49">
        <f t="shared" si="25"/>
        <v>77705</v>
      </c>
      <c r="I71" s="49">
        <f t="shared" si="26"/>
        <v>78482.049999999988</v>
      </c>
      <c r="J71" s="47">
        <f t="shared" si="27"/>
        <v>8472</v>
      </c>
      <c r="K71" s="47">
        <f t="shared" si="28"/>
        <v>500</v>
      </c>
      <c r="L71" s="47">
        <f t="shared" si="29"/>
        <v>0</v>
      </c>
      <c r="M71" s="49">
        <f t="shared" si="30"/>
        <v>3236</v>
      </c>
      <c r="N71" s="245">
        <v>22653.4892578125</v>
      </c>
      <c r="O71" s="245">
        <v>6111</v>
      </c>
      <c r="P71" s="245">
        <v>77583.149999999994</v>
      </c>
      <c r="Q71" s="245">
        <v>8472</v>
      </c>
      <c r="R71" s="245">
        <v>3236</v>
      </c>
      <c r="S71" s="245">
        <v>0</v>
      </c>
      <c r="T71" s="245">
        <v>0</v>
      </c>
      <c r="U71" s="245">
        <v>177</v>
      </c>
      <c r="V71" s="245">
        <v>898.9</v>
      </c>
      <c r="W71" s="245">
        <v>500</v>
      </c>
      <c r="X71" s="245">
        <v>0</v>
      </c>
      <c r="Y71" s="245">
        <v>0</v>
      </c>
      <c r="Z71" s="245">
        <v>0</v>
      </c>
      <c r="AA71" s="245">
        <v>0</v>
      </c>
      <c r="AB71" s="245"/>
      <c r="AC71" s="245">
        <v>0</v>
      </c>
      <c r="AD71" s="250">
        <v>244.45000290870667</v>
      </c>
      <c r="AE71" s="47">
        <f>N71*Forutsetninger!$C$23</f>
        <v>23832.119486500596</v>
      </c>
      <c r="AF71" s="47">
        <f t="shared" si="31"/>
        <v>2070.9804246425629</v>
      </c>
      <c r="AG71" s="47">
        <f>S71*Forutsetninger!$C$17</f>
        <v>0</v>
      </c>
      <c r="AH71" s="47">
        <f>AE71+O71+AF71+R71*Forutsetninger!$C$17-AG71</f>
        <v>35436.837675934978</v>
      </c>
      <c r="AI71" s="47">
        <f>AH71+P71*Forutsetninger!$B$5</f>
        <v>40340.09275593498</v>
      </c>
      <c r="AJ71" s="47">
        <f>T71*Forutsetninger!$C$23</f>
        <v>0</v>
      </c>
      <c r="AK71" s="47">
        <f t="shared" si="32"/>
        <v>122.22500145435333</v>
      </c>
      <c r="AL71" s="47">
        <f>AJ71+U71+AK71+X71*Forutsetninger!$C$17</f>
        <v>299.22500145435333</v>
      </c>
      <c r="AM71" s="26">
        <f>(T71-E71)*Forutsetninger!$C$23+X71*Forutsetninger!$C$17+U71+V71*Forutsetninger!$B$5</f>
        <v>233.81048000000001</v>
      </c>
      <c r="AN71" s="26">
        <f>(Y71*Forutsetninger!$C$23)+Z71+(AC71*Forutsetninger!$C$17)+(AA71*Forutsetninger!$B$5)</f>
        <v>0</v>
      </c>
    </row>
    <row r="72" spans="1:40" s="68" customFormat="1" ht="12.75" x14ac:dyDescent="0.2">
      <c r="A72" s="185">
        <v>5912014</v>
      </c>
      <c r="B72" s="212" t="s">
        <v>277</v>
      </c>
      <c r="C72" s="67">
        <v>2014</v>
      </c>
      <c r="D72" s="49">
        <f t="shared" si="22"/>
        <v>31172.384317398071</v>
      </c>
      <c r="E72" s="245">
        <v>0</v>
      </c>
      <c r="F72" s="49">
        <f t="shared" si="23"/>
        <v>31172.384317398071</v>
      </c>
      <c r="G72" s="49">
        <f t="shared" si="24"/>
        <v>18124</v>
      </c>
      <c r="H72" s="49">
        <f t="shared" si="25"/>
        <v>266276</v>
      </c>
      <c r="I72" s="49">
        <f t="shared" si="26"/>
        <v>268938.76</v>
      </c>
      <c r="J72" s="49">
        <f t="shared" si="27"/>
        <v>17835</v>
      </c>
      <c r="K72" s="49">
        <f t="shared" si="28"/>
        <v>1472</v>
      </c>
      <c r="L72" s="47">
        <f t="shared" si="29"/>
        <v>0</v>
      </c>
      <c r="M72" s="49">
        <f t="shared" si="30"/>
        <v>2200</v>
      </c>
      <c r="N72" s="245">
        <v>29913.15234375</v>
      </c>
      <c r="O72" s="245">
        <v>16008</v>
      </c>
      <c r="P72" s="245">
        <v>218280.19</v>
      </c>
      <c r="Q72" s="245">
        <v>17835</v>
      </c>
      <c r="R72" s="245">
        <v>2157</v>
      </c>
      <c r="S72" s="245">
        <v>0</v>
      </c>
      <c r="T72" s="245">
        <v>1259.2319736480713</v>
      </c>
      <c r="U72" s="245">
        <v>2116</v>
      </c>
      <c r="V72" s="245">
        <v>50658.57</v>
      </c>
      <c r="W72" s="245">
        <v>1472</v>
      </c>
      <c r="X72" s="245">
        <v>43</v>
      </c>
      <c r="Y72" s="245">
        <v>0</v>
      </c>
      <c r="Z72" s="245">
        <v>0</v>
      </c>
      <c r="AA72" s="245">
        <v>0</v>
      </c>
      <c r="AB72" s="245"/>
      <c r="AC72" s="245">
        <v>0</v>
      </c>
      <c r="AD72" s="250">
        <v>259.70000028610229</v>
      </c>
      <c r="AE72" s="47">
        <f>N72*Forutsetninger!$C$23</f>
        <v>31469.492966885442</v>
      </c>
      <c r="AF72" s="49">
        <f t="shared" si="31"/>
        <v>4631.7495051026344</v>
      </c>
      <c r="AG72" s="47">
        <f>S72*Forutsetninger!$C$17</f>
        <v>0</v>
      </c>
      <c r="AH72" s="47">
        <f>AE72+O72+AF72+R72*Forutsetninger!$C$17-AG72</f>
        <v>54390.715079730959</v>
      </c>
      <c r="AI72" s="49">
        <f>AH72+P72*Forutsetninger!$B$5</f>
        <v>68186.023087730966</v>
      </c>
      <c r="AJ72" s="47">
        <f>T72*Forutsetninger!$C$23</f>
        <v>1324.7481002006439</v>
      </c>
      <c r="AK72" s="49">
        <f t="shared" si="32"/>
        <v>382.27840042114258</v>
      </c>
      <c r="AL72" s="47">
        <f>AJ72+U72+AK72+X72*Forutsetninger!$C$17</f>
        <v>3868.5078738869433</v>
      </c>
      <c r="AM72" s="26">
        <f>(T72-E72)*Forutsetninger!$C$23+X72*Forutsetninger!$C$17+U72+V72*Forutsetninger!$B$5</f>
        <v>6687.8510974658011</v>
      </c>
      <c r="AN72" s="26">
        <f>(Y72*Forutsetninger!$C$23)+Z72+(AC72*Forutsetninger!$C$17)+(AA72*Forutsetninger!$B$5)</f>
        <v>0</v>
      </c>
    </row>
    <row r="73" spans="1:40" s="68" customFormat="1" ht="12.75" x14ac:dyDescent="0.2">
      <c r="A73" s="185">
        <v>6592014</v>
      </c>
      <c r="B73" s="212" t="s">
        <v>132</v>
      </c>
      <c r="C73" s="67">
        <v>2014</v>
      </c>
      <c r="D73" s="49">
        <f t="shared" si="22"/>
        <v>28782.912178993225</v>
      </c>
      <c r="E73" s="245">
        <v>0</v>
      </c>
      <c r="F73" s="49">
        <f t="shared" si="23"/>
        <v>28782.912178993225</v>
      </c>
      <c r="G73" s="49">
        <f t="shared" si="24"/>
        <v>12125</v>
      </c>
      <c r="H73" s="49">
        <f t="shared" si="25"/>
        <v>185420</v>
      </c>
      <c r="I73" s="49">
        <f t="shared" si="26"/>
        <v>187274.2</v>
      </c>
      <c r="J73" s="47">
        <f t="shared" si="27"/>
        <v>15218</v>
      </c>
      <c r="K73" s="47">
        <f t="shared" si="28"/>
        <v>1184</v>
      </c>
      <c r="L73" s="47">
        <f t="shared" si="29"/>
        <v>0</v>
      </c>
      <c r="M73" s="49">
        <f t="shared" si="30"/>
        <v>1303</v>
      </c>
      <c r="N73" s="245">
        <v>27345.30859375</v>
      </c>
      <c r="O73" s="245">
        <v>11414</v>
      </c>
      <c r="P73" s="245">
        <v>179861.81</v>
      </c>
      <c r="Q73" s="245">
        <v>15218</v>
      </c>
      <c r="R73" s="245">
        <v>1303</v>
      </c>
      <c r="S73" s="245">
        <v>789.70001220703125</v>
      </c>
      <c r="T73" s="245">
        <v>1437.6035852432251</v>
      </c>
      <c r="U73" s="245">
        <v>711</v>
      </c>
      <c r="V73" s="245">
        <v>7412.39</v>
      </c>
      <c r="W73" s="245">
        <v>1184</v>
      </c>
      <c r="X73" s="245">
        <v>0</v>
      </c>
      <c r="Y73" s="245">
        <v>0</v>
      </c>
      <c r="Z73" s="245">
        <v>0</v>
      </c>
      <c r="AA73" s="245">
        <v>0</v>
      </c>
      <c r="AB73" s="245"/>
      <c r="AC73" s="245">
        <v>0</v>
      </c>
      <c r="AD73" s="250">
        <v>247.85000085830688</v>
      </c>
      <c r="AE73" s="47">
        <f>N73*Forutsetninger!$C$23</f>
        <v>28768.047799821001</v>
      </c>
      <c r="AF73" s="47">
        <f t="shared" si="31"/>
        <v>3771.7813130617142</v>
      </c>
      <c r="AG73" s="47">
        <f>S73*Forutsetninger!$C$17</f>
        <v>835.2707214578387</v>
      </c>
      <c r="AH73" s="47">
        <f>AE73+O73+AF73+R73*Forutsetninger!$C$17-AG73</f>
        <v>44496.749771994633</v>
      </c>
      <c r="AI73" s="47">
        <f>AH73+P73*Forutsetninger!$B$5</f>
        <v>55864.016163994631</v>
      </c>
      <c r="AJ73" s="47">
        <f>T73*Forutsetninger!$C$23</f>
        <v>1512.4001440935886</v>
      </c>
      <c r="AK73" s="47">
        <f t="shared" si="32"/>
        <v>293.45440101623535</v>
      </c>
      <c r="AL73" s="47">
        <f>AJ73+U73+AK73+X73*Forutsetninger!$C$17</f>
        <v>2516.8545451098239</v>
      </c>
      <c r="AM73" s="26">
        <f>(T73-E73)*Forutsetninger!$C$23+X73*Forutsetninger!$C$17+U73+V73*Forutsetninger!$B$5</f>
        <v>2691.8631920935886</v>
      </c>
      <c r="AN73" s="26">
        <f>(Y73*Forutsetninger!$C$23)+Z73+(AC73*Forutsetninger!$C$17)+(AA73*Forutsetninger!$B$5)</f>
        <v>0</v>
      </c>
    </row>
    <row r="74" spans="1:40" s="68" customFormat="1" ht="12.75" x14ac:dyDescent="0.2">
      <c r="A74" s="185">
        <v>7432014</v>
      </c>
      <c r="B74" s="212" t="s">
        <v>96</v>
      </c>
      <c r="C74" s="67">
        <v>2014</v>
      </c>
      <c r="D74" s="49">
        <f t="shared" si="22"/>
        <v>20133.182685852051</v>
      </c>
      <c r="E74" s="245">
        <v>0</v>
      </c>
      <c r="F74" s="49">
        <f t="shared" si="23"/>
        <v>20133.182685852051</v>
      </c>
      <c r="G74" s="49">
        <f t="shared" si="24"/>
        <v>5941</v>
      </c>
      <c r="H74" s="49">
        <f t="shared" si="25"/>
        <v>69543</v>
      </c>
      <c r="I74" s="49">
        <f t="shared" si="26"/>
        <v>70238.430000000008</v>
      </c>
      <c r="J74" s="47">
        <f t="shared" si="27"/>
        <v>311</v>
      </c>
      <c r="K74" s="47">
        <f t="shared" si="28"/>
        <v>7469</v>
      </c>
      <c r="L74" s="47">
        <f t="shared" si="29"/>
        <v>0</v>
      </c>
      <c r="M74" s="49">
        <f t="shared" si="30"/>
        <v>570</v>
      </c>
      <c r="N74" s="245">
        <v>10207.782684326172</v>
      </c>
      <c r="O74" s="245">
        <v>3577</v>
      </c>
      <c r="P74" s="245">
        <v>43597.66</v>
      </c>
      <c r="Q74" s="245">
        <v>311</v>
      </c>
      <c r="R74" s="245">
        <v>398</v>
      </c>
      <c r="S74" s="245">
        <v>0</v>
      </c>
      <c r="T74" s="245">
        <v>9925.4000015258789</v>
      </c>
      <c r="U74" s="245">
        <v>2364</v>
      </c>
      <c r="V74" s="245">
        <v>26640.77</v>
      </c>
      <c r="W74" s="245">
        <v>7469</v>
      </c>
      <c r="X74" s="245">
        <v>172</v>
      </c>
      <c r="Y74" s="245">
        <v>0</v>
      </c>
      <c r="Z74" s="245">
        <v>0</v>
      </c>
      <c r="AA74" s="245">
        <v>0</v>
      </c>
      <c r="AB74" s="245"/>
      <c r="AC74" s="245">
        <v>0</v>
      </c>
      <c r="AD74" s="250">
        <v>244.45000290870667</v>
      </c>
      <c r="AE74" s="47">
        <f>N74*Forutsetninger!$C$23</f>
        <v>10738.879730909252</v>
      </c>
      <c r="AF74" s="47">
        <f t="shared" si="31"/>
        <v>76.023950904607773</v>
      </c>
      <c r="AG74" s="47">
        <f>S74*Forutsetninger!$C$17</f>
        <v>0</v>
      </c>
      <c r="AH74" s="47">
        <f>AE74+O74+AF74+R74*Forutsetninger!$C$17-AG74</f>
        <v>14812.870811105313</v>
      </c>
      <c r="AI74" s="47">
        <f>AH74+P74*Forutsetninger!$B$5</f>
        <v>17568.242923105314</v>
      </c>
      <c r="AJ74" s="47">
        <f>T74*Forutsetninger!$C$23</f>
        <v>10441.805061271139</v>
      </c>
      <c r="AK74" s="47">
        <f t="shared" si="32"/>
        <v>1825.7970717251301</v>
      </c>
      <c r="AL74" s="47">
        <f>AJ74+U74+AK74+X74*Forutsetninger!$C$17</f>
        <v>14813.527626056897</v>
      </c>
      <c r="AM74" s="26">
        <f>(T74-E74)*Forutsetninger!$C$23+X74*Forutsetninger!$C$17+U74+V74*Forutsetninger!$B$5</f>
        <v>14671.427218331768</v>
      </c>
      <c r="AN74" s="26">
        <f>(Y74*Forutsetninger!$C$23)+Z74+(AC74*Forutsetninger!$C$17)+(AA74*Forutsetninger!$B$5)</f>
        <v>0</v>
      </c>
    </row>
    <row r="75" spans="1:40" s="68" customFormat="1" ht="12.75" x14ac:dyDescent="0.2">
      <c r="A75" s="185">
        <v>1212014</v>
      </c>
      <c r="B75" s="212" t="s">
        <v>219</v>
      </c>
      <c r="C75" s="67">
        <v>2014</v>
      </c>
      <c r="D75" s="49">
        <f t="shared" si="22"/>
        <v>1302.7355499267578</v>
      </c>
      <c r="E75" s="245">
        <v>0</v>
      </c>
      <c r="F75" s="49">
        <f t="shared" si="23"/>
        <v>1302.7355499267578</v>
      </c>
      <c r="G75" s="49">
        <f t="shared" si="24"/>
        <v>739</v>
      </c>
      <c r="H75" s="47">
        <f t="shared" si="25"/>
        <v>11601</v>
      </c>
      <c r="I75" s="49">
        <f t="shared" si="26"/>
        <v>11717.01</v>
      </c>
      <c r="J75" s="47">
        <f t="shared" si="27"/>
        <v>1110</v>
      </c>
      <c r="K75" s="47">
        <f t="shared" si="28"/>
        <v>0</v>
      </c>
      <c r="L75" s="47">
        <f t="shared" si="29"/>
        <v>0</v>
      </c>
      <c r="M75" s="49">
        <f t="shared" si="30"/>
        <v>103</v>
      </c>
      <c r="N75" s="245">
        <v>1302.7355499267578</v>
      </c>
      <c r="O75" s="245">
        <v>739</v>
      </c>
      <c r="P75" s="245">
        <v>11717.01</v>
      </c>
      <c r="Q75" s="245">
        <v>1110</v>
      </c>
      <c r="R75" s="245">
        <v>103</v>
      </c>
      <c r="S75" s="245">
        <v>0</v>
      </c>
      <c r="T75" s="245">
        <v>0</v>
      </c>
      <c r="U75" s="245">
        <v>0</v>
      </c>
      <c r="V75" s="245">
        <v>0</v>
      </c>
      <c r="W75" s="245">
        <v>0</v>
      </c>
      <c r="X75" s="245">
        <v>0</v>
      </c>
      <c r="Y75" s="245">
        <v>0</v>
      </c>
      <c r="Z75" s="245">
        <v>0</v>
      </c>
      <c r="AA75" s="245">
        <v>0</v>
      </c>
      <c r="AB75" s="245"/>
      <c r="AC75" s="245">
        <v>0</v>
      </c>
      <c r="AD75" s="250">
        <v>246.69000506401062</v>
      </c>
      <c r="AE75" s="47">
        <f>N75*Forutsetninger!$C$23</f>
        <v>1370.5151083716344</v>
      </c>
      <c r="AF75" s="47">
        <f t="shared" si="31"/>
        <v>273.82590562105179</v>
      </c>
      <c r="AG75" s="47">
        <f>S75*Forutsetninger!$C$17</f>
        <v>0</v>
      </c>
      <c r="AH75" s="47">
        <f>AE75+O75+AF75+R75*Forutsetninger!$C$17-AG75</f>
        <v>2492.2847685580628</v>
      </c>
      <c r="AI75" s="47">
        <f>AH75+P75*Forutsetninger!$B$5</f>
        <v>3232.799800558063</v>
      </c>
      <c r="AJ75" s="47">
        <f>T75*Forutsetninger!$C$23</f>
        <v>0</v>
      </c>
      <c r="AK75" s="47">
        <f t="shared" si="32"/>
        <v>0</v>
      </c>
      <c r="AL75" s="47">
        <f>AJ75+U75+AK75+X75*Forutsetninger!$C$17</f>
        <v>0</v>
      </c>
      <c r="AM75" s="26">
        <f>(T75-E75)*Forutsetninger!$C$23+X75*Forutsetninger!$C$17+U75+V75*Forutsetninger!$B$5</f>
        <v>0</v>
      </c>
      <c r="AN75" s="26">
        <f>(Y75*Forutsetninger!$C$23)+Z75+(AC75*Forutsetninger!$C$17)+(AA75*Forutsetninger!$B$5)</f>
        <v>0</v>
      </c>
    </row>
    <row r="76" spans="1:40" s="68" customFormat="1" ht="12.75" x14ac:dyDescent="0.2">
      <c r="A76" s="185">
        <v>4602014</v>
      </c>
      <c r="B76" s="212" t="s">
        <v>276</v>
      </c>
      <c r="C76" s="67">
        <v>2014</v>
      </c>
      <c r="D76" s="49">
        <f t="shared" si="22"/>
        <v>207475.3134765625</v>
      </c>
      <c r="E76" s="245">
        <v>734</v>
      </c>
      <c r="F76" s="49">
        <f t="shared" si="23"/>
        <v>206741.3134765625</v>
      </c>
      <c r="G76" s="49">
        <f t="shared" si="24"/>
        <v>97622</v>
      </c>
      <c r="H76" s="49">
        <f t="shared" si="25"/>
        <v>1487936</v>
      </c>
      <c r="I76" s="49">
        <f t="shared" si="26"/>
        <v>1502815.3599999999</v>
      </c>
      <c r="J76" s="47">
        <f t="shared" si="27"/>
        <v>79885</v>
      </c>
      <c r="K76" s="47">
        <f t="shared" si="28"/>
        <v>51467</v>
      </c>
      <c r="L76" s="47">
        <f t="shared" si="29"/>
        <v>0</v>
      </c>
      <c r="M76" s="49">
        <f t="shared" si="30"/>
        <v>14454</v>
      </c>
      <c r="N76" s="245">
        <v>163601.9853515625</v>
      </c>
      <c r="O76" s="245">
        <v>68200</v>
      </c>
      <c r="P76" s="245">
        <v>869700.9</v>
      </c>
      <c r="Q76" s="245">
        <v>79885</v>
      </c>
      <c r="R76" s="245">
        <v>13399</v>
      </c>
      <c r="S76" s="245">
        <v>0</v>
      </c>
      <c r="T76" s="245">
        <v>42487.144775390625</v>
      </c>
      <c r="U76" s="245">
        <v>28506</v>
      </c>
      <c r="V76" s="245">
        <v>626155.56000000006</v>
      </c>
      <c r="W76" s="245">
        <v>51467</v>
      </c>
      <c r="X76" s="245">
        <v>1055</v>
      </c>
      <c r="Y76" s="245">
        <v>1386.183349609375</v>
      </c>
      <c r="Z76" s="245">
        <v>916</v>
      </c>
      <c r="AA76" s="245">
        <v>6958.9</v>
      </c>
      <c r="AB76" s="245"/>
      <c r="AC76" s="245">
        <v>0</v>
      </c>
      <c r="AD76" s="250">
        <v>276.60000324249268</v>
      </c>
      <c r="AE76" s="47">
        <f>N76*Forutsetninger!$C$23</f>
        <v>172113.9740882309</v>
      </c>
      <c r="AF76" s="47">
        <f t="shared" si="31"/>
        <v>22096.191259026527</v>
      </c>
      <c r="AG76" s="47">
        <f>S76*Forutsetninger!$C$17</f>
        <v>0</v>
      </c>
      <c r="AH76" s="47">
        <f>AE76+O76+AF76+R76*Forutsetninger!$C$17-AG76</f>
        <v>276582.37279795134</v>
      </c>
      <c r="AI76" s="47">
        <f>AH76+P76*Forutsetninger!$B$5</f>
        <v>331547.46967795136</v>
      </c>
      <c r="AJ76" s="47">
        <f>T76*Forutsetninger!$C$23</f>
        <v>44697.693119313095</v>
      </c>
      <c r="AK76" s="47">
        <f t="shared" si="32"/>
        <v>14235.772366881371</v>
      </c>
      <c r="AL76" s="47">
        <f>AJ76+U76+AK76+X76*Forutsetninger!$C$17</f>
        <v>88555.345690723319</v>
      </c>
      <c r="AM76" s="26">
        <f>(T76-E76)*Forutsetninger!$C$23+X76*Forutsetninger!$C$17+U76+V76*Forutsetninger!$B$5</f>
        <v>113120.41569436225</v>
      </c>
      <c r="AN76" s="26">
        <f>(Y76*Forutsetninger!$C$23)+Z76+(AC76*Forutsetninger!$C$17)+(AA76*Forutsetninger!$B$5)</f>
        <v>2814.107063550865</v>
      </c>
    </row>
    <row r="77" spans="1:40" s="68" customFormat="1" ht="12.75" x14ac:dyDescent="0.2">
      <c r="A77" s="185">
        <v>6372014</v>
      </c>
      <c r="B77" s="212" t="s">
        <v>376</v>
      </c>
      <c r="C77" s="67">
        <v>2014</v>
      </c>
      <c r="D77" s="49">
        <f t="shared" si="22"/>
        <v>49216.621704101563</v>
      </c>
      <c r="E77" s="245">
        <v>0</v>
      </c>
      <c r="F77" s="49">
        <f t="shared" si="23"/>
        <v>49216.621704101563</v>
      </c>
      <c r="G77" s="49">
        <f t="shared" si="24"/>
        <v>14973</v>
      </c>
      <c r="H77" s="49">
        <f t="shared" si="25"/>
        <v>203771</v>
      </c>
      <c r="I77" s="49">
        <f t="shared" si="26"/>
        <v>205808.71000000002</v>
      </c>
      <c r="J77" s="47">
        <f t="shared" si="27"/>
        <v>25564</v>
      </c>
      <c r="K77" s="47">
        <f t="shared" si="28"/>
        <v>5213</v>
      </c>
      <c r="L77" s="47">
        <f t="shared" si="29"/>
        <v>0</v>
      </c>
      <c r="M77" s="49">
        <f t="shared" si="30"/>
        <v>4107</v>
      </c>
      <c r="N77" s="245">
        <v>38127.101318359375</v>
      </c>
      <c r="O77" s="245">
        <v>10718</v>
      </c>
      <c r="P77" s="245">
        <v>135808.64000000001</v>
      </c>
      <c r="Q77" s="245">
        <v>25564</v>
      </c>
      <c r="R77" s="245">
        <v>3732</v>
      </c>
      <c r="S77" s="245">
        <v>0</v>
      </c>
      <c r="T77" s="245">
        <v>11089.520385742188</v>
      </c>
      <c r="U77" s="245">
        <v>4255</v>
      </c>
      <c r="V77" s="245">
        <v>70000.070000000007</v>
      </c>
      <c r="W77" s="245">
        <v>5213</v>
      </c>
      <c r="X77" s="245">
        <v>375</v>
      </c>
      <c r="Y77" s="245">
        <v>0</v>
      </c>
      <c r="Z77" s="245">
        <v>0</v>
      </c>
      <c r="AA77" s="245">
        <v>0</v>
      </c>
      <c r="AB77" s="245"/>
      <c r="AC77" s="245">
        <v>0</v>
      </c>
      <c r="AD77" s="250">
        <v>244.45000290870667</v>
      </c>
      <c r="AE77" s="47">
        <f>N77*Forutsetninger!$C$23</f>
        <v>40110.802532536545</v>
      </c>
      <c r="AF77" s="47">
        <f t="shared" si="31"/>
        <v>6249.1198743581772</v>
      </c>
      <c r="AG77" s="47">
        <f>S77*Forutsetninger!$C$17</f>
        <v>0</v>
      </c>
      <c r="AH77" s="47">
        <f>AE77+O77+AF77+R77*Forutsetninger!$C$17-AG77</f>
        <v>61025.28252376835</v>
      </c>
      <c r="AI77" s="47">
        <f>AH77+P77*Forutsetninger!$B$5</f>
        <v>69608.388571768359</v>
      </c>
      <c r="AJ77" s="47">
        <f>T77*Forutsetninger!$C$23</f>
        <v>11666.493045429967</v>
      </c>
      <c r="AK77" s="47">
        <f t="shared" si="32"/>
        <v>1274.3178651630878</v>
      </c>
      <c r="AL77" s="47">
        <f>AJ77+U77+AK77+X77*Forutsetninger!$C$17</f>
        <v>17592.450793719425</v>
      </c>
      <c r="AM77" s="26">
        <f>(T77-E77)*Forutsetninger!$C$23+X77*Forutsetninger!$C$17+U77+V77*Forutsetninger!$B$5</f>
        <v>20742.137352556339</v>
      </c>
      <c r="AN77" s="26">
        <f>(Y77*Forutsetninger!$C$23)+Z77+(AC77*Forutsetninger!$C$17)+(AA77*Forutsetninger!$B$5)</f>
        <v>0</v>
      </c>
    </row>
    <row r="78" spans="1:40" s="68" customFormat="1" ht="12.75" x14ac:dyDescent="0.2">
      <c r="A78" s="185">
        <v>5932014</v>
      </c>
      <c r="B78" s="212" t="s">
        <v>124</v>
      </c>
      <c r="C78" s="67">
        <v>2014</v>
      </c>
      <c r="D78" s="49">
        <f t="shared" si="22"/>
        <v>13750.281555175781</v>
      </c>
      <c r="E78" s="245">
        <v>0</v>
      </c>
      <c r="F78" s="49">
        <f t="shared" si="23"/>
        <v>13750.281555175781</v>
      </c>
      <c r="G78" s="49">
        <f t="shared" si="24"/>
        <v>2918</v>
      </c>
      <c r="H78" s="49">
        <f t="shared" si="25"/>
        <v>28446</v>
      </c>
      <c r="I78" s="49">
        <f t="shared" si="26"/>
        <v>28730.46</v>
      </c>
      <c r="J78" s="47">
        <f t="shared" si="27"/>
        <v>4035</v>
      </c>
      <c r="K78" s="47">
        <f t="shared" si="28"/>
        <v>0</v>
      </c>
      <c r="L78" s="47">
        <f t="shared" si="29"/>
        <v>0</v>
      </c>
      <c r="M78" s="49">
        <f t="shared" si="30"/>
        <v>156</v>
      </c>
      <c r="N78" s="245">
        <v>13750.281555175781</v>
      </c>
      <c r="O78" s="245">
        <v>2918</v>
      </c>
      <c r="P78" s="245">
        <v>28730.46</v>
      </c>
      <c r="Q78" s="245">
        <v>4035</v>
      </c>
      <c r="R78" s="245">
        <v>156</v>
      </c>
      <c r="S78" s="245">
        <v>0</v>
      </c>
      <c r="T78" s="245">
        <v>0</v>
      </c>
      <c r="U78" s="245">
        <v>0</v>
      </c>
      <c r="V78" s="245">
        <v>0</v>
      </c>
      <c r="W78" s="245">
        <v>0</v>
      </c>
      <c r="X78" s="245">
        <v>0</v>
      </c>
      <c r="Y78" s="245">
        <v>0</v>
      </c>
      <c r="Z78" s="245">
        <v>0</v>
      </c>
      <c r="AA78" s="245">
        <v>0</v>
      </c>
      <c r="AB78" s="245"/>
      <c r="AC78" s="245">
        <v>0</v>
      </c>
      <c r="AD78" s="250">
        <v>276.60000324249268</v>
      </c>
      <c r="AE78" s="47">
        <f>N78*Forutsetninger!$C$23</f>
        <v>14465.689998857957</v>
      </c>
      <c r="AF78" s="47">
        <f t="shared" si="31"/>
        <v>1116.0810130834579</v>
      </c>
      <c r="AG78" s="47">
        <f>S78*Forutsetninger!$C$17</f>
        <v>0</v>
      </c>
      <c r="AH78" s="47">
        <f>AE78+O78+AF78+R78*Forutsetninger!$C$17-AG78</f>
        <v>18664.773203321984</v>
      </c>
      <c r="AI78" s="47">
        <f>AH78+P78*Forutsetninger!$B$5</f>
        <v>20480.538275321982</v>
      </c>
      <c r="AJ78" s="47">
        <f>T78*Forutsetninger!$C$23</f>
        <v>0</v>
      </c>
      <c r="AK78" s="47">
        <f t="shared" si="32"/>
        <v>0</v>
      </c>
      <c r="AL78" s="47">
        <f>AJ78+U78+AK78+X78*Forutsetninger!$C$17</f>
        <v>0</v>
      </c>
      <c r="AM78" s="26">
        <f>(T78-E78)*Forutsetninger!$C$23+X78*Forutsetninger!$C$17+U78+V78*Forutsetninger!$B$5</f>
        <v>0</v>
      </c>
      <c r="AN78" s="26">
        <f>(Y78*Forutsetninger!$C$23)+Z78+(AC78*Forutsetninger!$C$17)+(AA78*Forutsetninger!$B$5)</f>
        <v>0</v>
      </c>
    </row>
    <row r="79" spans="1:40" s="68" customFormat="1" ht="12.75" x14ac:dyDescent="0.2">
      <c r="A79" s="185">
        <v>1382014</v>
      </c>
      <c r="B79" s="212" t="s">
        <v>270</v>
      </c>
      <c r="C79" s="67">
        <v>2014</v>
      </c>
      <c r="D79" s="49">
        <f t="shared" si="22"/>
        <v>15883.343658447266</v>
      </c>
      <c r="E79" s="245">
        <v>0</v>
      </c>
      <c r="F79" s="49">
        <f t="shared" si="23"/>
        <v>15883.343658447266</v>
      </c>
      <c r="G79" s="49">
        <f t="shared" si="24"/>
        <v>3421</v>
      </c>
      <c r="H79" s="47">
        <f t="shared" si="25"/>
        <v>45281</v>
      </c>
      <c r="I79" s="49">
        <f t="shared" si="26"/>
        <v>45733.81</v>
      </c>
      <c r="J79" s="47">
        <f t="shared" si="27"/>
        <v>5700</v>
      </c>
      <c r="K79" s="47">
        <f t="shared" si="28"/>
        <v>9457</v>
      </c>
      <c r="L79" s="47">
        <f t="shared" si="29"/>
        <v>0</v>
      </c>
      <c r="M79" s="49">
        <f t="shared" si="30"/>
        <v>1278</v>
      </c>
      <c r="N79" s="245">
        <v>14863.661071777344</v>
      </c>
      <c r="O79" s="245">
        <v>2067</v>
      </c>
      <c r="P79" s="245">
        <v>24084.46</v>
      </c>
      <c r="Q79" s="245">
        <v>5700</v>
      </c>
      <c r="R79" s="245">
        <v>782</v>
      </c>
      <c r="S79" s="245">
        <v>0</v>
      </c>
      <c r="T79" s="245">
        <v>1019.6825866699219</v>
      </c>
      <c r="U79" s="245">
        <v>1354</v>
      </c>
      <c r="V79" s="245">
        <v>21649.35</v>
      </c>
      <c r="W79" s="245">
        <v>9457</v>
      </c>
      <c r="X79" s="245">
        <v>496</v>
      </c>
      <c r="Y79" s="245">
        <v>0</v>
      </c>
      <c r="Z79" s="245">
        <v>0</v>
      </c>
      <c r="AA79" s="245">
        <v>0</v>
      </c>
      <c r="AB79" s="245"/>
      <c r="AC79" s="245">
        <v>0</v>
      </c>
      <c r="AD79" s="250">
        <v>244.45000290870667</v>
      </c>
      <c r="AE79" s="47">
        <f>N79*Forutsetninger!$C$23</f>
        <v>15636.997137087001</v>
      </c>
      <c r="AF79" s="47">
        <f t="shared" si="31"/>
        <v>1393.365016579628</v>
      </c>
      <c r="AG79" s="47">
        <f>S79*Forutsetninger!$C$17</f>
        <v>0</v>
      </c>
      <c r="AH79" s="47">
        <f>AE79+O79+AF79+R79*Forutsetninger!$C$17-AG79</f>
        <v>19924.488523279484</v>
      </c>
      <c r="AI79" s="47">
        <f>AH79+P79*Forutsetninger!$B$5</f>
        <v>21446.626395279483</v>
      </c>
      <c r="AJ79" s="47">
        <f>T79*Forutsetninger!$C$23</f>
        <v>1072.7352844966624</v>
      </c>
      <c r="AK79" s="47">
        <f t="shared" si="32"/>
        <v>2311.7636775076389</v>
      </c>
      <c r="AL79" s="47">
        <f>AJ79+U79+AK79+X79*Forutsetninger!$C$17</f>
        <v>5263.1213140861128</v>
      </c>
      <c r="AM79" s="26">
        <f>(T79-E79)*Forutsetninger!$C$23+X79*Forutsetninger!$C$17+U79+V79*Forutsetninger!$B$5</f>
        <v>4319.5965565784736</v>
      </c>
      <c r="AN79" s="26">
        <f>(Y79*Forutsetninger!$C$23)+Z79+(AC79*Forutsetninger!$C$17)+(AA79*Forutsetninger!$B$5)</f>
        <v>0</v>
      </c>
    </row>
    <row r="80" spans="1:40" s="68" customFormat="1" ht="12.75" x14ac:dyDescent="0.2">
      <c r="A80" s="185">
        <v>7262014</v>
      </c>
      <c r="B80" s="212" t="s">
        <v>78</v>
      </c>
      <c r="C80" s="67">
        <v>2014</v>
      </c>
      <c r="D80" s="49">
        <f t="shared" si="22"/>
        <v>107906.79479980469</v>
      </c>
      <c r="E80" s="245">
        <v>937</v>
      </c>
      <c r="F80" s="49">
        <f t="shared" si="23"/>
        <v>106969.79479980469</v>
      </c>
      <c r="G80" s="49">
        <f t="shared" si="24"/>
        <v>44397</v>
      </c>
      <c r="H80" s="49">
        <f t="shared" si="25"/>
        <v>671398</v>
      </c>
      <c r="I80" s="49">
        <f t="shared" si="26"/>
        <v>678111.98</v>
      </c>
      <c r="J80" s="47">
        <f t="shared" si="27"/>
        <v>49724</v>
      </c>
      <c r="K80" s="47">
        <f t="shared" si="28"/>
        <v>45335</v>
      </c>
      <c r="L80" s="47">
        <f t="shared" si="29"/>
        <v>0</v>
      </c>
      <c r="M80" s="49">
        <f t="shared" si="30"/>
        <v>8628</v>
      </c>
      <c r="N80" s="245">
        <v>76950.337158203125</v>
      </c>
      <c r="O80" s="245">
        <v>33058</v>
      </c>
      <c r="P80" s="245">
        <v>487176.53</v>
      </c>
      <c r="Q80" s="245">
        <v>49724</v>
      </c>
      <c r="R80" s="245">
        <v>4534</v>
      </c>
      <c r="S80" s="245">
        <v>0</v>
      </c>
      <c r="T80" s="245">
        <v>30956.457641601562</v>
      </c>
      <c r="U80" s="245">
        <v>11339</v>
      </c>
      <c r="V80" s="245">
        <v>190935.45</v>
      </c>
      <c r="W80" s="245">
        <v>45335</v>
      </c>
      <c r="X80" s="245">
        <v>4094</v>
      </c>
      <c r="Y80" s="245">
        <v>0</v>
      </c>
      <c r="Z80" s="245">
        <v>0</v>
      </c>
      <c r="AA80" s="245">
        <v>0</v>
      </c>
      <c r="AB80" s="245"/>
      <c r="AC80" s="245">
        <v>0</v>
      </c>
      <c r="AD80" s="250">
        <v>244.45000290870667</v>
      </c>
      <c r="AE80" s="47">
        <f>N80*Forutsetninger!$C$23</f>
        <v>80953.958518701518</v>
      </c>
      <c r="AF80" s="47">
        <f t="shared" si="31"/>
        <v>12155.03194463253</v>
      </c>
      <c r="AG80" s="47">
        <f>S80*Forutsetninger!$C$17</f>
        <v>0</v>
      </c>
      <c r="AH80" s="47">
        <f>AE80+O80+AF80+R80*Forutsetninger!$C$17-AG80</f>
        <v>130962.6310769206</v>
      </c>
      <c r="AI80" s="47">
        <f>AH80+P80*Forutsetninger!$B$5</f>
        <v>161752.18777292062</v>
      </c>
      <c r="AJ80" s="47">
        <f>T80*Forutsetninger!$C$23</f>
        <v>32567.080020090616</v>
      </c>
      <c r="AK80" s="47">
        <f t="shared" si="32"/>
        <v>11082.140881866217</v>
      </c>
      <c r="AL80" s="47">
        <f>AJ80+U80+AK80+X80*Forutsetninger!$C$17</f>
        <v>59318.470719341785</v>
      </c>
      <c r="AM80" s="26">
        <f>(T80-E80)*Forutsetninger!$C$23+X80*Forutsetninger!$C$17+U80+V80*Forutsetninger!$B$5</f>
        <v>59317.699442153375</v>
      </c>
      <c r="AN80" s="26">
        <f>(Y80*Forutsetninger!$C$23)+Z80+(AC80*Forutsetninger!$C$17)+(AA80*Forutsetninger!$B$5)</f>
        <v>0</v>
      </c>
    </row>
    <row r="81" spans="1:40" s="68" customFormat="1" ht="12.75" x14ac:dyDescent="0.2">
      <c r="A81" s="185">
        <v>3112014</v>
      </c>
      <c r="B81" s="212" t="s">
        <v>114</v>
      </c>
      <c r="C81" s="67">
        <v>2014</v>
      </c>
      <c r="D81" s="49">
        <f t="shared" si="22"/>
        <v>93748.736206054688</v>
      </c>
      <c r="E81" s="245">
        <v>0</v>
      </c>
      <c r="F81" s="49">
        <f t="shared" si="23"/>
        <v>93748.736206054688</v>
      </c>
      <c r="G81" s="49">
        <f t="shared" si="24"/>
        <v>35948</v>
      </c>
      <c r="H81" s="49">
        <f t="shared" si="25"/>
        <v>727442</v>
      </c>
      <c r="I81" s="49">
        <f t="shared" si="26"/>
        <v>734716.42</v>
      </c>
      <c r="J81" s="47">
        <f t="shared" si="27"/>
        <v>28618</v>
      </c>
      <c r="K81" s="47">
        <f t="shared" si="28"/>
        <v>21695</v>
      </c>
      <c r="L81" s="47">
        <f t="shared" si="29"/>
        <v>0</v>
      </c>
      <c r="M81" s="49">
        <f t="shared" si="30"/>
        <v>3523</v>
      </c>
      <c r="N81" s="245">
        <v>77981.009765625</v>
      </c>
      <c r="O81" s="245">
        <v>24996</v>
      </c>
      <c r="P81" s="245">
        <v>391124.52</v>
      </c>
      <c r="Q81" s="245">
        <v>28618</v>
      </c>
      <c r="R81" s="245">
        <v>3158</v>
      </c>
      <c r="S81" s="245">
        <v>0</v>
      </c>
      <c r="T81" s="245">
        <v>15767.726440429688</v>
      </c>
      <c r="U81" s="245">
        <v>10952</v>
      </c>
      <c r="V81" s="245">
        <v>343591.9</v>
      </c>
      <c r="W81" s="245">
        <v>21695</v>
      </c>
      <c r="X81" s="245">
        <v>365</v>
      </c>
      <c r="Y81" s="245">
        <v>0</v>
      </c>
      <c r="Z81" s="245">
        <v>0</v>
      </c>
      <c r="AA81" s="245">
        <v>0</v>
      </c>
      <c r="AB81" s="245"/>
      <c r="AC81" s="245">
        <v>0</v>
      </c>
      <c r="AD81" s="250">
        <v>276.60000324249268</v>
      </c>
      <c r="AE81" s="47">
        <f>N81*Forutsetninger!$C$23</f>
        <v>82038.255619779229</v>
      </c>
      <c r="AF81" s="47">
        <f t="shared" si="31"/>
        <v>7915.7388927936554</v>
      </c>
      <c r="AG81" s="47">
        <f>S81*Forutsetninger!$C$17</f>
        <v>0</v>
      </c>
      <c r="AH81" s="47">
        <f>AE81+O81+AF81+R81*Forutsetninger!$C$17-AG81</f>
        <v>118290.23118167442</v>
      </c>
      <c r="AI81" s="47">
        <f>AH81+P81*Forutsetninger!$B$5</f>
        <v>143009.30084567441</v>
      </c>
      <c r="AJ81" s="47">
        <f>T81*Forutsetninger!$C$23</f>
        <v>16588.099796996197</v>
      </c>
      <c r="AK81" s="47">
        <f t="shared" si="32"/>
        <v>6000.8370703458786</v>
      </c>
      <c r="AL81" s="47">
        <f>AJ81+U81+AK81+X81*Forutsetninger!$C$17</f>
        <v>33926.999686918411</v>
      </c>
      <c r="AM81" s="26">
        <f>(T81-E81)*Forutsetninger!$C$23+X81*Forutsetninger!$C$17+U81+V81*Forutsetninger!$B$5</f>
        <v>49641.170696572532</v>
      </c>
      <c r="AN81" s="26">
        <f>(Y81*Forutsetninger!$C$23)+Z81+(AC81*Forutsetninger!$C$17)+(AA81*Forutsetninger!$B$5)</f>
        <v>0</v>
      </c>
    </row>
    <row r="82" spans="1:40" s="68" customFormat="1" ht="12.75" x14ac:dyDescent="0.2">
      <c r="A82" s="185">
        <v>1322014</v>
      </c>
      <c r="B82" s="212" t="s">
        <v>109</v>
      </c>
      <c r="C82" s="67">
        <v>2014</v>
      </c>
      <c r="D82" s="49">
        <f t="shared" si="22"/>
        <v>43648.826217651367</v>
      </c>
      <c r="E82" s="245">
        <v>0</v>
      </c>
      <c r="F82" s="49">
        <f t="shared" si="23"/>
        <v>43648.826217651367</v>
      </c>
      <c r="G82" s="49">
        <f t="shared" si="24"/>
        <v>14359</v>
      </c>
      <c r="H82" s="49">
        <f t="shared" si="25"/>
        <v>157852</v>
      </c>
      <c r="I82" s="49">
        <f t="shared" si="26"/>
        <v>159430.52000000002</v>
      </c>
      <c r="J82" s="47">
        <f t="shared" si="27"/>
        <v>7109</v>
      </c>
      <c r="K82" s="47">
        <f t="shared" si="28"/>
        <v>14986</v>
      </c>
      <c r="L82" s="47">
        <f t="shared" si="29"/>
        <v>0</v>
      </c>
      <c r="M82" s="49">
        <f t="shared" si="30"/>
        <v>1892</v>
      </c>
      <c r="N82" s="245">
        <v>34306.0703125</v>
      </c>
      <c r="O82" s="245">
        <v>7046</v>
      </c>
      <c r="P82" s="245">
        <v>70326.3</v>
      </c>
      <c r="Q82" s="245">
        <v>7109</v>
      </c>
      <c r="R82" s="245">
        <v>1736</v>
      </c>
      <c r="S82" s="245">
        <v>0</v>
      </c>
      <c r="T82" s="245">
        <v>9342.7559051513672</v>
      </c>
      <c r="U82" s="245">
        <v>7313</v>
      </c>
      <c r="V82" s="245">
        <v>89104.22</v>
      </c>
      <c r="W82" s="245">
        <v>14986</v>
      </c>
      <c r="X82" s="245">
        <v>156</v>
      </c>
      <c r="Y82" s="245">
        <v>0</v>
      </c>
      <c r="Z82" s="245">
        <v>0</v>
      </c>
      <c r="AA82" s="245">
        <v>0</v>
      </c>
      <c r="AB82" s="245"/>
      <c r="AC82" s="245">
        <v>0</v>
      </c>
      <c r="AD82" s="250">
        <v>244.45000290870667</v>
      </c>
      <c r="AE82" s="47">
        <f>N82*Forutsetninger!$C$23</f>
        <v>36090.96848150358</v>
      </c>
      <c r="AF82" s="47">
        <f t="shared" si="31"/>
        <v>1737.7950706779957</v>
      </c>
      <c r="AG82" s="47">
        <f>S82*Forutsetninger!$C$17</f>
        <v>0</v>
      </c>
      <c r="AH82" s="47">
        <f>AE82+O82+AF82+R82*Forutsetninger!$C$17-AG82</f>
        <v>46710.941784467919</v>
      </c>
      <c r="AI82" s="47">
        <f>AH82+P82*Forutsetninger!$B$5</f>
        <v>51155.563944467918</v>
      </c>
      <c r="AJ82" s="47">
        <f>T82*Forutsetninger!$C$23</f>
        <v>9828.8467851807218</v>
      </c>
      <c r="AK82" s="47">
        <f t="shared" si="32"/>
        <v>3663.3277435898781</v>
      </c>
      <c r="AL82" s="47">
        <f>AJ82+U82+AK82+X82*Forutsetninger!$C$17</f>
        <v>20970.176720151168</v>
      </c>
      <c r="AM82" s="26">
        <f>(T82-E82)*Forutsetninger!$C$23+X82*Forutsetninger!$C$17+U82+V82*Forutsetninger!$B$5</f>
        <v>22938.235680561291</v>
      </c>
      <c r="AN82" s="26">
        <f>(Y82*Forutsetninger!$C$23)+Z82+(AC82*Forutsetninger!$C$17)+(AA82*Forutsetninger!$B$5)</f>
        <v>0</v>
      </c>
    </row>
    <row r="83" spans="1:40" s="68" customFormat="1" ht="12.75" x14ac:dyDescent="0.2">
      <c r="A83" s="185">
        <v>6992014</v>
      </c>
      <c r="B83" s="212" t="s">
        <v>377</v>
      </c>
      <c r="C83" s="67">
        <v>2014</v>
      </c>
      <c r="D83" s="49">
        <f t="shared" si="22"/>
        <v>254894.28515625</v>
      </c>
      <c r="E83" s="245">
        <v>1490</v>
      </c>
      <c r="F83" s="49">
        <f t="shared" si="23"/>
        <v>253404.28515625</v>
      </c>
      <c r="G83" s="49">
        <f t="shared" si="24"/>
        <v>107335</v>
      </c>
      <c r="H83" s="49">
        <f t="shared" si="25"/>
        <v>1781132</v>
      </c>
      <c r="I83" s="49">
        <f t="shared" si="26"/>
        <v>1798943.3199999998</v>
      </c>
      <c r="J83" s="47">
        <f t="shared" si="27"/>
        <v>84251</v>
      </c>
      <c r="K83" s="47">
        <f t="shared" si="28"/>
        <v>46392</v>
      </c>
      <c r="L83" s="47">
        <f t="shared" si="29"/>
        <v>0</v>
      </c>
      <c r="M83" s="49">
        <f t="shared" si="30"/>
        <v>16300</v>
      </c>
      <c r="N83" s="245">
        <v>201751.994140625</v>
      </c>
      <c r="O83" s="245">
        <v>79801</v>
      </c>
      <c r="P83" s="245">
        <v>1277285.3899999999</v>
      </c>
      <c r="Q83" s="245">
        <v>84251</v>
      </c>
      <c r="R83" s="245">
        <v>16009</v>
      </c>
      <c r="S83" s="245">
        <v>0</v>
      </c>
      <c r="T83" s="245">
        <v>53142.291015625</v>
      </c>
      <c r="U83" s="245">
        <v>27534</v>
      </c>
      <c r="V83" s="245">
        <v>521657.93</v>
      </c>
      <c r="W83" s="245">
        <v>46392</v>
      </c>
      <c r="X83" s="245">
        <v>291</v>
      </c>
      <c r="Y83" s="245">
        <v>0</v>
      </c>
      <c r="Z83" s="245">
        <v>0</v>
      </c>
      <c r="AA83" s="245">
        <v>0</v>
      </c>
      <c r="AB83" s="245"/>
      <c r="AC83" s="245">
        <v>0</v>
      </c>
      <c r="AD83" s="250">
        <v>274.40187335014343</v>
      </c>
      <c r="AE83" s="47">
        <f>N83*Forutsetninger!$C$23</f>
        <v>212248.87593600835</v>
      </c>
      <c r="AF83" s="47">
        <f t="shared" si="31"/>
        <v>23118.632231622934</v>
      </c>
      <c r="AG83" s="47">
        <f>S83*Forutsetninger!$C$17</f>
        <v>0</v>
      </c>
      <c r="AH83" s="47">
        <f>AE83+O83+AF83+R83*Forutsetninger!$C$17-AG83</f>
        <v>332101.32920488477</v>
      </c>
      <c r="AI83" s="47">
        <f>AH83+P83*Forutsetninger!$B$5</f>
        <v>412825.76585288474</v>
      </c>
      <c r="AJ83" s="47">
        <f>T83*Forutsetninger!$C$23</f>
        <v>55907.21212335919</v>
      </c>
      <c r="AK83" s="47">
        <f t="shared" si="32"/>
        <v>12730.051708459854</v>
      </c>
      <c r="AL83" s="47">
        <f>AJ83+U83+AK83+X83*Forutsetninger!$C$17</f>
        <v>96479.056381125105</v>
      </c>
      <c r="AM83" s="26">
        <f>(T83-E83)*Forutsetninger!$C$23+X83*Forutsetninger!$C$17+U83+V83*Forutsetninger!$B$5</f>
        <v>115150.26317563422</v>
      </c>
      <c r="AN83" s="26">
        <f>(Y83*Forutsetninger!$C$23)+Z83+(AC83*Forutsetninger!$C$17)+(AA83*Forutsetninger!$B$5)</f>
        <v>0</v>
      </c>
    </row>
    <row r="84" spans="1:40" s="68" customFormat="1" ht="12.75" x14ac:dyDescent="0.2">
      <c r="A84" s="185">
        <v>6132014</v>
      </c>
      <c r="B84" s="212" t="s">
        <v>127</v>
      </c>
      <c r="C84" s="67">
        <v>2014</v>
      </c>
      <c r="D84" s="49">
        <f t="shared" si="22"/>
        <v>21322.811828613281</v>
      </c>
      <c r="E84" s="245">
        <v>0</v>
      </c>
      <c r="F84" s="49">
        <f t="shared" si="23"/>
        <v>21322.811828613281</v>
      </c>
      <c r="G84" s="49">
        <f t="shared" si="24"/>
        <v>9544</v>
      </c>
      <c r="H84" s="49">
        <f t="shared" si="25"/>
        <v>121391</v>
      </c>
      <c r="I84" s="49">
        <f t="shared" si="26"/>
        <v>122604.91</v>
      </c>
      <c r="J84" s="47">
        <f t="shared" si="27"/>
        <v>17063</v>
      </c>
      <c r="K84" s="47">
        <f t="shared" si="28"/>
        <v>0</v>
      </c>
      <c r="L84" s="47">
        <f t="shared" si="29"/>
        <v>0</v>
      </c>
      <c r="M84" s="49">
        <f t="shared" si="30"/>
        <v>1560</v>
      </c>
      <c r="N84" s="245">
        <v>21322.811828613281</v>
      </c>
      <c r="O84" s="245">
        <v>9544</v>
      </c>
      <c r="P84" s="245">
        <v>122604.91</v>
      </c>
      <c r="Q84" s="245">
        <v>17063</v>
      </c>
      <c r="R84" s="245">
        <v>1560</v>
      </c>
      <c r="S84" s="245">
        <v>0</v>
      </c>
      <c r="T84" s="245">
        <v>0</v>
      </c>
      <c r="U84" s="245">
        <v>0</v>
      </c>
      <c r="V84" s="245">
        <v>0</v>
      </c>
      <c r="W84" s="245">
        <v>0</v>
      </c>
      <c r="X84" s="245">
        <v>0</v>
      </c>
      <c r="Y84" s="245">
        <v>0</v>
      </c>
      <c r="Z84" s="245">
        <v>0</v>
      </c>
      <c r="AA84" s="245">
        <v>0</v>
      </c>
      <c r="AB84" s="245"/>
      <c r="AC84" s="245">
        <v>0</v>
      </c>
      <c r="AD84" s="250">
        <v>276.60000324249268</v>
      </c>
      <c r="AE84" s="47">
        <f>N84*Forutsetninger!$C$23</f>
        <v>22432.208720889579</v>
      </c>
      <c r="AF84" s="47">
        <f t="shared" si="31"/>
        <v>4719.6258553266525</v>
      </c>
      <c r="AG84" s="47">
        <f>S84*Forutsetninger!$C$17</f>
        <v>0</v>
      </c>
      <c r="AH84" s="47">
        <f>AE84+O84+AF84+R84*Forutsetninger!$C$17-AG84</f>
        <v>38345.856490021935</v>
      </c>
      <c r="AI84" s="47">
        <f>AH84+P84*Forutsetninger!$B$5</f>
        <v>46094.486802021936</v>
      </c>
      <c r="AJ84" s="47">
        <f>T84*Forutsetninger!$C$23</f>
        <v>0</v>
      </c>
      <c r="AK84" s="47">
        <f t="shared" si="32"/>
        <v>0</v>
      </c>
      <c r="AL84" s="47">
        <f>AJ84+U84+AK84+X84*Forutsetninger!$C$17</f>
        <v>0</v>
      </c>
      <c r="AM84" s="26">
        <f>(T84-E84)*Forutsetninger!$C$23+X84*Forutsetninger!$C$17+U84+V84*Forutsetninger!$B$5</f>
        <v>0</v>
      </c>
      <c r="AN84" s="26">
        <f>(Y84*Forutsetninger!$C$23)+Z84+(AC84*Forutsetninger!$C$17)+(AA84*Forutsetninger!$B$5)</f>
        <v>0</v>
      </c>
    </row>
    <row r="85" spans="1:40" s="68" customFormat="1" ht="12.75" x14ac:dyDescent="0.2">
      <c r="A85" s="185">
        <v>1352014</v>
      </c>
      <c r="B85" s="212" t="s">
        <v>38</v>
      </c>
      <c r="C85" s="67">
        <v>2014</v>
      </c>
      <c r="D85" s="49">
        <f t="shared" si="22"/>
        <v>43029.62744140625</v>
      </c>
      <c r="E85" s="245">
        <v>0</v>
      </c>
      <c r="F85" s="49">
        <f t="shared" si="23"/>
        <v>43029.62744140625</v>
      </c>
      <c r="G85" s="49">
        <f t="shared" si="24"/>
        <v>12666</v>
      </c>
      <c r="H85" s="47">
        <f t="shared" si="25"/>
        <v>179349</v>
      </c>
      <c r="I85" s="49">
        <f t="shared" si="26"/>
        <v>181142.49</v>
      </c>
      <c r="J85" s="47">
        <f t="shared" si="27"/>
        <v>14398</v>
      </c>
      <c r="K85" s="47">
        <f t="shared" si="28"/>
        <v>0</v>
      </c>
      <c r="L85" s="47">
        <f t="shared" si="29"/>
        <v>0</v>
      </c>
      <c r="M85" s="49">
        <f t="shared" si="30"/>
        <v>2464</v>
      </c>
      <c r="N85" s="245">
        <v>43029.62744140625</v>
      </c>
      <c r="O85" s="245">
        <v>12588</v>
      </c>
      <c r="P85" s="245">
        <v>180640.52</v>
      </c>
      <c r="Q85" s="245">
        <v>14398</v>
      </c>
      <c r="R85" s="245">
        <v>2464</v>
      </c>
      <c r="S85" s="245">
        <v>65.800003051757812</v>
      </c>
      <c r="T85" s="245">
        <v>0</v>
      </c>
      <c r="U85" s="245">
        <v>78</v>
      </c>
      <c r="V85" s="245">
        <v>501.97</v>
      </c>
      <c r="W85" s="245">
        <v>0</v>
      </c>
      <c r="X85" s="245">
        <v>0</v>
      </c>
      <c r="Y85" s="245">
        <v>0</v>
      </c>
      <c r="Z85" s="245">
        <v>0</v>
      </c>
      <c r="AA85" s="245">
        <v>0</v>
      </c>
      <c r="AB85" s="245"/>
      <c r="AC85" s="245">
        <v>0</v>
      </c>
      <c r="AD85" s="250">
        <v>259.70000028610229</v>
      </c>
      <c r="AE85" s="47">
        <f>N85*Forutsetninger!$C$23</f>
        <v>45268.400420457932</v>
      </c>
      <c r="AF85" s="47">
        <f t="shared" si="31"/>
        <v>3739.1606041193008</v>
      </c>
      <c r="AG85" s="47">
        <f>S85*Forutsetninger!$C$17</f>
        <v>69.597081387103955</v>
      </c>
      <c r="AH85" s="47">
        <f>AE85+O85+AF85+R85*Forutsetninger!$C$17-AG85</f>
        <v>64132.152401919127</v>
      </c>
      <c r="AI85" s="47">
        <f>AH85+P85*Forutsetninger!$B$5</f>
        <v>75548.633265919125</v>
      </c>
      <c r="AJ85" s="47">
        <f>T85*Forutsetninger!$C$23</f>
        <v>0</v>
      </c>
      <c r="AK85" s="47">
        <f t="shared" si="32"/>
        <v>0</v>
      </c>
      <c r="AL85" s="47">
        <f>AJ85+U85+AK85+X85*Forutsetninger!$C$17</f>
        <v>78</v>
      </c>
      <c r="AM85" s="26">
        <f>(T85-E85)*Forutsetninger!$C$23+X85*Forutsetninger!$C$17+U85+V85*Forutsetninger!$B$5</f>
        <v>109.724504</v>
      </c>
      <c r="AN85" s="26">
        <f>(Y85*Forutsetninger!$C$23)+Z85+(AC85*Forutsetninger!$C$17)+(AA85*Forutsetninger!$B$5)</f>
        <v>0</v>
      </c>
    </row>
    <row r="86" spans="1:40" s="68" customFormat="1" ht="12.75" x14ac:dyDescent="0.2">
      <c r="A86" s="185">
        <v>3732014</v>
      </c>
      <c r="B86" s="212" t="s">
        <v>117</v>
      </c>
      <c r="C86" s="67">
        <v>2014</v>
      </c>
      <c r="D86" s="49">
        <f t="shared" si="22"/>
        <v>10136.317138671875</v>
      </c>
      <c r="E86" s="245">
        <v>0</v>
      </c>
      <c r="F86" s="49">
        <f t="shared" si="23"/>
        <v>10136.317138671875</v>
      </c>
      <c r="G86" s="49">
        <f t="shared" si="24"/>
        <v>2340</v>
      </c>
      <c r="H86" s="49">
        <f t="shared" si="25"/>
        <v>41644</v>
      </c>
      <c r="I86" s="49">
        <f t="shared" si="26"/>
        <v>42060.44</v>
      </c>
      <c r="J86" s="47">
        <f t="shared" si="27"/>
        <v>1765</v>
      </c>
      <c r="K86" s="47">
        <f t="shared" si="28"/>
        <v>0</v>
      </c>
      <c r="L86" s="47">
        <f t="shared" si="29"/>
        <v>0</v>
      </c>
      <c r="M86" s="49">
        <f t="shared" si="30"/>
        <v>236</v>
      </c>
      <c r="N86" s="245">
        <v>10136.317138671875</v>
      </c>
      <c r="O86" s="245">
        <v>2340</v>
      </c>
      <c r="P86" s="245">
        <v>42060.44</v>
      </c>
      <c r="Q86" s="245">
        <v>1765</v>
      </c>
      <c r="R86" s="245">
        <v>236</v>
      </c>
      <c r="S86" s="245">
        <v>0</v>
      </c>
      <c r="T86" s="245">
        <v>0</v>
      </c>
      <c r="U86" s="245">
        <v>0</v>
      </c>
      <c r="V86" s="245">
        <v>0</v>
      </c>
      <c r="W86" s="245">
        <v>0</v>
      </c>
      <c r="X86" s="245">
        <v>0</v>
      </c>
      <c r="Y86" s="245">
        <v>0</v>
      </c>
      <c r="Z86" s="245">
        <v>0</v>
      </c>
      <c r="AA86" s="245">
        <v>0</v>
      </c>
      <c r="AB86" s="245"/>
      <c r="AC86" s="245">
        <v>0</v>
      </c>
      <c r="AD86" s="250">
        <v>259.70000028610229</v>
      </c>
      <c r="AE86" s="47">
        <f>N86*Forutsetninger!$C$23</f>
        <v>10663.695930134994</v>
      </c>
      <c r="AF86" s="47">
        <f t="shared" si="31"/>
        <v>458.37050050497055</v>
      </c>
      <c r="AG86" s="47">
        <f>S86*Forutsetninger!$C$17</f>
        <v>0</v>
      </c>
      <c r="AH86" s="47">
        <f>AE86+O86+AF86+R86*Forutsetninger!$C$17-AG86</f>
        <v>13711.685130420827</v>
      </c>
      <c r="AI86" s="47">
        <f>AH86+P86*Forutsetninger!$B$5</f>
        <v>16369.904938420827</v>
      </c>
      <c r="AJ86" s="47">
        <f>T86*Forutsetninger!$C$23</f>
        <v>0</v>
      </c>
      <c r="AK86" s="47">
        <f t="shared" si="32"/>
        <v>0</v>
      </c>
      <c r="AL86" s="47">
        <f>AJ86+U86+AK86+X86*Forutsetninger!$C$17</f>
        <v>0</v>
      </c>
      <c r="AM86" s="26">
        <f>(T86-E86)*Forutsetninger!$C$23+X86*Forutsetninger!$C$17+U86+V86*Forutsetninger!$B$5</f>
        <v>0</v>
      </c>
      <c r="AN86" s="26">
        <f>(Y86*Forutsetninger!$C$23)+Z86+(AC86*Forutsetninger!$C$17)+(AA86*Forutsetninger!$B$5)</f>
        <v>0</v>
      </c>
    </row>
    <row r="87" spans="1:40" s="68" customFormat="1" ht="12.75" x14ac:dyDescent="0.2">
      <c r="A87" s="185">
        <v>1672014</v>
      </c>
      <c r="B87" s="212" t="s">
        <v>373</v>
      </c>
      <c r="C87" s="67">
        <v>2014</v>
      </c>
      <c r="D87" s="49">
        <f t="shared" si="22"/>
        <v>89</v>
      </c>
      <c r="E87" s="245">
        <v>0</v>
      </c>
      <c r="F87" s="49">
        <f t="shared" si="23"/>
        <v>89</v>
      </c>
      <c r="G87" s="49">
        <f t="shared" si="24"/>
        <v>401</v>
      </c>
      <c r="H87" s="47">
        <f t="shared" si="25"/>
        <v>11955</v>
      </c>
      <c r="I87" s="49">
        <f t="shared" si="26"/>
        <v>12074.55</v>
      </c>
      <c r="J87" s="47">
        <f t="shared" si="27"/>
        <v>832</v>
      </c>
      <c r="K87" s="47">
        <f t="shared" si="28"/>
        <v>0</v>
      </c>
      <c r="L87" s="47">
        <f t="shared" si="29"/>
        <v>0</v>
      </c>
      <c r="M87" s="49">
        <f t="shared" si="30"/>
        <v>0</v>
      </c>
      <c r="N87" s="245">
        <v>89</v>
      </c>
      <c r="O87" s="245">
        <v>401</v>
      </c>
      <c r="P87" s="245">
        <v>12074.55</v>
      </c>
      <c r="Q87" s="245">
        <v>832</v>
      </c>
      <c r="R87" s="245">
        <v>0</v>
      </c>
      <c r="S87" s="245">
        <v>0</v>
      </c>
      <c r="T87" s="245">
        <v>0</v>
      </c>
      <c r="U87" s="245">
        <v>0</v>
      </c>
      <c r="V87" s="245">
        <v>0</v>
      </c>
      <c r="W87" s="245">
        <v>0</v>
      </c>
      <c r="X87" s="245">
        <v>0</v>
      </c>
      <c r="Y87" s="245">
        <v>0</v>
      </c>
      <c r="Z87" s="245">
        <v>0</v>
      </c>
      <c r="AA87" s="245">
        <v>0</v>
      </c>
      <c r="AB87" s="245"/>
      <c r="AC87" s="245">
        <v>0</v>
      </c>
      <c r="AD87" s="250">
        <v>247.56316840648651</v>
      </c>
      <c r="AE87" s="47">
        <f>N87*Forutsetninger!$C$23</f>
        <v>93.630548926014313</v>
      </c>
      <c r="AF87" s="47">
        <f t="shared" si="31"/>
        <v>205.97255611419678</v>
      </c>
      <c r="AG87" s="47">
        <f>S87*Forutsetninger!$C$17</f>
        <v>0</v>
      </c>
      <c r="AH87" s="47">
        <f>AE87+O87+AF87+R87*Forutsetninger!$C$17-AG87</f>
        <v>700.60310504021106</v>
      </c>
      <c r="AI87" s="47">
        <f>AH87+P87*Forutsetninger!$B$5</f>
        <v>1463.714665040211</v>
      </c>
      <c r="AJ87" s="47">
        <f>T87*Forutsetninger!$C$23</f>
        <v>0</v>
      </c>
      <c r="AK87" s="47">
        <f t="shared" si="32"/>
        <v>0</v>
      </c>
      <c r="AL87" s="47">
        <f>AJ87+U87+AK87+X87*Forutsetninger!$C$17</f>
        <v>0</v>
      </c>
      <c r="AM87" s="26">
        <f>(T87-E87)*Forutsetninger!$C$23+X87*Forutsetninger!$C$17+U87+V87*Forutsetninger!$B$5</f>
        <v>0</v>
      </c>
      <c r="AN87" s="26">
        <f>(Y87*Forutsetninger!$C$23)+Z87+(AC87*Forutsetninger!$C$17)+(AA87*Forutsetninger!$B$5)</f>
        <v>0</v>
      </c>
    </row>
    <row r="88" spans="1:40" s="68" customFormat="1" ht="12.75" x14ac:dyDescent="0.2">
      <c r="A88" s="185">
        <v>3492014</v>
      </c>
      <c r="B88" s="212" t="s">
        <v>115</v>
      </c>
      <c r="C88" s="67">
        <v>2014</v>
      </c>
      <c r="D88" s="49">
        <f t="shared" si="22"/>
        <v>29821.720623016357</v>
      </c>
      <c r="E88" s="245">
        <v>0</v>
      </c>
      <c r="F88" s="49">
        <f t="shared" si="23"/>
        <v>29821.720623016357</v>
      </c>
      <c r="G88" s="49">
        <f t="shared" si="24"/>
        <v>9872</v>
      </c>
      <c r="H88" s="49">
        <f t="shared" si="25"/>
        <v>187914</v>
      </c>
      <c r="I88" s="49">
        <f t="shared" si="26"/>
        <v>189793.13999999998</v>
      </c>
      <c r="J88" s="47">
        <f t="shared" si="27"/>
        <v>10500</v>
      </c>
      <c r="K88" s="47">
        <f t="shared" si="28"/>
        <v>3000</v>
      </c>
      <c r="L88" s="47">
        <f t="shared" si="29"/>
        <v>0</v>
      </c>
      <c r="M88" s="49">
        <f t="shared" si="30"/>
        <v>417</v>
      </c>
      <c r="N88" s="245">
        <v>29765.665649414063</v>
      </c>
      <c r="O88" s="245">
        <v>9353</v>
      </c>
      <c r="P88" s="245">
        <v>181553.56</v>
      </c>
      <c r="Q88" s="245">
        <v>10500</v>
      </c>
      <c r="R88" s="245">
        <v>417</v>
      </c>
      <c r="S88" s="245">
        <v>0</v>
      </c>
      <c r="T88" s="245">
        <v>56.054973602294922</v>
      </c>
      <c r="U88" s="245">
        <v>519</v>
      </c>
      <c r="V88" s="245">
        <v>8239.58</v>
      </c>
      <c r="W88" s="245">
        <v>3000</v>
      </c>
      <c r="X88" s="245">
        <v>0</v>
      </c>
      <c r="Y88" s="245">
        <v>0</v>
      </c>
      <c r="Z88" s="245">
        <v>0</v>
      </c>
      <c r="AA88" s="245">
        <v>0</v>
      </c>
      <c r="AB88" s="245"/>
      <c r="AC88" s="245">
        <v>0</v>
      </c>
      <c r="AD88" s="250">
        <v>247.85000085830688</v>
      </c>
      <c r="AE88" s="47">
        <f>N88*Forutsetninger!$C$23</f>
        <v>31314.33274048143</v>
      </c>
      <c r="AF88" s="47">
        <f t="shared" si="31"/>
        <v>2602.4250090122223</v>
      </c>
      <c r="AG88" s="47">
        <f>S88*Forutsetninger!$C$17</f>
        <v>0</v>
      </c>
      <c r="AH88" s="47">
        <f>AE88+O88+AF88+R88*Forutsetninger!$C$17-AG88</f>
        <v>43710.82129953018</v>
      </c>
      <c r="AI88" s="47">
        <f>AH88+P88*Forutsetninger!$B$5</f>
        <v>55185.006291530182</v>
      </c>
      <c r="AJ88" s="47">
        <f>T88*Forutsetninger!$C$23</f>
        <v>58.971437622652985</v>
      </c>
      <c r="AK88" s="47">
        <f t="shared" si="32"/>
        <v>743.55000257492065</v>
      </c>
      <c r="AL88" s="47">
        <f>AJ88+U88+AK88+X88*Forutsetninger!$C$17</f>
        <v>1321.5214401975736</v>
      </c>
      <c r="AM88" s="26">
        <f>(T88-E88)*Forutsetninger!$C$23+X88*Forutsetninger!$C$17+U88+V88*Forutsetninger!$B$5</f>
        <v>1098.7128936226532</v>
      </c>
      <c r="AN88" s="26">
        <f>(Y88*Forutsetninger!$C$23)+Z88+(AC88*Forutsetninger!$C$17)+(AA88*Forutsetninger!$B$5)</f>
        <v>0</v>
      </c>
    </row>
    <row r="89" spans="1:40" s="68" customFormat="1" ht="12.75" x14ac:dyDescent="0.2">
      <c r="A89" s="185">
        <v>1462014</v>
      </c>
      <c r="B89" s="212" t="s">
        <v>174</v>
      </c>
      <c r="C89" s="67">
        <v>2014</v>
      </c>
      <c r="D89" s="49">
        <f t="shared" si="22"/>
        <v>23295.5326179564</v>
      </c>
      <c r="E89" s="245">
        <v>0</v>
      </c>
      <c r="F89" s="49">
        <f t="shared" si="23"/>
        <v>23295.5326179564</v>
      </c>
      <c r="G89" s="49">
        <f t="shared" si="24"/>
        <v>8488</v>
      </c>
      <c r="H89" s="49">
        <f t="shared" si="25"/>
        <v>183327</v>
      </c>
      <c r="I89" s="49">
        <f t="shared" si="26"/>
        <v>185160.27000000002</v>
      </c>
      <c r="J89" s="47">
        <f t="shared" si="27"/>
        <v>8905</v>
      </c>
      <c r="K89" s="47">
        <f t="shared" si="28"/>
        <v>20971</v>
      </c>
      <c r="L89" s="47">
        <f t="shared" si="29"/>
        <v>0</v>
      </c>
      <c r="M89" s="49">
        <f t="shared" si="30"/>
        <v>1175</v>
      </c>
      <c r="N89" s="245">
        <v>16295.641296386719</v>
      </c>
      <c r="O89" s="245">
        <v>6296</v>
      </c>
      <c r="P89" s="245">
        <v>101121.2</v>
      </c>
      <c r="Q89" s="245">
        <v>8905</v>
      </c>
      <c r="R89" s="245">
        <v>668</v>
      </c>
      <c r="S89" s="245">
        <v>2138.77001953125</v>
      </c>
      <c r="T89" s="245">
        <v>6202.6252059936523</v>
      </c>
      <c r="U89" s="245">
        <v>1887</v>
      </c>
      <c r="V89" s="245">
        <v>63245.19</v>
      </c>
      <c r="W89" s="245">
        <v>20971</v>
      </c>
      <c r="X89" s="245">
        <v>507</v>
      </c>
      <c r="Y89" s="245">
        <v>797.26611557602882</v>
      </c>
      <c r="Z89" s="245">
        <v>305</v>
      </c>
      <c r="AA89" s="245">
        <v>20793.88</v>
      </c>
      <c r="AB89" s="245"/>
      <c r="AC89" s="245">
        <v>0</v>
      </c>
      <c r="AD89" s="250">
        <v>247.85000085830688</v>
      </c>
      <c r="AE89" s="47">
        <f>N89*Forutsetninger!$C$23</f>
        <v>17143.481344742879</v>
      </c>
      <c r="AF89" s="47">
        <f t="shared" si="31"/>
        <v>2207.1042576432228</v>
      </c>
      <c r="AG89" s="47">
        <f>S89*Forutsetninger!$C$17</f>
        <v>2262.1906415494886</v>
      </c>
      <c r="AH89" s="47">
        <f>AE89+O89+AF89+R89*Forutsetninger!$C$17-AG89</f>
        <v>24090.942805979052</v>
      </c>
      <c r="AI89" s="47">
        <f>AH89+P89*Forutsetninger!$B$5</f>
        <v>30481.802645979053</v>
      </c>
      <c r="AJ89" s="47">
        <f>T89*Forutsetninger!$C$23</f>
        <v>6525.3393575226773</v>
      </c>
      <c r="AK89" s="47">
        <f t="shared" si="32"/>
        <v>5197.6623679995537</v>
      </c>
      <c r="AL89" s="47">
        <f>AJ89+U89+AK89+X89*Forutsetninger!$C$17</f>
        <v>14146.258847509082</v>
      </c>
      <c r="AM89" s="26">
        <f>(T89-E89)*Forutsetninger!$C$23+X89*Forutsetninger!$C$17+U89+V89*Forutsetninger!$B$5</f>
        <v>12945.692487509528</v>
      </c>
      <c r="AN89" s="26">
        <f>(Y89*Forutsetninger!$C$23)+Z89+(AC89*Forutsetninger!$C$17)+(AA89*Forutsetninger!$B$5)</f>
        <v>2457.9200029830872</v>
      </c>
    </row>
    <row r="90" spans="1:40" s="68" customFormat="1" ht="12.75" x14ac:dyDescent="0.2">
      <c r="A90" s="185">
        <v>1492014</v>
      </c>
      <c r="B90" s="212" t="s">
        <v>176</v>
      </c>
      <c r="C90" s="67">
        <v>2014</v>
      </c>
      <c r="D90" s="49">
        <f t="shared" si="22"/>
        <v>16377.659790039063</v>
      </c>
      <c r="E90" s="245">
        <v>0</v>
      </c>
      <c r="F90" s="49">
        <f t="shared" si="23"/>
        <v>16377.659790039063</v>
      </c>
      <c r="G90" s="49">
        <f t="shared" si="24"/>
        <v>6327</v>
      </c>
      <c r="H90" s="49">
        <f t="shared" si="25"/>
        <v>93064</v>
      </c>
      <c r="I90" s="49">
        <f t="shared" si="26"/>
        <v>93994.64</v>
      </c>
      <c r="J90" s="47">
        <f t="shared" si="27"/>
        <v>4293</v>
      </c>
      <c r="K90" s="47">
        <f t="shared" si="28"/>
        <v>0</v>
      </c>
      <c r="L90" s="47">
        <f t="shared" si="29"/>
        <v>0</v>
      </c>
      <c r="M90" s="49">
        <f t="shared" si="30"/>
        <v>634</v>
      </c>
      <c r="N90" s="245">
        <v>16377.659790039063</v>
      </c>
      <c r="O90" s="245">
        <v>6327</v>
      </c>
      <c r="P90" s="245">
        <v>93994.64</v>
      </c>
      <c r="Q90" s="245">
        <v>4293</v>
      </c>
      <c r="R90" s="245">
        <v>634</v>
      </c>
      <c r="S90" s="245">
        <v>0</v>
      </c>
      <c r="T90" s="245">
        <v>0</v>
      </c>
      <c r="U90" s="245">
        <v>0</v>
      </c>
      <c r="V90" s="245">
        <v>0</v>
      </c>
      <c r="W90" s="245">
        <v>0</v>
      </c>
      <c r="X90" s="245">
        <v>0</v>
      </c>
      <c r="Y90" s="245">
        <v>0</v>
      </c>
      <c r="Z90" s="245">
        <v>0</v>
      </c>
      <c r="AA90" s="245">
        <v>0</v>
      </c>
      <c r="AB90" s="245"/>
      <c r="AC90" s="245">
        <v>0</v>
      </c>
      <c r="AD90" s="250">
        <v>276.60000324249268</v>
      </c>
      <c r="AE90" s="47">
        <f>N90*Forutsetninger!$C$23</f>
        <v>17229.76714904348</v>
      </c>
      <c r="AF90" s="47">
        <f t="shared" si="31"/>
        <v>1187.4438139200211</v>
      </c>
      <c r="AG90" s="47">
        <f>S90*Forutsetninger!$C$17</f>
        <v>0</v>
      </c>
      <c r="AH90" s="47">
        <f>AE90+O90+AF90+R90*Forutsetninger!$C$17-AG90</f>
        <v>25414.796792035817</v>
      </c>
      <c r="AI90" s="47">
        <f>AH90+P90*Forutsetninger!$B$5</f>
        <v>31355.258040035817</v>
      </c>
      <c r="AJ90" s="47">
        <f>T90*Forutsetninger!$C$23</f>
        <v>0</v>
      </c>
      <c r="AK90" s="47">
        <f t="shared" si="32"/>
        <v>0</v>
      </c>
      <c r="AL90" s="47">
        <f>AJ90+U90+AK90+X90*Forutsetninger!$C$17</f>
        <v>0</v>
      </c>
      <c r="AM90" s="26">
        <f>(T90-E90)*Forutsetninger!$C$23+X90*Forutsetninger!$C$17+U90+V90*Forutsetninger!$B$5</f>
        <v>0</v>
      </c>
      <c r="AN90" s="26">
        <f>(Y90*Forutsetninger!$C$23)+Z90+(AC90*Forutsetninger!$C$17)+(AA90*Forutsetninger!$B$5)</f>
        <v>0</v>
      </c>
    </row>
    <row r="91" spans="1:40" s="68" customFormat="1" ht="12.75" x14ac:dyDescent="0.2">
      <c r="A91" s="185">
        <v>1522014</v>
      </c>
      <c r="B91" s="212" t="s">
        <v>177</v>
      </c>
      <c r="C91" s="67">
        <v>2014</v>
      </c>
      <c r="D91" s="49">
        <f t="shared" si="22"/>
        <v>1641</v>
      </c>
      <c r="E91" s="245">
        <v>0</v>
      </c>
      <c r="F91" s="49">
        <f t="shared" si="23"/>
        <v>1641</v>
      </c>
      <c r="G91" s="49">
        <f t="shared" si="24"/>
        <v>732</v>
      </c>
      <c r="H91" s="47">
        <f t="shared" si="25"/>
        <v>14610</v>
      </c>
      <c r="I91" s="49">
        <f t="shared" si="26"/>
        <v>14756.1</v>
      </c>
      <c r="J91" s="47">
        <f t="shared" si="27"/>
        <v>0</v>
      </c>
      <c r="K91" s="47">
        <f t="shared" si="28"/>
        <v>15018</v>
      </c>
      <c r="L91" s="47">
        <f t="shared" si="29"/>
        <v>0</v>
      </c>
      <c r="M91" s="49">
        <f t="shared" si="30"/>
        <v>0</v>
      </c>
      <c r="N91" s="245">
        <v>0</v>
      </c>
      <c r="O91" s="245">
        <v>0</v>
      </c>
      <c r="P91" s="245">
        <v>0</v>
      </c>
      <c r="Q91" s="245">
        <v>0</v>
      </c>
      <c r="R91" s="245">
        <v>0</v>
      </c>
      <c r="S91" s="245">
        <v>0</v>
      </c>
      <c r="T91" s="245">
        <v>1641</v>
      </c>
      <c r="U91" s="245">
        <v>732</v>
      </c>
      <c r="V91" s="245">
        <v>14756.1</v>
      </c>
      <c r="W91" s="245">
        <v>15018</v>
      </c>
      <c r="X91" s="245">
        <v>0</v>
      </c>
      <c r="Y91" s="245">
        <v>0</v>
      </c>
      <c r="Z91" s="245">
        <v>0</v>
      </c>
      <c r="AA91" s="245">
        <v>0</v>
      </c>
      <c r="AB91" s="245"/>
      <c r="AC91" s="245">
        <v>0</v>
      </c>
      <c r="AD91" s="250">
        <v>276.60000324249268</v>
      </c>
      <c r="AE91" s="47">
        <f>N91*Forutsetninger!$C$23</f>
        <v>0</v>
      </c>
      <c r="AF91" s="47">
        <f t="shared" si="31"/>
        <v>0</v>
      </c>
      <c r="AG91" s="47">
        <f>S91*Forutsetninger!$C$17</f>
        <v>0</v>
      </c>
      <c r="AH91" s="47">
        <f>AE91+O91+AF91+R91*Forutsetninger!$C$17-AG91</f>
        <v>0</v>
      </c>
      <c r="AI91" s="47">
        <f>AH91+P91*Forutsetninger!$B$5</f>
        <v>0</v>
      </c>
      <c r="AJ91" s="47">
        <f>T91*Forutsetninger!$C$23</f>
        <v>1726.3789976133651</v>
      </c>
      <c r="AK91" s="47">
        <f t="shared" si="32"/>
        <v>4153.978848695755</v>
      </c>
      <c r="AL91" s="47">
        <f>AJ91+U91+AK91+X91*Forutsetninger!$C$17</f>
        <v>6612.3578463091199</v>
      </c>
      <c r="AM91" s="26">
        <f>(T91-E91)*Forutsetninger!$C$23+X91*Forutsetninger!$C$17+U91+V91*Forutsetninger!$B$5</f>
        <v>3390.9645176133649</v>
      </c>
      <c r="AN91" s="26">
        <f>(Y91*Forutsetninger!$C$23)+Z91+(AC91*Forutsetninger!$C$17)+(AA91*Forutsetninger!$B$5)</f>
        <v>0</v>
      </c>
    </row>
    <row r="92" spans="1:40" s="68" customFormat="1" ht="12.75" x14ac:dyDescent="0.2">
      <c r="A92" s="185">
        <v>1532014</v>
      </c>
      <c r="B92" s="212" t="s">
        <v>178</v>
      </c>
      <c r="C92" s="67">
        <v>2014</v>
      </c>
      <c r="D92" s="49">
        <f t="shared" si="22"/>
        <v>14367.915283203125</v>
      </c>
      <c r="E92" s="245">
        <v>0</v>
      </c>
      <c r="F92" s="49">
        <f t="shared" si="23"/>
        <v>14367.915283203125</v>
      </c>
      <c r="G92" s="49">
        <f t="shared" si="24"/>
        <v>8412</v>
      </c>
      <c r="H92" s="49">
        <f t="shared" si="25"/>
        <v>108811</v>
      </c>
      <c r="I92" s="49">
        <f t="shared" si="26"/>
        <v>109899.11</v>
      </c>
      <c r="J92" s="47">
        <f t="shared" si="27"/>
        <v>8694</v>
      </c>
      <c r="K92" s="47">
        <f t="shared" si="28"/>
        <v>0</v>
      </c>
      <c r="L92" s="47">
        <f t="shared" si="29"/>
        <v>0</v>
      </c>
      <c r="M92" s="49">
        <f t="shared" si="30"/>
        <v>602</v>
      </c>
      <c r="N92" s="245">
        <v>14367.915283203125</v>
      </c>
      <c r="O92" s="245">
        <v>8412</v>
      </c>
      <c r="P92" s="245">
        <v>109899.11</v>
      </c>
      <c r="Q92" s="245">
        <v>8694</v>
      </c>
      <c r="R92" s="245">
        <v>602</v>
      </c>
      <c r="S92" s="245">
        <v>0</v>
      </c>
      <c r="T92" s="245">
        <v>0</v>
      </c>
      <c r="U92" s="245">
        <v>0</v>
      </c>
      <c r="V92" s="245">
        <v>0</v>
      </c>
      <c r="W92" s="245">
        <v>0</v>
      </c>
      <c r="X92" s="245">
        <v>0</v>
      </c>
      <c r="Y92" s="245">
        <v>0</v>
      </c>
      <c r="Z92" s="245">
        <v>0</v>
      </c>
      <c r="AA92" s="245">
        <v>0</v>
      </c>
      <c r="AB92" s="245"/>
      <c r="AC92" s="245">
        <v>0</v>
      </c>
      <c r="AD92" s="250">
        <v>276.60000324249268</v>
      </c>
      <c r="AE92" s="47">
        <f>N92*Forutsetninger!$C$23</f>
        <v>15115.458369536844</v>
      </c>
      <c r="AF92" s="47">
        <f t="shared" si="31"/>
        <v>2404.7604281902313</v>
      </c>
      <c r="AG92" s="47">
        <f>S92*Forutsetninger!$C$17</f>
        <v>0</v>
      </c>
      <c r="AH92" s="47">
        <f>AE92+O92+AF92+R92*Forutsetninger!$C$17-AG92</f>
        <v>26568.958023439271</v>
      </c>
      <c r="AI92" s="47">
        <f>AH92+P92*Forutsetninger!$B$5</f>
        <v>33514.58177543927</v>
      </c>
      <c r="AJ92" s="47">
        <f>T92*Forutsetninger!$C$23</f>
        <v>0</v>
      </c>
      <c r="AK92" s="47">
        <f t="shared" si="32"/>
        <v>0</v>
      </c>
      <c r="AL92" s="47">
        <f>AJ92+U92+AK92+X92*Forutsetninger!$C$17</f>
        <v>0</v>
      </c>
      <c r="AM92" s="26">
        <f>(T92-E92)*Forutsetninger!$C$23+X92*Forutsetninger!$C$17+U92+V92*Forutsetninger!$B$5</f>
        <v>0</v>
      </c>
      <c r="AN92" s="26">
        <f>(Y92*Forutsetninger!$C$23)+Z92+(AC92*Forutsetninger!$C$17)+(AA92*Forutsetninger!$B$5)</f>
        <v>0</v>
      </c>
    </row>
    <row r="93" spans="1:40" s="68" customFormat="1" ht="12.75" x14ac:dyDescent="0.2">
      <c r="A93" s="185">
        <v>1562014</v>
      </c>
      <c r="B93" s="212" t="s">
        <v>84</v>
      </c>
      <c r="C93" s="67">
        <v>2014</v>
      </c>
      <c r="D93" s="49">
        <f t="shared" si="22"/>
        <v>215.07544946670532</v>
      </c>
      <c r="E93" s="245">
        <v>0</v>
      </c>
      <c r="F93" s="49">
        <f t="shared" si="23"/>
        <v>215.07544946670532</v>
      </c>
      <c r="G93" s="49">
        <f t="shared" si="24"/>
        <v>251</v>
      </c>
      <c r="H93" s="47">
        <f t="shared" si="25"/>
        <v>1636</v>
      </c>
      <c r="I93" s="49">
        <f t="shared" si="26"/>
        <v>1652.3600000000001</v>
      </c>
      <c r="J93" s="47">
        <f t="shared" si="27"/>
        <v>0</v>
      </c>
      <c r="K93" s="47">
        <f t="shared" si="28"/>
        <v>0</v>
      </c>
      <c r="L93" s="47">
        <f t="shared" si="29"/>
        <v>0</v>
      </c>
      <c r="M93" s="49">
        <f t="shared" si="30"/>
        <v>0</v>
      </c>
      <c r="N93" s="245">
        <v>0</v>
      </c>
      <c r="O93" s="245">
        <v>0</v>
      </c>
      <c r="P93" s="245">
        <v>0</v>
      </c>
      <c r="Q93" s="245">
        <v>0</v>
      </c>
      <c r="R93" s="245">
        <v>0</v>
      </c>
      <c r="S93" s="245">
        <v>0</v>
      </c>
      <c r="T93" s="245">
        <v>215.07544946670532</v>
      </c>
      <c r="U93" s="245">
        <v>251</v>
      </c>
      <c r="V93" s="245">
        <v>1652.3600000000001</v>
      </c>
      <c r="W93" s="245">
        <v>0</v>
      </c>
      <c r="X93" s="245">
        <v>0</v>
      </c>
      <c r="Y93" s="245">
        <v>0</v>
      </c>
      <c r="Z93" s="245">
        <v>0</v>
      </c>
      <c r="AA93" s="245">
        <v>0</v>
      </c>
      <c r="AB93" s="245"/>
      <c r="AC93" s="245">
        <v>0</v>
      </c>
      <c r="AD93" s="250">
        <v>244.45000290870667</v>
      </c>
      <c r="AE93" s="47">
        <f>N93*Forutsetninger!$C$23</f>
        <v>0</v>
      </c>
      <c r="AF93" s="47">
        <f t="shared" si="31"/>
        <v>0</v>
      </c>
      <c r="AG93" s="47">
        <f>S93*Forutsetninger!$C$17</f>
        <v>0</v>
      </c>
      <c r="AH93" s="47">
        <f>AE93+O93+AF93+R93*Forutsetninger!$C$17-AG93</f>
        <v>0</v>
      </c>
      <c r="AI93" s="47">
        <f>AH93+P93*Forutsetninger!$B$5</f>
        <v>0</v>
      </c>
      <c r="AJ93" s="47">
        <f>T93*Forutsetninger!$C$23</f>
        <v>226.26553251771767</v>
      </c>
      <c r="AK93" s="47">
        <f t="shared" si="32"/>
        <v>0</v>
      </c>
      <c r="AL93" s="47">
        <f>AJ93+U93+AK93+X93*Forutsetninger!$C$17</f>
        <v>477.2655325177177</v>
      </c>
      <c r="AM93" s="26">
        <f>(T93-E93)*Forutsetninger!$C$23+X93*Forutsetninger!$C$17+U93+V93*Forutsetninger!$B$5</f>
        <v>581.69468451771775</v>
      </c>
      <c r="AN93" s="26">
        <f>(Y93*Forutsetninger!$C$23)+Z93+(AC93*Forutsetninger!$C$17)+(AA93*Forutsetninger!$B$5)</f>
        <v>0</v>
      </c>
    </row>
    <row r="94" spans="1:40" s="68" customFormat="1" ht="12.75" x14ac:dyDescent="0.2">
      <c r="A94" s="185">
        <v>1572014</v>
      </c>
      <c r="B94" s="212" t="s">
        <v>85</v>
      </c>
      <c r="C94" s="67">
        <v>2014</v>
      </c>
      <c r="D94" s="49">
        <f t="shared" si="22"/>
        <v>13719.08056640625</v>
      </c>
      <c r="E94" s="245">
        <v>0</v>
      </c>
      <c r="F94" s="49">
        <f t="shared" si="23"/>
        <v>13719.08056640625</v>
      </c>
      <c r="G94" s="49">
        <f t="shared" si="24"/>
        <v>5313</v>
      </c>
      <c r="H94" s="47">
        <f t="shared" si="25"/>
        <v>67023</v>
      </c>
      <c r="I94" s="49">
        <f t="shared" si="26"/>
        <v>67693.23</v>
      </c>
      <c r="J94" s="47">
        <f t="shared" si="27"/>
        <v>8260</v>
      </c>
      <c r="K94" s="47">
        <f t="shared" si="28"/>
        <v>0</v>
      </c>
      <c r="L94" s="47">
        <f t="shared" si="29"/>
        <v>0</v>
      </c>
      <c r="M94" s="49">
        <f t="shared" si="30"/>
        <v>1358</v>
      </c>
      <c r="N94" s="245">
        <v>13719.08056640625</v>
      </c>
      <c r="O94" s="245">
        <v>5313</v>
      </c>
      <c r="P94" s="245">
        <v>67693.23</v>
      </c>
      <c r="Q94" s="245">
        <v>8260</v>
      </c>
      <c r="R94" s="245">
        <v>1358</v>
      </c>
      <c r="S94" s="245">
        <v>1118.739990234375</v>
      </c>
      <c r="T94" s="245">
        <v>0</v>
      </c>
      <c r="U94" s="245">
        <v>0</v>
      </c>
      <c r="V94" s="245">
        <v>0</v>
      </c>
      <c r="W94" s="245">
        <v>0</v>
      </c>
      <c r="X94" s="245">
        <v>0</v>
      </c>
      <c r="Y94" s="245">
        <v>0</v>
      </c>
      <c r="Z94" s="245">
        <v>0</v>
      </c>
      <c r="AA94" s="245">
        <v>0</v>
      </c>
      <c r="AB94" s="245"/>
      <c r="AC94" s="245">
        <v>0</v>
      </c>
      <c r="AD94" s="250">
        <v>259.70000028610229</v>
      </c>
      <c r="AE94" s="47">
        <f>N94*Forutsetninger!$C$23</f>
        <v>14432.865665088008</v>
      </c>
      <c r="AF94" s="47">
        <f t="shared" si="31"/>
        <v>2145.122002363205</v>
      </c>
      <c r="AG94" s="47">
        <f>S94*Forutsetninger!$C$17</f>
        <v>1183.2983972676222</v>
      </c>
      <c r="AH94" s="47">
        <f>AE94+O94+AF94+R94*Forutsetninger!$C$17-AG94</f>
        <v>22144.054500278551</v>
      </c>
      <c r="AI94" s="47">
        <f>AH94+P94*Forutsetninger!$B$5</f>
        <v>26422.266636278553</v>
      </c>
      <c r="AJ94" s="47">
        <f>T94*Forutsetninger!$C$23</f>
        <v>0</v>
      </c>
      <c r="AK94" s="47">
        <f t="shared" si="32"/>
        <v>0</v>
      </c>
      <c r="AL94" s="47">
        <f>AJ94+U94+AK94+X94*Forutsetninger!$C$17</f>
        <v>0</v>
      </c>
      <c r="AM94" s="26">
        <f>(T94-E94)*Forutsetninger!$C$23+X94*Forutsetninger!$C$17+U94+V94*Forutsetninger!$B$5</f>
        <v>0</v>
      </c>
      <c r="AN94" s="26">
        <f>(Y94*Forutsetninger!$C$23)+Z94+(AC94*Forutsetninger!$C$17)+(AA94*Forutsetninger!$B$5)</f>
        <v>0</v>
      </c>
    </row>
    <row r="95" spans="1:40" s="68" customFormat="1" ht="12.75" x14ac:dyDescent="0.2">
      <c r="A95" s="185">
        <v>1612014</v>
      </c>
      <c r="B95" s="212" t="s">
        <v>39</v>
      </c>
      <c r="C95" s="67">
        <v>2014</v>
      </c>
      <c r="D95" s="49">
        <f t="shared" si="22"/>
        <v>15134.894088745117</v>
      </c>
      <c r="E95" s="245">
        <v>0</v>
      </c>
      <c r="F95" s="49">
        <f t="shared" si="23"/>
        <v>15134.894088745117</v>
      </c>
      <c r="G95" s="49">
        <f t="shared" si="24"/>
        <v>3422</v>
      </c>
      <c r="H95" s="47">
        <f t="shared" si="25"/>
        <v>41746</v>
      </c>
      <c r="I95" s="49">
        <f t="shared" si="26"/>
        <v>42163.46</v>
      </c>
      <c r="J95" s="47">
        <f t="shared" si="27"/>
        <v>7710</v>
      </c>
      <c r="K95" s="47">
        <f t="shared" si="28"/>
        <v>705</v>
      </c>
      <c r="L95" s="47">
        <f t="shared" si="29"/>
        <v>0</v>
      </c>
      <c r="M95" s="49">
        <f t="shared" si="30"/>
        <v>739</v>
      </c>
      <c r="N95" s="245">
        <v>14096.16015625</v>
      </c>
      <c r="O95" s="245">
        <v>2879</v>
      </c>
      <c r="P95" s="245">
        <v>32239.200000000001</v>
      </c>
      <c r="Q95" s="245">
        <v>7710</v>
      </c>
      <c r="R95" s="245">
        <v>739</v>
      </c>
      <c r="S95" s="245">
        <v>0</v>
      </c>
      <c r="T95" s="245">
        <v>1038.7339324951172</v>
      </c>
      <c r="U95" s="245">
        <v>543</v>
      </c>
      <c r="V95" s="245">
        <v>9924.26</v>
      </c>
      <c r="W95" s="245">
        <v>705</v>
      </c>
      <c r="X95" s="245">
        <v>0</v>
      </c>
      <c r="Y95" s="245">
        <v>0</v>
      </c>
      <c r="Z95" s="245">
        <v>0</v>
      </c>
      <c r="AA95" s="245">
        <v>0</v>
      </c>
      <c r="AB95" s="245"/>
      <c r="AC95" s="245">
        <v>0</v>
      </c>
      <c r="AD95" s="250">
        <v>247.85000085830688</v>
      </c>
      <c r="AE95" s="47">
        <f>N95*Forutsetninger!$C$23</f>
        <v>14829.564193019092</v>
      </c>
      <c r="AF95" s="47">
        <f t="shared" si="31"/>
        <v>1910.9235066175461</v>
      </c>
      <c r="AG95" s="47">
        <f>S95*Forutsetninger!$C$17</f>
        <v>0</v>
      </c>
      <c r="AH95" s="47">
        <f>AE95+O95+AF95+R95*Forutsetninger!$C$17-AG95</f>
        <v>20401.132695984335</v>
      </c>
      <c r="AI95" s="47">
        <f>AH95+P95*Forutsetninger!$B$5</f>
        <v>22438.650135984335</v>
      </c>
      <c r="AJ95" s="47">
        <f>T95*Forutsetninger!$C$23</f>
        <v>1092.7778459280373</v>
      </c>
      <c r="AK95" s="47">
        <f t="shared" si="32"/>
        <v>174.73425060510635</v>
      </c>
      <c r="AL95" s="47">
        <f>AJ95+U95+AK95+X95*Forutsetninger!$C$17</f>
        <v>1810.5120965331437</v>
      </c>
      <c r="AM95" s="26">
        <f>(T95-E95)*Forutsetninger!$C$23+X95*Forutsetninger!$C$17+U95+V95*Forutsetninger!$B$5</f>
        <v>2262.9910779280372</v>
      </c>
      <c r="AN95" s="26">
        <f>(Y95*Forutsetninger!$C$23)+Z95+(AC95*Forutsetninger!$C$17)+(AA95*Forutsetninger!$B$5)</f>
        <v>0</v>
      </c>
    </row>
    <row r="96" spans="1:40" s="68" customFormat="1" ht="12.75" x14ac:dyDescent="0.2">
      <c r="A96" s="185">
        <v>1622014</v>
      </c>
      <c r="B96" s="212" t="s">
        <v>179</v>
      </c>
      <c r="C96" s="67">
        <v>2014</v>
      </c>
      <c r="D96" s="49">
        <f t="shared" si="22"/>
        <v>23214.599475860596</v>
      </c>
      <c r="E96" s="245">
        <v>0</v>
      </c>
      <c r="F96" s="49">
        <f t="shared" si="23"/>
        <v>23214.599475860596</v>
      </c>
      <c r="G96" s="49">
        <f t="shared" si="24"/>
        <v>6456</v>
      </c>
      <c r="H96" s="47">
        <f t="shared" si="25"/>
        <v>92837</v>
      </c>
      <c r="I96" s="49">
        <f t="shared" si="26"/>
        <v>93765.37</v>
      </c>
      <c r="J96" s="47">
        <f t="shared" si="27"/>
        <v>11128</v>
      </c>
      <c r="K96" s="47">
        <f t="shared" si="28"/>
        <v>191</v>
      </c>
      <c r="L96" s="47">
        <f t="shared" si="29"/>
        <v>0</v>
      </c>
      <c r="M96" s="49">
        <f t="shared" si="30"/>
        <v>1106</v>
      </c>
      <c r="N96" s="245">
        <v>22911.7421875</v>
      </c>
      <c r="O96" s="245">
        <v>6281</v>
      </c>
      <c r="P96" s="245">
        <v>88142.7</v>
      </c>
      <c r="Q96" s="245">
        <v>11128</v>
      </c>
      <c r="R96" s="245">
        <v>1106</v>
      </c>
      <c r="S96" s="245">
        <v>0</v>
      </c>
      <c r="T96" s="245">
        <v>302.8572883605957</v>
      </c>
      <c r="U96" s="245">
        <v>175</v>
      </c>
      <c r="V96" s="245">
        <v>5622.67</v>
      </c>
      <c r="W96" s="245">
        <v>191</v>
      </c>
      <c r="X96" s="245">
        <v>0</v>
      </c>
      <c r="Y96" s="245">
        <v>0</v>
      </c>
      <c r="Z96" s="245">
        <v>0</v>
      </c>
      <c r="AA96" s="245">
        <v>0</v>
      </c>
      <c r="AB96" s="245"/>
      <c r="AC96" s="245">
        <v>0</v>
      </c>
      <c r="AD96" s="250">
        <v>276.60000324249268</v>
      </c>
      <c r="AE96" s="47">
        <f>N96*Forutsetninger!$C$23</f>
        <v>24103.808964797136</v>
      </c>
      <c r="AF96" s="47">
        <f t="shared" si="31"/>
        <v>3078.0048360824585</v>
      </c>
      <c r="AG96" s="47">
        <f>S96*Forutsetninger!$C$17</f>
        <v>0</v>
      </c>
      <c r="AH96" s="47">
        <f>AE96+O96+AF96+R96*Forutsetninger!$C$17-AG96</f>
        <v>34632.637029513637</v>
      </c>
      <c r="AI96" s="47">
        <f>AH96+P96*Forutsetninger!$B$5</f>
        <v>40203.255669513637</v>
      </c>
      <c r="AJ96" s="47">
        <f>T96*Forutsetninger!$C$23</f>
        <v>318.61454107243577</v>
      </c>
      <c r="AK96" s="47">
        <f t="shared" si="32"/>
        <v>52.830600619316101</v>
      </c>
      <c r="AL96" s="47">
        <f>AJ96+U96+AK96+X96*Forutsetninger!$C$17</f>
        <v>546.44514169175181</v>
      </c>
      <c r="AM96" s="26">
        <f>(T96-E96)*Forutsetninger!$C$23+X96*Forutsetninger!$C$17+U96+V96*Forutsetninger!$B$5</f>
        <v>848.96728507243574</v>
      </c>
      <c r="AN96" s="26">
        <f>(Y96*Forutsetninger!$C$23)+Z96+(AC96*Forutsetninger!$C$17)+(AA96*Forutsetninger!$B$5)</f>
        <v>0</v>
      </c>
    </row>
    <row r="97" spans="1:40" s="68" customFormat="1" ht="12.75" x14ac:dyDescent="0.2">
      <c r="A97" s="185">
        <v>1642014</v>
      </c>
      <c r="B97" s="212" t="s">
        <v>40</v>
      </c>
      <c r="C97" s="67">
        <v>2014</v>
      </c>
      <c r="D97" s="49">
        <f t="shared" si="22"/>
        <v>34550.607065200806</v>
      </c>
      <c r="E97" s="245">
        <v>0</v>
      </c>
      <c r="F97" s="49">
        <f t="shared" si="23"/>
        <v>34550.607065200806</v>
      </c>
      <c r="G97" s="49">
        <f t="shared" si="24"/>
        <v>10162</v>
      </c>
      <c r="H97" s="47">
        <f t="shared" si="25"/>
        <v>171341</v>
      </c>
      <c r="I97" s="49">
        <f t="shared" si="26"/>
        <v>173054.40999999997</v>
      </c>
      <c r="J97" s="47">
        <f t="shared" si="27"/>
        <v>7754</v>
      </c>
      <c r="K97" s="47">
        <f t="shared" si="28"/>
        <v>6050</v>
      </c>
      <c r="L97" s="47">
        <f t="shared" si="29"/>
        <v>0</v>
      </c>
      <c r="M97" s="49">
        <f t="shared" si="30"/>
        <v>2737</v>
      </c>
      <c r="N97" s="245">
        <v>31616.513061523438</v>
      </c>
      <c r="O97" s="245">
        <v>7906</v>
      </c>
      <c r="P97" s="245">
        <v>133972.46</v>
      </c>
      <c r="Q97" s="245">
        <v>7754</v>
      </c>
      <c r="R97" s="245">
        <v>1431</v>
      </c>
      <c r="S97" s="245">
        <v>0</v>
      </c>
      <c r="T97" s="245">
        <v>2934.0940036773682</v>
      </c>
      <c r="U97" s="245">
        <v>2256</v>
      </c>
      <c r="V97" s="245">
        <v>39081.949999999997</v>
      </c>
      <c r="W97" s="245">
        <v>6050</v>
      </c>
      <c r="X97" s="245">
        <v>1306</v>
      </c>
      <c r="Y97" s="245">
        <v>0</v>
      </c>
      <c r="Z97" s="245">
        <v>0</v>
      </c>
      <c r="AA97" s="245">
        <v>0</v>
      </c>
      <c r="AB97" s="245"/>
      <c r="AC97" s="245">
        <v>0</v>
      </c>
      <c r="AD97" s="250">
        <v>244.45000290870667</v>
      </c>
      <c r="AE97" s="47">
        <f>N97*Forutsetninger!$C$23</f>
        <v>33261.477225583607</v>
      </c>
      <c r="AF97" s="47">
        <f t="shared" si="31"/>
        <v>1895.4653225541115</v>
      </c>
      <c r="AG97" s="47">
        <f>S97*Forutsetninger!$C$17</f>
        <v>0</v>
      </c>
      <c r="AH97" s="47">
        <f>AE97+O97+AF97+R97*Forutsetninger!$C$17-AG97</f>
        <v>44576.520342147945</v>
      </c>
      <c r="AI97" s="47">
        <f>AH97+P97*Forutsetninger!$B$5</f>
        <v>53043.579814147946</v>
      </c>
      <c r="AJ97" s="47">
        <f>T97*Forutsetninger!$C$23</f>
        <v>3086.750923200439</v>
      </c>
      <c r="AK97" s="47">
        <f t="shared" si="32"/>
        <v>1478.9225175976753</v>
      </c>
      <c r="AL97" s="47">
        <f>AJ97+U97+AK97+X97*Forutsetninger!$C$17</f>
        <v>8203.0379404328851</v>
      </c>
      <c r="AM97" s="26">
        <f>(T97-E97)*Forutsetninger!$C$23+X97*Forutsetninger!$C$17+U97+V97*Forutsetninger!$B$5</f>
        <v>9194.0946628352085</v>
      </c>
      <c r="AN97" s="26">
        <f>(Y97*Forutsetninger!$C$23)+Z97+(AC97*Forutsetninger!$C$17)+(AA97*Forutsetninger!$B$5)</f>
        <v>0</v>
      </c>
    </row>
    <row r="98" spans="1:40" s="68" customFormat="1" ht="14.25" customHeight="1" x14ac:dyDescent="0.2">
      <c r="A98" s="185">
        <v>6932014</v>
      </c>
      <c r="B98" s="212" t="s">
        <v>65</v>
      </c>
      <c r="C98" s="67">
        <v>2014</v>
      </c>
      <c r="D98" s="49">
        <f t="shared" si="22"/>
        <v>56222.934387207031</v>
      </c>
      <c r="E98" s="245">
        <v>0</v>
      </c>
      <c r="F98" s="49">
        <f t="shared" si="23"/>
        <v>56222.934387207031</v>
      </c>
      <c r="G98" s="49">
        <f t="shared" si="24"/>
        <v>25711</v>
      </c>
      <c r="H98" s="49">
        <f t="shared" si="25"/>
        <v>381046</v>
      </c>
      <c r="I98" s="49">
        <f t="shared" si="26"/>
        <v>384856.46</v>
      </c>
      <c r="J98" s="47">
        <f t="shared" si="27"/>
        <v>31716</v>
      </c>
      <c r="K98" s="47">
        <f t="shared" si="28"/>
        <v>0</v>
      </c>
      <c r="L98" s="47">
        <f t="shared" si="29"/>
        <v>0</v>
      </c>
      <c r="M98" s="49">
        <f t="shared" si="30"/>
        <v>4526</v>
      </c>
      <c r="N98" s="245">
        <v>56222.934387207031</v>
      </c>
      <c r="O98" s="245">
        <v>25711</v>
      </c>
      <c r="P98" s="245">
        <v>384856.46</v>
      </c>
      <c r="Q98" s="245">
        <v>31716</v>
      </c>
      <c r="R98" s="245">
        <v>4526</v>
      </c>
      <c r="S98" s="245">
        <v>0</v>
      </c>
      <c r="T98" s="245">
        <v>0</v>
      </c>
      <c r="U98" s="245">
        <v>0</v>
      </c>
      <c r="V98" s="245">
        <v>0</v>
      </c>
      <c r="W98" s="245">
        <v>0</v>
      </c>
      <c r="X98" s="245">
        <v>0</v>
      </c>
      <c r="Y98" s="245">
        <v>0</v>
      </c>
      <c r="Z98" s="245">
        <v>0</v>
      </c>
      <c r="AA98" s="245">
        <v>0</v>
      </c>
      <c r="AB98" s="245"/>
      <c r="AC98" s="245">
        <v>0</v>
      </c>
      <c r="AD98" s="250">
        <v>259.70000028610229</v>
      </c>
      <c r="AE98" s="47">
        <f>N98*Forutsetninger!$C$23</f>
        <v>59148.137178713267</v>
      </c>
      <c r="AF98" s="47">
        <f t="shared" si="31"/>
        <v>8236.6452090740204</v>
      </c>
      <c r="AG98" s="47">
        <f>S98*Forutsetninger!$C$17</f>
        <v>0</v>
      </c>
      <c r="AH98" s="47">
        <f>AE98+O98+AF98+R98*Forutsetninger!$C$17-AG98</f>
        <v>97882.96135053382</v>
      </c>
      <c r="AI98" s="47">
        <f>AH98+P98*Forutsetninger!$B$5</f>
        <v>122205.88962253382</v>
      </c>
      <c r="AJ98" s="47">
        <f>T98*Forutsetninger!$C$23</f>
        <v>0</v>
      </c>
      <c r="AK98" s="47">
        <f t="shared" si="32"/>
        <v>0</v>
      </c>
      <c r="AL98" s="47">
        <f>AJ98+U98+AK98+X98*Forutsetninger!$C$17</f>
        <v>0</v>
      </c>
      <c r="AM98" s="26">
        <f>(T98-E98)*Forutsetninger!$C$23+X98*Forutsetninger!$C$17+U98+V98*Forutsetninger!$B$5</f>
        <v>0</v>
      </c>
      <c r="AN98" s="26">
        <f>(Y98*Forutsetninger!$C$23)+Z98+(AC98*Forutsetninger!$C$17)+(AA98*Forutsetninger!$B$5)</f>
        <v>0</v>
      </c>
    </row>
    <row r="99" spans="1:40" s="68" customFormat="1" ht="12.75" x14ac:dyDescent="0.2">
      <c r="A99" s="185">
        <v>1662014</v>
      </c>
      <c r="B99" s="212" t="s">
        <v>272</v>
      </c>
      <c r="C99" s="67">
        <v>2014</v>
      </c>
      <c r="D99" s="49">
        <f t="shared" ref="D99:D130" si="33">N99+T99+Y99</f>
        <v>9067.8121948242187</v>
      </c>
      <c r="E99" s="245">
        <v>0</v>
      </c>
      <c r="F99" s="49">
        <f t="shared" ref="F99:F130" si="34">D99-E99</f>
        <v>9067.8121948242187</v>
      </c>
      <c r="G99" s="49">
        <f t="shared" ref="G99:G130" si="35">O99+U99+Z99</f>
        <v>3656</v>
      </c>
      <c r="H99" s="47">
        <f t="shared" ref="H99:H130" si="36">ROUND(I99/1.01,0)</f>
        <v>48027</v>
      </c>
      <c r="I99" s="49">
        <f t="shared" ref="I99:I130" si="37">P99+V99+AA99</f>
        <v>48507.27</v>
      </c>
      <c r="J99" s="47">
        <f t="shared" ref="J99:J130" si="38">Q99</f>
        <v>3961</v>
      </c>
      <c r="K99" s="47">
        <f t="shared" ref="K99:K130" si="39">W99</f>
        <v>0</v>
      </c>
      <c r="L99" s="47">
        <f t="shared" ref="L99:L130" si="40">AB99</f>
        <v>0</v>
      </c>
      <c r="M99" s="49">
        <f t="shared" ref="M99:M130" si="41">R99+X99+AC99</f>
        <v>901</v>
      </c>
      <c r="N99" s="245">
        <v>9067.8121948242187</v>
      </c>
      <c r="O99" s="245">
        <v>3656</v>
      </c>
      <c r="P99" s="245">
        <v>48507.27</v>
      </c>
      <c r="Q99" s="245">
        <v>3961</v>
      </c>
      <c r="R99" s="245">
        <v>901</v>
      </c>
      <c r="S99" s="245">
        <v>0</v>
      </c>
      <c r="T99" s="245">
        <v>0</v>
      </c>
      <c r="U99" s="245">
        <v>0</v>
      </c>
      <c r="V99" s="245">
        <v>0</v>
      </c>
      <c r="W99" s="245">
        <v>0</v>
      </c>
      <c r="X99" s="245">
        <v>0</v>
      </c>
      <c r="Y99" s="245">
        <v>0</v>
      </c>
      <c r="Z99" s="245">
        <v>0</v>
      </c>
      <c r="AA99" s="245">
        <v>0</v>
      </c>
      <c r="AB99" s="245"/>
      <c r="AC99" s="245">
        <v>0</v>
      </c>
      <c r="AD99" s="250">
        <v>276.60000324249268</v>
      </c>
      <c r="AE99" s="47">
        <f>N99*Forutsetninger!$C$23</f>
        <v>9539.5981276336879</v>
      </c>
      <c r="AF99" s="47">
        <f t="shared" ref="AF99:AF130" si="42">(Q99*AD99)/1000</f>
        <v>1095.6126128435135</v>
      </c>
      <c r="AG99" s="47">
        <f>S99*Forutsetninger!$C$17</f>
        <v>0</v>
      </c>
      <c r="AH99" s="47">
        <f>AE99+O99+AF99+R99*Forutsetninger!$C$17-AG99</f>
        <v>15244.204166335492</v>
      </c>
      <c r="AI99" s="47">
        <f>AH99+P99*Forutsetninger!$B$5</f>
        <v>18309.863630335494</v>
      </c>
      <c r="AJ99" s="47">
        <f>T99*Forutsetninger!$C$23</f>
        <v>0</v>
      </c>
      <c r="AK99" s="47">
        <f t="shared" ref="AK99:AK130" si="43">(W99*AD99)/1000</f>
        <v>0</v>
      </c>
      <c r="AL99" s="47">
        <f>AJ99+U99+AK99+X99*Forutsetninger!$C$17</f>
        <v>0</v>
      </c>
      <c r="AM99" s="26">
        <f>(T99-E99)*Forutsetninger!$C$23+X99*Forutsetninger!$C$17+U99+V99*Forutsetninger!$B$5</f>
        <v>0</v>
      </c>
      <c r="AN99" s="26">
        <f>(Y99*Forutsetninger!$C$23)+Z99+(AC99*Forutsetninger!$C$17)+(AA99*Forutsetninger!$B$5)</f>
        <v>0</v>
      </c>
    </row>
    <row r="100" spans="1:40" s="68" customFormat="1" ht="12.75" x14ac:dyDescent="0.2">
      <c r="A100" s="185">
        <v>1682014</v>
      </c>
      <c r="B100" s="212" t="s">
        <v>43</v>
      </c>
      <c r="C100" s="67">
        <v>2014</v>
      </c>
      <c r="D100" s="49">
        <f t="shared" si="33"/>
        <v>7729.6683044433594</v>
      </c>
      <c r="E100" s="245">
        <v>0</v>
      </c>
      <c r="F100" s="49">
        <f t="shared" si="34"/>
        <v>7729.6683044433594</v>
      </c>
      <c r="G100" s="49">
        <f t="shared" si="35"/>
        <v>1365</v>
      </c>
      <c r="H100" s="49">
        <f t="shared" si="36"/>
        <v>17335</v>
      </c>
      <c r="I100" s="49">
        <f t="shared" si="37"/>
        <v>17508.349999999999</v>
      </c>
      <c r="J100" s="47">
        <f t="shared" si="38"/>
        <v>2257</v>
      </c>
      <c r="K100" s="47">
        <f t="shared" si="39"/>
        <v>0</v>
      </c>
      <c r="L100" s="47">
        <f t="shared" si="40"/>
        <v>0</v>
      </c>
      <c r="M100" s="49">
        <f t="shared" si="41"/>
        <v>229</v>
      </c>
      <c r="N100" s="245">
        <v>7729.6683044433594</v>
      </c>
      <c r="O100" s="245">
        <v>1365</v>
      </c>
      <c r="P100" s="245">
        <v>17508.349999999999</v>
      </c>
      <c r="Q100" s="245">
        <v>2257</v>
      </c>
      <c r="R100" s="245">
        <v>229</v>
      </c>
      <c r="S100" s="245">
        <v>0</v>
      </c>
      <c r="T100" s="245">
        <v>0</v>
      </c>
      <c r="U100" s="245">
        <v>0</v>
      </c>
      <c r="V100" s="245">
        <v>0</v>
      </c>
      <c r="W100" s="245">
        <v>0</v>
      </c>
      <c r="X100" s="245">
        <v>0</v>
      </c>
      <c r="Y100" s="245">
        <v>0</v>
      </c>
      <c r="Z100" s="245">
        <v>0</v>
      </c>
      <c r="AA100" s="245">
        <v>0</v>
      </c>
      <c r="AB100" s="245"/>
      <c r="AC100" s="245">
        <v>0</v>
      </c>
      <c r="AD100" s="250">
        <v>259.70000028610229</v>
      </c>
      <c r="AE100" s="47">
        <f>N100*Forutsetninger!$C$23</f>
        <v>8131.83243102299</v>
      </c>
      <c r="AF100" s="47">
        <f t="shared" si="42"/>
        <v>586.14290064573288</v>
      </c>
      <c r="AG100" s="47">
        <f>S100*Forutsetninger!$C$17</f>
        <v>0</v>
      </c>
      <c r="AH100" s="47">
        <f>AE100+O100+AF100+R100*Forutsetninger!$C$17-AG100</f>
        <v>10325.19008696456</v>
      </c>
      <c r="AI100" s="47">
        <f>AH100+P100*Forutsetninger!$B$5</f>
        <v>11431.71780696456</v>
      </c>
      <c r="AJ100" s="47">
        <f>T100*Forutsetninger!$C$23</f>
        <v>0</v>
      </c>
      <c r="AK100" s="47">
        <f t="shared" si="43"/>
        <v>0</v>
      </c>
      <c r="AL100" s="47">
        <f>AJ100+U100+AK100+X100*Forutsetninger!$C$17</f>
        <v>0</v>
      </c>
      <c r="AM100" s="26">
        <f>(T100-E100)*Forutsetninger!$C$23+X100*Forutsetninger!$C$17+U100+V100*Forutsetninger!$B$5</f>
        <v>0</v>
      </c>
      <c r="AN100" s="26">
        <f>(Y100*Forutsetninger!$C$23)+Z100+(AC100*Forutsetninger!$C$17)+(AA100*Forutsetninger!$B$5)</f>
        <v>0</v>
      </c>
    </row>
    <row r="101" spans="1:40" s="68" customFormat="1" ht="12.75" x14ac:dyDescent="0.2">
      <c r="A101" s="185">
        <v>1712014</v>
      </c>
      <c r="B101" s="212" t="s">
        <v>180</v>
      </c>
      <c r="C101" s="67">
        <v>2014</v>
      </c>
      <c r="D101" s="49">
        <f t="shared" si="33"/>
        <v>28471.283935546875</v>
      </c>
      <c r="E101" s="245">
        <v>0</v>
      </c>
      <c r="F101" s="49">
        <f t="shared" si="34"/>
        <v>28471.283935546875</v>
      </c>
      <c r="G101" s="49">
        <f t="shared" si="35"/>
        <v>6332</v>
      </c>
      <c r="H101" s="49">
        <f t="shared" si="36"/>
        <v>114421</v>
      </c>
      <c r="I101" s="49">
        <f t="shared" si="37"/>
        <v>115565.21</v>
      </c>
      <c r="J101" s="47">
        <f t="shared" si="38"/>
        <v>10069</v>
      </c>
      <c r="K101" s="47">
        <f t="shared" si="39"/>
        <v>0</v>
      </c>
      <c r="L101" s="47">
        <f t="shared" si="40"/>
        <v>0</v>
      </c>
      <c r="M101" s="49">
        <f t="shared" si="41"/>
        <v>3055</v>
      </c>
      <c r="N101" s="245">
        <v>28471.283935546875</v>
      </c>
      <c r="O101" s="245">
        <v>6332</v>
      </c>
      <c r="P101" s="245">
        <v>115565.21</v>
      </c>
      <c r="Q101" s="245">
        <v>10069</v>
      </c>
      <c r="R101" s="245">
        <v>3055</v>
      </c>
      <c r="S101" s="245">
        <v>0</v>
      </c>
      <c r="T101" s="245">
        <v>0</v>
      </c>
      <c r="U101" s="245">
        <v>0</v>
      </c>
      <c r="V101" s="245">
        <v>0</v>
      </c>
      <c r="W101" s="245">
        <v>0</v>
      </c>
      <c r="X101" s="245">
        <v>0</v>
      </c>
      <c r="Y101" s="245">
        <v>0</v>
      </c>
      <c r="Z101" s="245">
        <v>0</v>
      </c>
      <c r="AA101" s="245">
        <v>0</v>
      </c>
      <c r="AB101" s="245"/>
      <c r="AC101" s="245">
        <v>0</v>
      </c>
      <c r="AD101" s="250">
        <v>244.45000290870667</v>
      </c>
      <c r="AE101" s="47">
        <f>N101*Forutsetninger!$C$23</f>
        <v>29952.606106895139</v>
      </c>
      <c r="AF101" s="47">
        <f t="shared" si="42"/>
        <v>2461.3670792877674</v>
      </c>
      <c r="AG101" s="47">
        <f>S101*Forutsetninger!$C$17</f>
        <v>0</v>
      </c>
      <c r="AH101" s="47">
        <f>AE101+O101+AF101+R101*Forutsetninger!$C$17-AG101</f>
        <v>41977.266100719062</v>
      </c>
      <c r="AI101" s="47">
        <f>AH101+P101*Forutsetninger!$B$5</f>
        <v>49280.987372719064</v>
      </c>
      <c r="AJ101" s="47">
        <f>T101*Forutsetninger!$C$23</f>
        <v>0</v>
      </c>
      <c r="AK101" s="47">
        <f t="shared" si="43"/>
        <v>0</v>
      </c>
      <c r="AL101" s="47">
        <f>AJ101+U101+AK101+X101*Forutsetninger!$C$17</f>
        <v>0</v>
      </c>
      <c r="AM101" s="26">
        <f>(T101-E101)*Forutsetninger!$C$23+X101*Forutsetninger!$C$17+U101+V101*Forutsetninger!$B$5</f>
        <v>0</v>
      </c>
      <c r="AN101" s="26">
        <f>(Y101*Forutsetninger!$C$23)+Z101+(AC101*Forutsetninger!$C$17)+(AA101*Forutsetninger!$B$5)</f>
        <v>0</v>
      </c>
    </row>
    <row r="102" spans="1:40" s="68" customFormat="1" ht="12.75" x14ac:dyDescent="0.2">
      <c r="A102" s="185">
        <v>1732014</v>
      </c>
      <c r="B102" s="212" t="s">
        <v>224</v>
      </c>
      <c r="C102" s="67">
        <v>2014</v>
      </c>
      <c r="D102" s="49">
        <f t="shared" si="33"/>
        <v>18579.6930809021</v>
      </c>
      <c r="E102" s="245">
        <v>0</v>
      </c>
      <c r="F102" s="49">
        <f t="shared" si="34"/>
        <v>18579.6930809021</v>
      </c>
      <c r="G102" s="49">
        <f t="shared" si="35"/>
        <v>5410</v>
      </c>
      <c r="H102" s="49">
        <f t="shared" si="36"/>
        <v>61866</v>
      </c>
      <c r="I102" s="49">
        <f t="shared" si="37"/>
        <v>62484.659999999996</v>
      </c>
      <c r="J102" s="47">
        <f t="shared" si="38"/>
        <v>6841</v>
      </c>
      <c r="K102" s="47">
        <f t="shared" si="39"/>
        <v>785</v>
      </c>
      <c r="L102" s="47">
        <f t="shared" si="40"/>
        <v>0</v>
      </c>
      <c r="M102" s="49">
        <f t="shared" si="41"/>
        <v>941</v>
      </c>
      <c r="N102" s="245">
        <v>17579.726318359375</v>
      </c>
      <c r="O102" s="245">
        <v>5117</v>
      </c>
      <c r="P102" s="245">
        <v>59737.46</v>
      </c>
      <c r="Q102" s="245">
        <v>6841</v>
      </c>
      <c r="R102" s="245">
        <v>759</v>
      </c>
      <c r="S102" s="245">
        <v>361.94000244140625</v>
      </c>
      <c r="T102" s="245">
        <v>999.96676254272461</v>
      </c>
      <c r="U102" s="245">
        <v>293</v>
      </c>
      <c r="V102" s="245">
        <v>2747.2</v>
      </c>
      <c r="W102" s="245">
        <v>785</v>
      </c>
      <c r="X102" s="245">
        <v>182</v>
      </c>
      <c r="Y102" s="245">
        <v>0</v>
      </c>
      <c r="Z102" s="245">
        <v>0</v>
      </c>
      <c r="AA102" s="245">
        <v>0</v>
      </c>
      <c r="AB102" s="245"/>
      <c r="AC102" s="245">
        <v>0</v>
      </c>
      <c r="AD102" s="250">
        <v>276.60000324249268</v>
      </c>
      <c r="AE102" s="47">
        <f>N102*Forutsetninger!$C$23</f>
        <v>18494.375563562797</v>
      </c>
      <c r="AF102" s="47">
        <f t="shared" si="42"/>
        <v>1892.2206221818924</v>
      </c>
      <c r="AG102" s="47">
        <f>S102*Forutsetninger!$C$17</f>
        <v>382.82624071231282</v>
      </c>
      <c r="AH102" s="47">
        <f>AE102+O102+AF102+R102*Forutsetninger!$C$17-AG102</f>
        <v>25923.569068480148</v>
      </c>
      <c r="AI102" s="47">
        <f>AH102+P102*Forutsetninger!$B$5</f>
        <v>29698.976540480147</v>
      </c>
      <c r="AJ102" s="47">
        <f>T102*Forutsetninger!$C$23</f>
        <v>1051.9936728611767</v>
      </c>
      <c r="AK102" s="47">
        <f t="shared" si="43"/>
        <v>217.13100254535675</v>
      </c>
      <c r="AL102" s="47">
        <f>AJ102+U102+AK102+X102*Forutsetninger!$C$17</f>
        <v>1754.6272320171981</v>
      </c>
      <c r="AM102" s="26">
        <f>(T102-E102)*Forutsetninger!$C$23+X102*Forutsetninger!$C$17+U102+V102*Forutsetninger!$B$5</f>
        <v>1711.1192694718413</v>
      </c>
      <c r="AN102" s="26">
        <f>(Y102*Forutsetninger!$C$23)+Z102+(AC102*Forutsetninger!$C$17)+(AA102*Forutsetninger!$B$5)</f>
        <v>0</v>
      </c>
    </row>
    <row r="103" spans="1:40" s="68" customFormat="1" ht="12.75" x14ac:dyDescent="0.2">
      <c r="A103" s="185">
        <v>1812014</v>
      </c>
      <c r="B103" s="212" t="s">
        <v>225</v>
      </c>
      <c r="C103" s="67">
        <v>2014</v>
      </c>
      <c r="D103" s="49">
        <f t="shared" si="33"/>
        <v>6698.3523254394531</v>
      </c>
      <c r="E103" s="245">
        <v>0</v>
      </c>
      <c r="F103" s="49">
        <f t="shared" si="34"/>
        <v>6698.3523254394531</v>
      </c>
      <c r="G103" s="49">
        <f t="shared" si="35"/>
        <v>1236</v>
      </c>
      <c r="H103" s="49">
        <f t="shared" si="36"/>
        <v>21191</v>
      </c>
      <c r="I103" s="49">
        <f t="shared" si="37"/>
        <v>21402.91</v>
      </c>
      <c r="J103" s="47">
        <f t="shared" si="38"/>
        <v>1594</v>
      </c>
      <c r="K103" s="47">
        <f t="shared" si="39"/>
        <v>0</v>
      </c>
      <c r="L103" s="47">
        <f t="shared" si="40"/>
        <v>0</v>
      </c>
      <c r="M103" s="49">
        <f t="shared" si="41"/>
        <v>0</v>
      </c>
      <c r="N103" s="245">
        <v>6698.3523254394531</v>
      </c>
      <c r="O103" s="245">
        <v>1236</v>
      </c>
      <c r="P103" s="245">
        <v>21402.91</v>
      </c>
      <c r="Q103" s="245">
        <v>1594</v>
      </c>
      <c r="R103" s="245">
        <v>0</v>
      </c>
      <c r="S103" s="245">
        <v>0</v>
      </c>
      <c r="T103" s="245">
        <v>0</v>
      </c>
      <c r="U103" s="245">
        <v>0</v>
      </c>
      <c r="V103" s="245">
        <v>0</v>
      </c>
      <c r="W103" s="245">
        <v>0</v>
      </c>
      <c r="X103" s="245">
        <v>0</v>
      </c>
      <c r="Y103" s="245">
        <v>0</v>
      </c>
      <c r="Z103" s="245">
        <v>0</v>
      </c>
      <c r="AA103" s="245">
        <v>0</v>
      </c>
      <c r="AB103" s="245"/>
      <c r="AC103" s="245">
        <v>0</v>
      </c>
      <c r="AD103" s="250">
        <v>276.60000324249268</v>
      </c>
      <c r="AE103" s="47">
        <f>N103*Forutsetninger!$C$23</f>
        <v>7046.8584846150616</v>
      </c>
      <c r="AF103" s="47">
        <f t="shared" si="42"/>
        <v>440.90040516853333</v>
      </c>
      <c r="AG103" s="47">
        <f>S103*Forutsetninger!$C$17</f>
        <v>0</v>
      </c>
      <c r="AH103" s="47">
        <f>AE103+O103+AF103+R103*Forutsetninger!$C$17-AG103</f>
        <v>8723.7588897835958</v>
      </c>
      <c r="AI103" s="47">
        <f>AH103+P103*Forutsetninger!$B$5</f>
        <v>10076.422801783596</v>
      </c>
      <c r="AJ103" s="47">
        <f>T103*Forutsetninger!$C$23</f>
        <v>0</v>
      </c>
      <c r="AK103" s="47">
        <f t="shared" si="43"/>
        <v>0</v>
      </c>
      <c r="AL103" s="47">
        <f>AJ103+U103+AK103+X103*Forutsetninger!$C$17</f>
        <v>0</v>
      </c>
      <c r="AM103" s="26">
        <f>(T103-E103)*Forutsetninger!$C$23+X103*Forutsetninger!$C$17+U103+V103*Forutsetninger!$B$5</f>
        <v>0</v>
      </c>
      <c r="AN103" s="26">
        <f>(Y103*Forutsetninger!$C$23)+Z103+(AC103*Forutsetninger!$C$17)+(AA103*Forutsetninger!$B$5)</f>
        <v>0</v>
      </c>
    </row>
    <row r="104" spans="1:40" s="68" customFormat="1" ht="12.75" x14ac:dyDescent="0.2">
      <c r="A104" s="185">
        <v>1842014</v>
      </c>
      <c r="B104" s="212" t="s">
        <v>226</v>
      </c>
      <c r="C104" s="67">
        <v>2014</v>
      </c>
      <c r="D104" s="49">
        <f t="shared" si="33"/>
        <v>13290.574414253235</v>
      </c>
      <c r="E104" s="245">
        <v>0</v>
      </c>
      <c r="F104" s="49">
        <f t="shared" si="34"/>
        <v>13290.574414253235</v>
      </c>
      <c r="G104" s="49">
        <f t="shared" si="35"/>
        <v>4654</v>
      </c>
      <c r="H104" s="49">
        <f t="shared" si="36"/>
        <v>71214</v>
      </c>
      <c r="I104" s="49">
        <f t="shared" si="37"/>
        <v>71926.14</v>
      </c>
      <c r="J104" s="47">
        <f t="shared" si="38"/>
        <v>4203</v>
      </c>
      <c r="K104" s="47">
        <f t="shared" si="39"/>
        <v>139</v>
      </c>
      <c r="L104" s="47">
        <f t="shared" si="40"/>
        <v>0</v>
      </c>
      <c r="M104" s="49">
        <f t="shared" si="41"/>
        <v>1561</v>
      </c>
      <c r="N104" s="245">
        <v>12207.296691894531</v>
      </c>
      <c r="O104" s="245">
        <v>4112</v>
      </c>
      <c r="P104" s="245">
        <v>66646.87</v>
      </c>
      <c r="Q104" s="245">
        <v>4203</v>
      </c>
      <c r="R104" s="245">
        <v>563</v>
      </c>
      <c r="S104" s="245">
        <v>263.23001098632812</v>
      </c>
      <c r="T104" s="245">
        <v>1083.2777223587036</v>
      </c>
      <c r="U104" s="245">
        <v>542</v>
      </c>
      <c r="V104" s="245">
        <v>5279.27</v>
      </c>
      <c r="W104" s="245">
        <v>139</v>
      </c>
      <c r="X104" s="245">
        <v>998</v>
      </c>
      <c r="Y104" s="245">
        <v>0</v>
      </c>
      <c r="Z104" s="245">
        <v>0</v>
      </c>
      <c r="AA104" s="245">
        <v>0</v>
      </c>
      <c r="AB104" s="245"/>
      <c r="AC104" s="245">
        <v>0</v>
      </c>
      <c r="AD104" s="250">
        <v>276.60000324249268</v>
      </c>
      <c r="AE104" s="47">
        <f>N104*Forutsetninger!$C$23</f>
        <v>12842.425732188805</v>
      </c>
      <c r="AF104" s="47">
        <f t="shared" si="42"/>
        <v>1162.5498136281967</v>
      </c>
      <c r="AG104" s="47">
        <f>S104*Forutsetninger!$C$17</f>
        <v>278.42005544792045</v>
      </c>
      <c r="AH104" s="47">
        <f>AE104+O104+AF104+R104*Forutsetninger!$C$17-AG104</f>
        <v>18434.044168236138</v>
      </c>
      <c r="AI104" s="47">
        <f>AH104+P104*Forutsetninger!$B$5</f>
        <v>22646.126352236137</v>
      </c>
      <c r="AJ104" s="47">
        <f>T104*Forutsetninger!$C$23</f>
        <v>1139.6391885816624</v>
      </c>
      <c r="AK104" s="47">
        <f t="shared" si="43"/>
        <v>38.447400450706482</v>
      </c>
      <c r="AL104" s="47">
        <f>AJ104+U104+AK104+X104*Forutsetninger!$C$17</f>
        <v>2775.6775313260141</v>
      </c>
      <c r="AM104" s="26">
        <f>(T104-E104)*Forutsetninger!$C$23+X104*Forutsetninger!$C$17+U104+V104*Forutsetninger!$B$5</f>
        <v>3070.8799948753076</v>
      </c>
      <c r="AN104" s="26">
        <f>(Y104*Forutsetninger!$C$23)+Z104+(AC104*Forutsetninger!$C$17)+(AA104*Forutsetninger!$B$5)</f>
        <v>0</v>
      </c>
    </row>
    <row r="105" spans="1:40" s="68" customFormat="1" ht="12.75" x14ac:dyDescent="0.2">
      <c r="A105" s="185">
        <v>2692014</v>
      </c>
      <c r="B105" s="212" t="s">
        <v>238</v>
      </c>
      <c r="C105" s="67">
        <v>2014</v>
      </c>
      <c r="D105" s="49">
        <f t="shared" si="33"/>
        <v>143691.49340820312</v>
      </c>
      <c r="E105" s="245">
        <v>1628</v>
      </c>
      <c r="F105" s="49">
        <f t="shared" si="34"/>
        <v>142063.49340820312</v>
      </c>
      <c r="G105" s="49">
        <f t="shared" si="35"/>
        <v>52085</v>
      </c>
      <c r="H105" s="49">
        <f t="shared" si="36"/>
        <v>998238</v>
      </c>
      <c r="I105" s="49">
        <f t="shared" si="37"/>
        <v>1008220.38</v>
      </c>
      <c r="J105" s="47">
        <f t="shared" si="38"/>
        <v>34567</v>
      </c>
      <c r="K105" s="47">
        <f t="shared" si="39"/>
        <v>25632</v>
      </c>
      <c r="L105" s="47">
        <f t="shared" si="40"/>
        <v>0</v>
      </c>
      <c r="M105" s="49">
        <f t="shared" si="41"/>
        <v>12729</v>
      </c>
      <c r="N105" s="245">
        <v>106559.619140625</v>
      </c>
      <c r="O105" s="245">
        <v>35080</v>
      </c>
      <c r="P105" s="245">
        <v>639597.65</v>
      </c>
      <c r="Q105" s="245">
        <v>34567</v>
      </c>
      <c r="R105" s="245">
        <v>9354</v>
      </c>
      <c r="S105" s="245">
        <v>1908.43994140625</v>
      </c>
      <c r="T105" s="245">
        <v>21639.492431640625</v>
      </c>
      <c r="U105" s="245">
        <v>11717</v>
      </c>
      <c r="V105" s="245">
        <v>229447.76</v>
      </c>
      <c r="W105" s="245">
        <v>25632</v>
      </c>
      <c r="X105" s="245">
        <v>1949</v>
      </c>
      <c r="Y105" s="245">
        <v>15492.3818359375</v>
      </c>
      <c r="Z105" s="245">
        <v>5288</v>
      </c>
      <c r="AA105" s="245">
        <v>139174.97</v>
      </c>
      <c r="AB105" s="245"/>
      <c r="AC105" s="245">
        <v>1426</v>
      </c>
      <c r="AD105" s="250">
        <v>268.99710297584534</v>
      </c>
      <c r="AE105" s="47">
        <f>N105*Forutsetninger!$C$23</f>
        <v>112103.77116273866</v>
      </c>
      <c r="AF105" s="47">
        <f t="shared" si="42"/>
        <v>9298.4228585660458</v>
      </c>
      <c r="AG105" s="47">
        <f>S105*Forutsetninger!$C$17</f>
        <v>2018.5690541681884</v>
      </c>
      <c r="AH105" s="47">
        <f>AE105+O105+AF105+R105*Forutsetninger!$C$17-AG105</f>
        <v>164357.4102118407</v>
      </c>
      <c r="AI105" s="47">
        <f>AH105+P105*Forutsetninger!$B$5</f>
        <v>204779.98169184072</v>
      </c>
      <c r="AJ105" s="47">
        <f>T105*Forutsetninger!$C$23</f>
        <v>22765.365784885889</v>
      </c>
      <c r="AK105" s="47">
        <f t="shared" si="43"/>
        <v>6894.9337434768677</v>
      </c>
      <c r="AL105" s="47">
        <f>AJ105+U105+AK105+X105*Forutsetninger!$C$17</f>
        <v>43438.769214264874</v>
      </c>
      <c r="AM105" s="26">
        <f>(T105-E105)*Forutsetninger!$C$23+X105*Forutsetninger!$C$17+U105+V105*Forutsetninger!$B$5</f>
        <v>49332.231277489671</v>
      </c>
      <c r="AN105" s="26">
        <f>(Y105*Forutsetninger!$C$23)+Z105+(AC105*Forutsetninger!$C$17)+(AA105*Forutsetninger!$B$5)</f>
        <v>31890.576753541296</v>
      </c>
    </row>
    <row r="106" spans="1:40" s="68" customFormat="1" ht="12.75" x14ac:dyDescent="0.2">
      <c r="A106" s="185">
        <v>1872014</v>
      </c>
      <c r="B106" s="212" t="s">
        <v>273</v>
      </c>
      <c r="C106" s="67">
        <v>2014</v>
      </c>
      <c r="D106" s="49">
        <f t="shared" si="33"/>
        <v>5300.3492126464844</v>
      </c>
      <c r="E106" s="245">
        <v>0</v>
      </c>
      <c r="F106" s="49">
        <f t="shared" si="34"/>
        <v>5300.3492126464844</v>
      </c>
      <c r="G106" s="49">
        <f t="shared" si="35"/>
        <v>2340</v>
      </c>
      <c r="H106" s="49">
        <f t="shared" si="36"/>
        <v>13158</v>
      </c>
      <c r="I106" s="49">
        <f t="shared" si="37"/>
        <v>13289.58</v>
      </c>
      <c r="J106" s="47">
        <f t="shared" si="38"/>
        <v>737</v>
      </c>
      <c r="K106" s="47">
        <f t="shared" si="39"/>
        <v>0</v>
      </c>
      <c r="L106" s="47">
        <f t="shared" si="40"/>
        <v>0</v>
      </c>
      <c r="M106" s="49">
        <f t="shared" si="41"/>
        <v>0</v>
      </c>
      <c r="N106" s="245">
        <v>1581.3999938964844</v>
      </c>
      <c r="O106" s="245">
        <v>739</v>
      </c>
      <c r="P106" s="245">
        <v>7317.45</v>
      </c>
      <c r="Q106" s="245">
        <v>737</v>
      </c>
      <c r="R106" s="245">
        <v>0</v>
      </c>
      <c r="S106" s="245">
        <v>0</v>
      </c>
      <c r="T106" s="245">
        <v>0</v>
      </c>
      <c r="U106" s="245">
        <v>0</v>
      </c>
      <c r="V106" s="245">
        <v>0</v>
      </c>
      <c r="W106" s="245">
        <v>0</v>
      </c>
      <c r="X106" s="245">
        <v>0</v>
      </c>
      <c r="Y106" s="245">
        <v>3718.94921875</v>
      </c>
      <c r="Z106" s="245">
        <v>1601</v>
      </c>
      <c r="AA106" s="245">
        <v>5972.13</v>
      </c>
      <c r="AB106" s="245"/>
      <c r="AC106" s="245">
        <v>0</v>
      </c>
      <c r="AD106" s="250">
        <v>247.85000085830688</v>
      </c>
      <c r="AE106" s="47">
        <f>N106*Forutsetninger!$C$23</f>
        <v>1663.6780842710509</v>
      </c>
      <c r="AF106" s="47">
        <f t="shared" si="42"/>
        <v>182.66545063257217</v>
      </c>
      <c r="AG106" s="47">
        <f>S106*Forutsetninger!$C$17</f>
        <v>0</v>
      </c>
      <c r="AH106" s="47">
        <f>AE106+O106+AF106+R106*Forutsetninger!$C$17-AG106</f>
        <v>2585.3435349036231</v>
      </c>
      <c r="AI106" s="47">
        <f>AH106+P106*Forutsetninger!$B$5</f>
        <v>3047.8063749036232</v>
      </c>
      <c r="AJ106" s="47">
        <f>T106*Forutsetninger!$C$23</f>
        <v>0</v>
      </c>
      <c r="AK106" s="47">
        <f t="shared" si="43"/>
        <v>0</v>
      </c>
      <c r="AL106" s="47">
        <f>AJ106+U106+AK106+X106*Forutsetninger!$C$17</f>
        <v>0</v>
      </c>
      <c r="AM106" s="26">
        <f>(T106-E106)*Forutsetninger!$C$23+X106*Forutsetninger!$C$17+U106+V106*Forutsetninger!$B$5</f>
        <v>0</v>
      </c>
      <c r="AN106" s="26">
        <f>(Y106*Forutsetninger!$C$23)+Z106+(AC106*Forutsetninger!$C$17)+(AA106*Forutsetninger!$B$5)</f>
        <v>5890.8797034105019</v>
      </c>
    </row>
    <row r="107" spans="1:40" s="68" customFormat="1" ht="12.75" x14ac:dyDescent="0.2">
      <c r="A107" s="185">
        <v>6112014</v>
      </c>
      <c r="B107" s="212" t="s">
        <v>126</v>
      </c>
      <c r="C107" s="67">
        <v>2014</v>
      </c>
      <c r="D107" s="49">
        <f t="shared" si="33"/>
        <v>413703.599609375</v>
      </c>
      <c r="E107" s="245">
        <v>1022</v>
      </c>
      <c r="F107" s="49">
        <f t="shared" si="34"/>
        <v>412681.599609375</v>
      </c>
      <c r="G107" s="49">
        <f t="shared" si="35"/>
        <v>222211</v>
      </c>
      <c r="H107" s="49">
        <f t="shared" si="36"/>
        <v>2915209</v>
      </c>
      <c r="I107" s="49">
        <f t="shared" si="37"/>
        <v>2944361.09</v>
      </c>
      <c r="J107" s="47">
        <f t="shared" si="38"/>
        <v>226897</v>
      </c>
      <c r="K107" s="47">
        <f t="shared" si="39"/>
        <v>204551</v>
      </c>
      <c r="L107" s="47">
        <f t="shared" si="40"/>
        <v>0</v>
      </c>
      <c r="M107" s="49">
        <f t="shared" si="41"/>
        <v>44818</v>
      </c>
      <c r="N107" s="245">
        <v>298674.55859375</v>
      </c>
      <c r="O107" s="245">
        <v>163742</v>
      </c>
      <c r="P107" s="245">
        <v>2057839.65</v>
      </c>
      <c r="Q107" s="245">
        <v>226897</v>
      </c>
      <c r="R107" s="245">
        <v>41124</v>
      </c>
      <c r="S107" s="245">
        <v>0</v>
      </c>
      <c r="T107" s="245">
        <v>115029.041015625</v>
      </c>
      <c r="U107" s="245">
        <v>58469</v>
      </c>
      <c r="V107" s="245">
        <v>886521.44000000006</v>
      </c>
      <c r="W107" s="245">
        <v>204551</v>
      </c>
      <c r="X107" s="245">
        <v>3694</v>
      </c>
      <c r="Y107" s="245">
        <v>0</v>
      </c>
      <c r="Z107" s="245">
        <v>0</v>
      </c>
      <c r="AA107" s="245">
        <v>0</v>
      </c>
      <c r="AB107" s="245"/>
      <c r="AC107" s="245">
        <v>0</v>
      </c>
      <c r="AD107" s="250">
        <v>247.85000085830688</v>
      </c>
      <c r="AE107" s="47">
        <f>N107*Forutsetninger!$C$23</f>
        <v>314214.18956593081</v>
      </c>
      <c r="AF107" s="47">
        <f t="shared" si="42"/>
        <v>56236.421644747257</v>
      </c>
      <c r="AG107" s="47">
        <f>S107*Forutsetninger!$C$17</f>
        <v>0</v>
      </c>
      <c r="AH107" s="47">
        <f>AE107+O107+AF107+R107*Forutsetninger!$C$17-AG107</f>
        <v>577689.72735384817</v>
      </c>
      <c r="AI107" s="47">
        <f>AH107+P107*Forutsetninger!$B$5</f>
        <v>707745.1932338482</v>
      </c>
      <c r="AJ107" s="47">
        <f>T107*Forutsetninger!$C$23</f>
        <v>121013.84553624701</v>
      </c>
      <c r="AK107" s="47">
        <f t="shared" si="43"/>
        <v>50697.965525567532</v>
      </c>
      <c r="AL107" s="47">
        <f>AJ107+U107+AK107+X107*Forutsetninger!$C$17</f>
        <v>234087.97833719803</v>
      </c>
      <c r="AM107" s="26">
        <f>(T107-E107)*Forutsetninger!$C$23+X107*Forutsetninger!$C$17+U107+V107*Forutsetninger!$B$5</f>
        <v>238342.99454994078</v>
      </c>
      <c r="AN107" s="26">
        <f>(Y107*Forutsetninger!$C$23)+Z107+(AC107*Forutsetninger!$C$17)+(AA107*Forutsetninger!$B$5)</f>
        <v>0</v>
      </c>
    </row>
    <row r="108" spans="1:40" s="68" customFormat="1" ht="12.75" x14ac:dyDescent="0.2">
      <c r="A108" s="185">
        <v>1942014</v>
      </c>
      <c r="B108" s="212" t="s">
        <v>86</v>
      </c>
      <c r="C108" s="67">
        <v>2014</v>
      </c>
      <c r="D108" s="49">
        <f t="shared" si="33"/>
        <v>12614.712005615234</v>
      </c>
      <c r="E108" s="245">
        <v>0</v>
      </c>
      <c r="F108" s="49">
        <f t="shared" si="34"/>
        <v>12614.712005615234</v>
      </c>
      <c r="G108" s="49">
        <f t="shared" si="35"/>
        <v>3076</v>
      </c>
      <c r="H108" s="49">
        <f t="shared" si="36"/>
        <v>32267</v>
      </c>
      <c r="I108" s="49">
        <f t="shared" si="37"/>
        <v>32589.670000000002</v>
      </c>
      <c r="J108" s="47">
        <f t="shared" si="38"/>
        <v>1740</v>
      </c>
      <c r="K108" s="47">
        <f t="shared" si="39"/>
        <v>0</v>
      </c>
      <c r="L108" s="47">
        <f t="shared" si="40"/>
        <v>0</v>
      </c>
      <c r="M108" s="49">
        <f t="shared" si="41"/>
        <v>430</v>
      </c>
      <c r="N108" s="245">
        <v>12614.712005615234</v>
      </c>
      <c r="O108" s="245">
        <v>3076</v>
      </c>
      <c r="P108" s="245">
        <v>32589.670000000002</v>
      </c>
      <c r="Q108" s="245">
        <v>1740</v>
      </c>
      <c r="R108" s="245">
        <v>430</v>
      </c>
      <c r="S108" s="245">
        <v>98.709999084472656</v>
      </c>
      <c r="T108" s="245">
        <v>0</v>
      </c>
      <c r="U108" s="245">
        <v>0</v>
      </c>
      <c r="V108" s="245">
        <v>0</v>
      </c>
      <c r="W108" s="245">
        <v>0</v>
      </c>
      <c r="X108" s="245">
        <v>0</v>
      </c>
      <c r="Y108" s="245">
        <v>0</v>
      </c>
      <c r="Z108" s="245">
        <v>0</v>
      </c>
      <c r="AA108" s="245">
        <v>0</v>
      </c>
      <c r="AB108" s="245"/>
      <c r="AC108" s="245">
        <v>0</v>
      </c>
      <c r="AD108" s="250">
        <v>259.70000028610229</v>
      </c>
      <c r="AE108" s="47">
        <f>N108*Forutsetninger!$C$23</f>
        <v>13271.038310441994</v>
      </c>
      <c r="AF108" s="47">
        <f t="shared" si="42"/>
        <v>451.87800049781799</v>
      </c>
      <c r="AG108" s="47">
        <f>S108*Forutsetninger!$C$17</f>
        <v>104.40619333405142</v>
      </c>
      <c r="AH108" s="47">
        <f>AE108+O108+AF108+R108*Forutsetninger!$C$17-AG108</f>
        <v>17149.323850257333</v>
      </c>
      <c r="AI108" s="47">
        <f>AH108+P108*Forutsetninger!$B$5</f>
        <v>19208.990994257332</v>
      </c>
      <c r="AJ108" s="47">
        <f>T108*Forutsetninger!$C$23</f>
        <v>0</v>
      </c>
      <c r="AK108" s="47">
        <f t="shared" si="43"/>
        <v>0</v>
      </c>
      <c r="AL108" s="47">
        <f>AJ108+U108+AK108+X108*Forutsetninger!$C$17</f>
        <v>0</v>
      </c>
      <c r="AM108" s="26">
        <f>(T108-E108)*Forutsetninger!$C$23+X108*Forutsetninger!$C$17+U108+V108*Forutsetninger!$B$5</f>
        <v>0</v>
      </c>
      <c r="AN108" s="26">
        <f>(Y108*Forutsetninger!$C$23)+Z108+(AC108*Forutsetninger!$C$17)+(AA108*Forutsetninger!$B$5)</f>
        <v>0</v>
      </c>
    </row>
    <row r="109" spans="1:40" s="68" customFormat="1" ht="12.75" x14ac:dyDescent="0.2">
      <c r="A109" s="185">
        <v>2102014</v>
      </c>
      <c r="B109" s="212" t="s">
        <v>103</v>
      </c>
      <c r="C109" s="67">
        <v>2014</v>
      </c>
      <c r="D109" s="49">
        <f t="shared" si="33"/>
        <v>65835.440063476562</v>
      </c>
      <c r="E109" s="245">
        <v>440</v>
      </c>
      <c r="F109" s="49">
        <f t="shared" si="34"/>
        <v>65395.440063476563</v>
      </c>
      <c r="G109" s="49">
        <f t="shared" si="35"/>
        <v>36629</v>
      </c>
      <c r="H109" s="49">
        <f t="shared" si="36"/>
        <v>573196</v>
      </c>
      <c r="I109" s="49">
        <f t="shared" si="37"/>
        <v>578927.96</v>
      </c>
      <c r="J109" s="47">
        <f t="shared" si="38"/>
        <v>12129</v>
      </c>
      <c r="K109" s="47">
        <f t="shared" si="39"/>
        <v>33313</v>
      </c>
      <c r="L109" s="47">
        <f t="shared" si="40"/>
        <v>0</v>
      </c>
      <c r="M109" s="49">
        <f t="shared" si="41"/>
        <v>3481</v>
      </c>
      <c r="N109" s="245">
        <v>23134.97802734375</v>
      </c>
      <c r="O109" s="245">
        <v>8638</v>
      </c>
      <c r="P109" s="245">
        <v>143703.81</v>
      </c>
      <c r="Q109" s="245">
        <v>12129</v>
      </c>
      <c r="R109" s="245">
        <v>1136</v>
      </c>
      <c r="S109" s="245">
        <v>0</v>
      </c>
      <c r="T109" s="245">
        <v>29772.320190429688</v>
      </c>
      <c r="U109" s="245">
        <v>15997</v>
      </c>
      <c r="V109" s="245">
        <v>327644</v>
      </c>
      <c r="W109" s="245">
        <v>33313</v>
      </c>
      <c r="X109" s="245">
        <v>2345</v>
      </c>
      <c r="Y109" s="245">
        <v>12928.141845703125</v>
      </c>
      <c r="Z109" s="245">
        <v>11994</v>
      </c>
      <c r="AA109" s="245">
        <v>107580.15</v>
      </c>
      <c r="AB109" s="245"/>
      <c r="AC109" s="245">
        <v>0</v>
      </c>
      <c r="AD109" s="250">
        <v>246.69000506401062</v>
      </c>
      <c r="AE109" s="47">
        <f>N109*Forutsetninger!$C$23</f>
        <v>24338.659461701969</v>
      </c>
      <c r="AF109" s="47">
        <f t="shared" si="42"/>
        <v>2992.1030714213848</v>
      </c>
      <c r="AG109" s="47">
        <f>S109*Forutsetninger!$C$17</f>
        <v>0</v>
      </c>
      <c r="AH109" s="47">
        <f>AE109+O109+AF109+R109*Forutsetninger!$C$17-AG109</f>
        <v>37170.316952407506</v>
      </c>
      <c r="AI109" s="47">
        <f>AH109+P109*Forutsetninger!$B$5</f>
        <v>46252.397744407506</v>
      </c>
      <c r="AJ109" s="47">
        <f>T109*Forutsetninger!$C$23</f>
        <v>31321.333508213378</v>
      </c>
      <c r="AK109" s="47">
        <f t="shared" si="43"/>
        <v>8217.9841386973858</v>
      </c>
      <c r="AL109" s="47">
        <f>AJ109+U109+AK109+X109*Forutsetninger!$C$17</f>
        <v>58016.639049394325</v>
      </c>
      <c r="AM109" s="26">
        <f>(T109-E109)*Forutsetninger!$C$23+X109*Forutsetninger!$C$17+U109+V109*Forutsetninger!$B$5</f>
        <v>70042.863109264959</v>
      </c>
      <c r="AN109" s="26">
        <f>(Y109*Forutsetninger!$C$23)+Z109+(AC109*Forutsetninger!$C$17)+(AA109*Forutsetninger!$B$5)</f>
        <v>32393.840958725388</v>
      </c>
    </row>
    <row r="110" spans="1:40" s="68" customFormat="1" ht="12.75" x14ac:dyDescent="0.2">
      <c r="A110" s="185">
        <v>1962014</v>
      </c>
      <c r="B110" s="212" t="s">
        <v>378</v>
      </c>
      <c r="C110" s="67">
        <v>2014</v>
      </c>
      <c r="D110" s="49">
        <f t="shared" si="33"/>
        <v>13890.942535400391</v>
      </c>
      <c r="E110" s="245">
        <v>0</v>
      </c>
      <c r="F110" s="49">
        <f t="shared" si="34"/>
        <v>13890.942535400391</v>
      </c>
      <c r="G110" s="49">
        <f t="shared" si="35"/>
        <v>5806</v>
      </c>
      <c r="H110" s="49">
        <f t="shared" si="36"/>
        <v>101194</v>
      </c>
      <c r="I110" s="49">
        <f t="shared" si="37"/>
        <v>102205.94</v>
      </c>
      <c r="J110" s="47">
        <f t="shared" si="38"/>
        <v>4089</v>
      </c>
      <c r="K110" s="47">
        <f t="shared" si="39"/>
        <v>0</v>
      </c>
      <c r="L110" s="47">
        <f t="shared" si="40"/>
        <v>0</v>
      </c>
      <c r="M110" s="49">
        <f t="shared" si="41"/>
        <v>1946</v>
      </c>
      <c r="N110" s="245">
        <v>13890.942535400391</v>
      </c>
      <c r="O110" s="245">
        <v>5806</v>
      </c>
      <c r="P110" s="245">
        <v>102205.94</v>
      </c>
      <c r="Q110" s="245">
        <v>4089</v>
      </c>
      <c r="R110" s="245">
        <v>1946</v>
      </c>
      <c r="S110" s="245">
        <v>0</v>
      </c>
      <c r="T110" s="245">
        <v>0</v>
      </c>
      <c r="U110" s="245">
        <v>0</v>
      </c>
      <c r="V110" s="245">
        <v>0</v>
      </c>
      <c r="W110" s="245">
        <v>0</v>
      </c>
      <c r="X110" s="245">
        <v>0</v>
      </c>
      <c r="Y110" s="245">
        <v>0</v>
      </c>
      <c r="Z110" s="245">
        <v>0</v>
      </c>
      <c r="AA110" s="245">
        <v>0</v>
      </c>
      <c r="AB110" s="245"/>
      <c r="AC110" s="245">
        <v>0</v>
      </c>
      <c r="AD110" s="250">
        <v>247.85000085830688</v>
      </c>
      <c r="AE110" s="47">
        <f>N110*Forutsetninger!$C$23</f>
        <v>14613.669378531007</v>
      </c>
      <c r="AF110" s="47">
        <f t="shared" si="42"/>
        <v>1013.4586535096169</v>
      </c>
      <c r="AG110" s="47">
        <f>S110*Forutsetninger!$C$17</f>
        <v>0</v>
      </c>
      <c r="AH110" s="47">
        <f>AE110+O110+AF110+R110*Forutsetninger!$C$17-AG110</f>
        <v>23491.424598877729</v>
      </c>
      <c r="AI110" s="47">
        <f>AH110+P110*Forutsetninger!$B$5</f>
        <v>29950.84000687773</v>
      </c>
      <c r="AJ110" s="47">
        <f>T110*Forutsetninger!$C$23</f>
        <v>0</v>
      </c>
      <c r="AK110" s="47">
        <f t="shared" si="43"/>
        <v>0</v>
      </c>
      <c r="AL110" s="47">
        <f>AJ110+U110+AK110+X110*Forutsetninger!$C$17</f>
        <v>0</v>
      </c>
      <c r="AM110" s="26">
        <f>(T110-E110)*Forutsetninger!$C$23+X110*Forutsetninger!$C$17+U110+V110*Forutsetninger!$B$5</f>
        <v>0</v>
      </c>
      <c r="AN110" s="26">
        <f>(Y110*Forutsetninger!$C$23)+Z110+(AC110*Forutsetninger!$C$17)+(AA110*Forutsetninger!$B$5)</f>
        <v>0</v>
      </c>
    </row>
    <row r="111" spans="1:40" s="68" customFormat="1" ht="12.75" x14ac:dyDescent="0.2">
      <c r="A111" s="185">
        <v>1972014</v>
      </c>
      <c r="B111" s="212" t="s">
        <v>227</v>
      </c>
      <c r="C111" s="67">
        <v>2014</v>
      </c>
      <c r="D111" s="49">
        <f t="shared" si="33"/>
        <v>40190.550476074219</v>
      </c>
      <c r="E111" s="245">
        <v>0</v>
      </c>
      <c r="F111" s="49">
        <f t="shared" si="34"/>
        <v>40190.550476074219</v>
      </c>
      <c r="G111" s="49">
        <f t="shared" si="35"/>
        <v>12740</v>
      </c>
      <c r="H111" s="49">
        <f t="shared" si="36"/>
        <v>204763</v>
      </c>
      <c r="I111" s="49">
        <f t="shared" si="37"/>
        <v>206810.63</v>
      </c>
      <c r="J111" s="47">
        <f t="shared" si="38"/>
        <v>11701</v>
      </c>
      <c r="K111" s="47">
        <f t="shared" si="39"/>
        <v>5964</v>
      </c>
      <c r="L111" s="47">
        <f t="shared" si="40"/>
        <v>0</v>
      </c>
      <c r="M111" s="49">
        <f t="shared" si="41"/>
        <v>2613</v>
      </c>
      <c r="N111" s="245">
        <v>31809.0751953125</v>
      </c>
      <c r="O111" s="245">
        <v>10397</v>
      </c>
      <c r="P111" s="245">
        <v>175487.5</v>
      </c>
      <c r="Q111" s="245">
        <v>11701</v>
      </c>
      <c r="R111" s="245">
        <v>2255</v>
      </c>
      <c r="S111" s="245">
        <v>0</v>
      </c>
      <c r="T111" s="245">
        <v>8381.4752807617187</v>
      </c>
      <c r="U111" s="245">
        <v>2343</v>
      </c>
      <c r="V111" s="245">
        <v>31323.13</v>
      </c>
      <c r="W111" s="245">
        <v>5964</v>
      </c>
      <c r="X111" s="245">
        <v>358</v>
      </c>
      <c r="Y111" s="245">
        <v>0</v>
      </c>
      <c r="Z111" s="245">
        <v>0</v>
      </c>
      <c r="AA111" s="245">
        <v>0</v>
      </c>
      <c r="AB111" s="245"/>
      <c r="AC111" s="245">
        <v>0</v>
      </c>
      <c r="AD111" s="250">
        <v>246.69000506401062</v>
      </c>
      <c r="AE111" s="47">
        <f>N111*Forutsetninger!$C$23</f>
        <v>33464.058105235679</v>
      </c>
      <c r="AF111" s="47">
        <f t="shared" si="42"/>
        <v>2886.5197492539883</v>
      </c>
      <c r="AG111" s="47">
        <f>S111*Forutsetninger!$C$17</f>
        <v>0</v>
      </c>
      <c r="AH111" s="47">
        <f>AE111+O111+AF111+R111*Forutsetninger!$C$17-AG111</f>
        <v>49132.705685022906</v>
      </c>
      <c r="AI111" s="47">
        <f>AH111+P111*Forutsetninger!$B$5</f>
        <v>60223.51568502291</v>
      </c>
      <c r="AJ111" s="47">
        <f>T111*Forutsetninger!$C$23</f>
        <v>8817.5520376128061</v>
      </c>
      <c r="AK111" s="47">
        <f t="shared" si="43"/>
        <v>1471.2591902017593</v>
      </c>
      <c r="AL111" s="47">
        <f>AJ111+U111+AK111+X111*Forutsetninger!$C$17</f>
        <v>13010.470102905872</v>
      </c>
      <c r="AM111" s="26">
        <f>(T111-E111)*Forutsetninger!$C$23+X111*Forutsetninger!$C$17+U111+V111*Forutsetninger!$B$5</f>
        <v>13518.832728704114</v>
      </c>
      <c r="AN111" s="26">
        <f>(Y111*Forutsetninger!$C$23)+Z111+(AC111*Forutsetninger!$C$17)+(AA111*Forutsetninger!$B$5)</f>
        <v>0</v>
      </c>
    </row>
    <row r="112" spans="1:40" s="68" customFormat="1" ht="12.75" x14ac:dyDescent="0.2">
      <c r="A112" s="185">
        <v>6692014</v>
      </c>
      <c r="B112" s="212" t="s">
        <v>133</v>
      </c>
      <c r="C112" s="67">
        <v>2014</v>
      </c>
      <c r="D112" s="49">
        <f t="shared" si="33"/>
        <v>29529.657457351685</v>
      </c>
      <c r="E112" s="245">
        <v>0</v>
      </c>
      <c r="F112" s="49">
        <f t="shared" si="34"/>
        <v>29529.657457351685</v>
      </c>
      <c r="G112" s="49">
        <f t="shared" si="35"/>
        <v>14872</v>
      </c>
      <c r="H112" s="49">
        <f t="shared" si="36"/>
        <v>280286</v>
      </c>
      <c r="I112" s="49">
        <f t="shared" si="37"/>
        <v>283088.86000000004</v>
      </c>
      <c r="J112" s="47">
        <f t="shared" si="38"/>
        <v>13234</v>
      </c>
      <c r="K112" s="47">
        <f t="shared" si="39"/>
        <v>1111</v>
      </c>
      <c r="L112" s="47">
        <f t="shared" si="40"/>
        <v>0</v>
      </c>
      <c r="M112" s="49">
        <f t="shared" si="41"/>
        <v>1605</v>
      </c>
      <c r="N112" s="245">
        <v>27836.0537109375</v>
      </c>
      <c r="O112" s="245">
        <v>13329</v>
      </c>
      <c r="P112" s="245">
        <v>264748.27</v>
      </c>
      <c r="Q112" s="245">
        <v>13234</v>
      </c>
      <c r="R112" s="245">
        <v>1567</v>
      </c>
      <c r="S112" s="245">
        <v>0</v>
      </c>
      <c r="T112" s="245">
        <v>1693.6037464141846</v>
      </c>
      <c r="U112" s="245">
        <v>1543</v>
      </c>
      <c r="V112" s="245">
        <v>18340.59</v>
      </c>
      <c r="W112" s="245">
        <v>1111</v>
      </c>
      <c r="X112" s="245">
        <v>38</v>
      </c>
      <c r="Y112" s="245">
        <v>0</v>
      </c>
      <c r="Z112" s="245">
        <v>0</v>
      </c>
      <c r="AA112" s="245">
        <v>0</v>
      </c>
      <c r="AB112" s="245"/>
      <c r="AC112" s="245">
        <v>0</v>
      </c>
      <c r="AD112" s="250">
        <v>259.70000028610229</v>
      </c>
      <c r="AE112" s="47">
        <f>N112*Forutsetninger!$C$23</f>
        <v>29284.325717855012</v>
      </c>
      <c r="AF112" s="47">
        <f t="shared" si="42"/>
        <v>3436.8698037862778</v>
      </c>
      <c r="AG112" s="47">
        <f>S112*Forutsetninger!$C$17</f>
        <v>0</v>
      </c>
      <c r="AH112" s="47">
        <f>AE112+O112+AF112+R112*Forutsetninger!$C$17-AG112</f>
        <v>47707.62137993201</v>
      </c>
      <c r="AI112" s="47">
        <f>AH112+P112*Forutsetninger!$B$5</f>
        <v>64439.712043932013</v>
      </c>
      <c r="AJ112" s="47">
        <f>T112*Forutsetninger!$C$23</f>
        <v>1781.7196453922973</v>
      </c>
      <c r="AK112" s="47">
        <f t="shared" si="43"/>
        <v>288.52670031785965</v>
      </c>
      <c r="AL112" s="47">
        <f>AJ112+U112+AK112+X112*Forutsetninger!$C$17</f>
        <v>3653.4391872002952</v>
      </c>
      <c r="AM112" s="26">
        <f>(T112-E112)*Forutsetninger!$C$23+X112*Forutsetninger!$C$17+U112+V112*Forutsetninger!$B$5</f>
        <v>4524.0377748824358</v>
      </c>
      <c r="AN112" s="26">
        <f>(Y112*Forutsetninger!$C$23)+Z112+(AC112*Forutsetninger!$C$17)+(AA112*Forutsetninger!$B$5)</f>
        <v>0</v>
      </c>
    </row>
    <row r="113" spans="1:40" s="68" customFormat="1" ht="12.75" x14ac:dyDescent="0.2">
      <c r="A113" s="185">
        <v>6852014</v>
      </c>
      <c r="B113" s="212" t="s">
        <v>60</v>
      </c>
      <c r="C113" s="67">
        <v>2014</v>
      </c>
      <c r="D113" s="49">
        <f t="shared" si="33"/>
        <v>273</v>
      </c>
      <c r="E113" s="245">
        <v>0</v>
      </c>
      <c r="F113" s="49">
        <f t="shared" si="34"/>
        <v>273</v>
      </c>
      <c r="G113" s="49">
        <f t="shared" si="35"/>
        <v>565</v>
      </c>
      <c r="H113" s="49">
        <f t="shared" si="36"/>
        <v>6693</v>
      </c>
      <c r="I113" s="49">
        <f t="shared" si="37"/>
        <v>6759.93</v>
      </c>
      <c r="J113" s="47">
        <f t="shared" si="38"/>
        <v>0</v>
      </c>
      <c r="K113" s="47">
        <f t="shared" si="39"/>
        <v>1266</v>
      </c>
      <c r="L113" s="47">
        <f t="shared" si="40"/>
        <v>0</v>
      </c>
      <c r="M113" s="49">
        <f t="shared" si="41"/>
        <v>0</v>
      </c>
      <c r="N113" s="245">
        <v>0</v>
      </c>
      <c r="O113" s="245">
        <v>0</v>
      </c>
      <c r="P113" s="245">
        <v>0</v>
      </c>
      <c r="Q113" s="245">
        <v>0</v>
      </c>
      <c r="R113" s="245">
        <v>0</v>
      </c>
      <c r="S113" s="245">
        <v>0</v>
      </c>
      <c r="T113" s="245">
        <v>179</v>
      </c>
      <c r="U113" s="245">
        <v>173</v>
      </c>
      <c r="V113" s="245">
        <v>4387.4399999999996</v>
      </c>
      <c r="W113" s="245">
        <v>1266</v>
      </c>
      <c r="X113" s="245">
        <v>0</v>
      </c>
      <c r="Y113" s="245">
        <v>94</v>
      </c>
      <c r="Z113" s="245">
        <v>392</v>
      </c>
      <c r="AA113" s="245">
        <v>2372.4900000000002</v>
      </c>
      <c r="AB113" s="245"/>
      <c r="AC113" s="245">
        <v>0</v>
      </c>
      <c r="AD113" s="250">
        <v>244.45000290870667</v>
      </c>
      <c r="AE113" s="47">
        <f>N113*Forutsetninger!$C$23</f>
        <v>0</v>
      </c>
      <c r="AF113" s="47">
        <f t="shared" si="42"/>
        <v>0</v>
      </c>
      <c r="AG113" s="47">
        <f>S113*Forutsetninger!$C$17</f>
        <v>0</v>
      </c>
      <c r="AH113" s="47">
        <f>AE113+O113+AF113+R113*Forutsetninger!$C$17-AG113</f>
        <v>0</v>
      </c>
      <c r="AI113" s="47">
        <f>AH113+P113*Forutsetninger!$B$5</f>
        <v>0</v>
      </c>
      <c r="AJ113" s="47">
        <f>T113*Forutsetninger!$C$23</f>
        <v>188.31312649164678</v>
      </c>
      <c r="AK113" s="47">
        <f t="shared" si="43"/>
        <v>309.47370368242264</v>
      </c>
      <c r="AL113" s="47">
        <f>AJ113+U113+AK113+X113*Forutsetninger!$C$17</f>
        <v>670.78683017406945</v>
      </c>
      <c r="AM113" s="26">
        <f>(T113-E113)*Forutsetninger!$C$23+X113*Forutsetninger!$C$17+U113+V113*Forutsetninger!$B$5</f>
        <v>638.5993344916468</v>
      </c>
      <c r="AN113" s="26">
        <f>(Y113*Forutsetninger!$C$23)+Z113+(AC113*Forutsetninger!$C$17)+(AA113*Forutsetninger!$B$5)</f>
        <v>640.83206012410506</v>
      </c>
    </row>
    <row r="114" spans="1:40" s="68" customFormat="1" ht="12.75" x14ac:dyDescent="0.2">
      <c r="A114" s="185">
        <v>2042014</v>
      </c>
      <c r="B114" s="212" t="s">
        <v>379</v>
      </c>
      <c r="C114" s="67">
        <v>2014</v>
      </c>
      <c r="D114" s="49">
        <f t="shared" si="33"/>
        <v>9945.8106689453125</v>
      </c>
      <c r="E114" s="245">
        <v>0</v>
      </c>
      <c r="F114" s="49">
        <f t="shared" si="34"/>
        <v>9945.8106689453125</v>
      </c>
      <c r="G114" s="49">
        <f t="shared" si="35"/>
        <v>3258</v>
      </c>
      <c r="H114" s="49">
        <f t="shared" si="36"/>
        <v>47426</v>
      </c>
      <c r="I114" s="49">
        <f t="shared" si="37"/>
        <v>47900.26</v>
      </c>
      <c r="J114" s="47">
        <f t="shared" si="38"/>
        <v>9817</v>
      </c>
      <c r="K114" s="47">
        <f t="shared" si="39"/>
        <v>0</v>
      </c>
      <c r="L114" s="47">
        <f t="shared" si="40"/>
        <v>0</v>
      </c>
      <c r="M114" s="49">
        <f t="shared" si="41"/>
        <v>1998</v>
      </c>
      <c r="N114" s="245">
        <v>9665.8106689453125</v>
      </c>
      <c r="O114" s="245">
        <v>3180</v>
      </c>
      <c r="P114" s="245">
        <v>45745.93</v>
      </c>
      <c r="Q114" s="245">
        <v>9817</v>
      </c>
      <c r="R114" s="245">
        <v>1998</v>
      </c>
      <c r="S114" s="245">
        <v>0</v>
      </c>
      <c r="T114" s="245">
        <v>280</v>
      </c>
      <c r="U114" s="245">
        <v>78</v>
      </c>
      <c r="V114" s="245">
        <v>2154.33</v>
      </c>
      <c r="W114" s="245">
        <v>0</v>
      </c>
      <c r="X114" s="245">
        <v>0</v>
      </c>
      <c r="Y114" s="245">
        <v>0</v>
      </c>
      <c r="Z114" s="245">
        <v>0</v>
      </c>
      <c r="AA114" s="245">
        <v>0</v>
      </c>
      <c r="AB114" s="245"/>
      <c r="AC114" s="245">
        <v>0</v>
      </c>
      <c r="AD114" s="250">
        <v>276.60000324249268</v>
      </c>
      <c r="AE114" s="47">
        <f>N114*Forutsetninger!$C$23</f>
        <v>10168.709648857026</v>
      </c>
      <c r="AF114" s="47">
        <f t="shared" si="42"/>
        <v>2715.3822318315506</v>
      </c>
      <c r="AG114" s="47">
        <f>S114*Forutsetninger!$C$17</f>
        <v>0</v>
      </c>
      <c r="AH114" s="47">
        <f>AE114+O114+AF114+R114*Forutsetninger!$C$17-AG114</f>
        <v>18177.389177985875</v>
      </c>
      <c r="AI114" s="47">
        <f>AH114+P114*Forutsetninger!$B$5</f>
        <v>21068.531953985876</v>
      </c>
      <c r="AJ114" s="47">
        <f>T114*Forutsetninger!$C$23</f>
        <v>294.56801909307876</v>
      </c>
      <c r="AK114" s="47">
        <f t="shared" si="43"/>
        <v>0</v>
      </c>
      <c r="AL114" s="47">
        <f>AJ114+U114+AK114+X114*Forutsetninger!$C$17</f>
        <v>372.56801909307876</v>
      </c>
      <c r="AM114" s="26">
        <f>(T114-E114)*Forutsetninger!$C$23+X114*Forutsetninger!$C$17+U114+V114*Forutsetninger!$B$5</f>
        <v>508.72167509307877</v>
      </c>
      <c r="AN114" s="26">
        <f>(Y114*Forutsetninger!$C$23)+Z114+(AC114*Forutsetninger!$C$17)+(AA114*Forutsetninger!$B$5)</f>
        <v>0</v>
      </c>
    </row>
    <row r="115" spans="1:40" s="68" customFormat="1" ht="12.75" x14ac:dyDescent="0.2">
      <c r="A115" s="185">
        <v>2052014</v>
      </c>
      <c r="B115" s="212" t="s">
        <v>228</v>
      </c>
      <c r="C115" s="67">
        <v>2014</v>
      </c>
      <c r="D115" s="49">
        <f t="shared" si="33"/>
        <v>16570.742492675781</v>
      </c>
      <c r="E115" s="245">
        <v>0</v>
      </c>
      <c r="F115" s="49">
        <f t="shared" si="34"/>
        <v>16570.742492675781</v>
      </c>
      <c r="G115" s="49">
        <f t="shared" si="35"/>
        <v>5622</v>
      </c>
      <c r="H115" s="49">
        <f t="shared" si="36"/>
        <v>82383</v>
      </c>
      <c r="I115" s="49">
        <f t="shared" si="37"/>
        <v>83206.83</v>
      </c>
      <c r="J115" s="47">
        <f t="shared" si="38"/>
        <v>8989</v>
      </c>
      <c r="K115" s="47">
        <f t="shared" si="39"/>
        <v>0</v>
      </c>
      <c r="L115" s="47">
        <f t="shared" si="40"/>
        <v>0</v>
      </c>
      <c r="M115" s="49">
        <f t="shared" si="41"/>
        <v>673</v>
      </c>
      <c r="N115" s="245">
        <v>16570.742492675781</v>
      </c>
      <c r="O115" s="245">
        <v>5622</v>
      </c>
      <c r="P115" s="245">
        <v>83206.83</v>
      </c>
      <c r="Q115" s="245">
        <v>8989</v>
      </c>
      <c r="R115" s="245">
        <v>673</v>
      </c>
      <c r="S115" s="245">
        <v>197.41999816894531</v>
      </c>
      <c r="T115" s="245">
        <v>0</v>
      </c>
      <c r="U115" s="245">
        <v>0</v>
      </c>
      <c r="V115" s="245">
        <v>0</v>
      </c>
      <c r="W115" s="245">
        <v>0</v>
      </c>
      <c r="X115" s="245">
        <v>0</v>
      </c>
      <c r="Y115" s="245">
        <v>0</v>
      </c>
      <c r="Z115" s="245">
        <v>0</v>
      </c>
      <c r="AA115" s="245">
        <v>0</v>
      </c>
      <c r="AB115" s="245"/>
      <c r="AC115" s="245">
        <v>0</v>
      </c>
      <c r="AD115" s="250">
        <v>259.70000028610229</v>
      </c>
      <c r="AE115" s="47">
        <f>N115*Forutsetninger!$C$23</f>
        <v>17432.895682032184</v>
      </c>
      <c r="AF115" s="47">
        <f t="shared" si="42"/>
        <v>2334.4433025717735</v>
      </c>
      <c r="AG115" s="47">
        <f>S115*Forutsetninger!$C$17</f>
        <v>208.81238666810285</v>
      </c>
      <c r="AH115" s="47">
        <f>AE115+O115+AF115+R115*Forutsetninger!$C$17-AG115</f>
        <v>25892.362974853313</v>
      </c>
      <c r="AI115" s="47">
        <f>AH115+P115*Forutsetninger!$B$5</f>
        <v>31151.034630853312</v>
      </c>
      <c r="AJ115" s="47">
        <f>T115*Forutsetninger!$C$23</f>
        <v>0</v>
      </c>
      <c r="AK115" s="47">
        <f t="shared" si="43"/>
        <v>0</v>
      </c>
      <c r="AL115" s="47">
        <f>AJ115+U115+AK115+X115*Forutsetninger!$C$17</f>
        <v>0</v>
      </c>
      <c r="AM115" s="26">
        <f>(T115-E115)*Forutsetninger!$C$23+X115*Forutsetninger!$C$17+U115+V115*Forutsetninger!$B$5</f>
        <v>0</v>
      </c>
      <c r="AN115" s="26">
        <f>(Y115*Forutsetninger!$C$23)+Z115+(AC115*Forutsetninger!$C$17)+(AA115*Forutsetninger!$B$5)</f>
        <v>0</v>
      </c>
    </row>
    <row r="116" spans="1:40" s="68" customFormat="1" ht="12.75" x14ac:dyDescent="0.2">
      <c r="A116" s="185">
        <v>2062014</v>
      </c>
      <c r="B116" s="212" t="s">
        <v>110</v>
      </c>
      <c r="C116" s="67">
        <v>2014</v>
      </c>
      <c r="D116" s="49">
        <f t="shared" si="33"/>
        <v>17132.427719116211</v>
      </c>
      <c r="E116" s="245">
        <v>0</v>
      </c>
      <c r="F116" s="49">
        <f t="shared" si="34"/>
        <v>17132.427719116211</v>
      </c>
      <c r="G116" s="49">
        <f t="shared" si="35"/>
        <v>6022</v>
      </c>
      <c r="H116" s="49">
        <f t="shared" si="36"/>
        <v>86806</v>
      </c>
      <c r="I116" s="49">
        <f t="shared" si="37"/>
        <v>87674.06</v>
      </c>
      <c r="J116" s="47">
        <f t="shared" si="38"/>
        <v>4676</v>
      </c>
      <c r="K116" s="47">
        <f t="shared" si="39"/>
        <v>3419</v>
      </c>
      <c r="L116" s="47">
        <f t="shared" si="40"/>
        <v>0</v>
      </c>
      <c r="M116" s="49">
        <f t="shared" si="41"/>
        <v>2253</v>
      </c>
      <c r="N116" s="245">
        <v>15824.972412109375</v>
      </c>
      <c r="O116" s="245">
        <v>5331</v>
      </c>
      <c r="P116" s="245">
        <v>79132.490000000005</v>
      </c>
      <c r="Q116" s="245">
        <v>4676</v>
      </c>
      <c r="R116" s="245">
        <v>2187</v>
      </c>
      <c r="S116" s="245">
        <v>0</v>
      </c>
      <c r="T116" s="245">
        <v>1307.4553070068359</v>
      </c>
      <c r="U116" s="245">
        <v>691</v>
      </c>
      <c r="V116" s="245">
        <v>8541.57</v>
      </c>
      <c r="W116" s="245">
        <v>3419</v>
      </c>
      <c r="X116" s="245">
        <v>66</v>
      </c>
      <c r="Y116" s="245">
        <v>0</v>
      </c>
      <c r="Z116" s="245">
        <v>0</v>
      </c>
      <c r="AA116" s="245">
        <v>0</v>
      </c>
      <c r="AB116" s="245"/>
      <c r="AC116" s="245">
        <v>0</v>
      </c>
      <c r="AD116" s="250">
        <v>247.85000085830688</v>
      </c>
      <c r="AE116" s="47">
        <f>N116*Forutsetninger!$C$23</f>
        <v>16648.324198705996</v>
      </c>
      <c r="AF116" s="47">
        <f t="shared" si="42"/>
        <v>1158.946604013443</v>
      </c>
      <c r="AG116" s="47">
        <f>S116*Forutsetninger!$C$17</f>
        <v>0</v>
      </c>
      <c r="AH116" s="47">
        <f>AE116+O116+AF116+R116*Forutsetninger!$C$17-AG116</f>
        <v>25451.474601112426</v>
      </c>
      <c r="AI116" s="47">
        <f>AH116+P116*Forutsetninger!$B$5</f>
        <v>30452.647969112426</v>
      </c>
      <c r="AJ116" s="47">
        <f>T116*Forutsetninger!$C$23</f>
        <v>1375.4804279919172</v>
      </c>
      <c r="AK116" s="47">
        <f t="shared" si="43"/>
        <v>847.39915293455124</v>
      </c>
      <c r="AL116" s="47">
        <f>AJ116+U116+AK116+X116*Forutsetninger!$C$17</f>
        <v>2983.6882003567093</v>
      </c>
      <c r="AM116" s="26">
        <f>(T116-E116)*Forutsetninger!$C$23+X116*Forutsetninger!$C$17+U116+V116*Forutsetninger!$B$5</f>
        <v>2676.1162714221587</v>
      </c>
      <c r="AN116" s="26">
        <f>(Y116*Forutsetninger!$C$23)+Z116+(AC116*Forutsetninger!$C$17)+(AA116*Forutsetninger!$B$5)</f>
        <v>0</v>
      </c>
    </row>
    <row r="117" spans="1:40" s="68" customFormat="1" ht="12.75" x14ac:dyDescent="0.2">
      <c r="A117" s="185">
        <v>5992014</v>
      </c>
      <c r="B117" s="212" t="s">
        <v>125</v>
      </c>
      <c r="C117" s="67">
        <v>2014</v>
      </c>
      <c r="D117" s="49">
        <f t="shared" si="33"/>
        <v>19476.229736328125</v>
      </c>
      <c r="E117" s="245">
        <v>0</v>
      </c>
      <c r="F117" s="49">
        <f t="shared" si="34"/>
        <v>19476.229736328125</v>
      </c>
      <c r="G117" s="49">
        <f t="shared" si="35"/>
        <v>6281</v>
      </c>
      <c r="H117" s="49">
        <f t="shared" si="36"/>
        <v>75917</v>
      </c>
      <c r="I117" s="49">
        <f t="shared" si="37"/>
        <v>76676.17</v>
      </c>
      <c r="J117" s="47">
        <f t="shared" si="38"/>
        <v>4234</v>
      </c>
      <c r="K117" s="47">
        <f t="shared" si="39"/>
        <v>0</v>
      </c>
      <c r="L117" s="47">
        <f t="shared" si="40"/>
        <v>0</v>
      </c>
      <c r="M117" s="49">
        <f t="shared" si="41"/>
        <v>383</v>
      </c>
      <c r="N117" s="245">
        <v>19476.229736328125</v>
      </c>
      <c r="O117" s="245">
        <v>6281</v>
      </c>
      <c r="P117" s="245">
        <v>76676.17</v>
      </c>
      <c r="Q117" s="245">
        <v>4234</v>
      </c>
      <c r="R117" s="245">
        <v>383</v>
      </c>
      <c r="S117" s="245">
        <v>427.75</v>
      </c>
      <c r="T117" s="245">
        <v>0</v>
      </c>
      <c r="U117" s="245">
        <v>0</v>
      </c>
      <c r="V117" s="245">
        <v>0</v>
      </c>
      <c r="W117" s="245">
        <v>0</v>
      </c>
      <c r="X117" s="245">
        <v>0</v>
      </c>
      <c r="Y117" s="245">
        <v>0</v>
      </c>
      <c r="Z117" s="245">
        <v>0</v>
      </c>
      <c r="AA117" s="245">
        <v>0</v>
      </c>
      <c r="AB117" s="245"/>
      <c r="AC117" s="245">
        <v>0</v>
      </c>
      <c r="AD117" s="250">
        <v>276.60000324249268</v>
      </c>
      <c r="AE117" s="47">
        <f>N117*Forutsetninger!$C$23</f>
        <v>20489.551474399614</v>
      </c>
      <c r="AF117" s="47">
        <f t="shared" si="42"/>
        <v>1171.124413728714</v>
      </c>
      <c r="AG117" s="47">
        <f>S117*Forutsetninger!$C$17</f>
        <v>452.43389335281228</v>
      </c>
      <c r="AH117" s="47">
        <f>AE117+O117+AF117+R117*Forutsetninger!$C$17-AG117</f>
        <v>27894.343528741912</v>
      </c>
      <c r="AI117" s="47">
        <f>AH117+P117*Forutsetninger!$B$5</f>
        <v>32740.277472741913</v>
      </c>
      <c r="AJ117" s="47">
        <f>T117*Forutsetninger!$C$23</f>
        <v>0</v>
      </c>
      <c r="AK117" s="47">
        <f t="shared" si="43"/>
        <v>0</v>
      </c>
      <c r="AL117" s="47">
        <f>AJ117+U117+AK117+X117*Forutsetninger!$C$17</f>
        <v>0</v>
      </c>
      <c r="AM117" s="26">
        <f>(T117-E117)*Forutsetninger!$C$23+X117*Forutsetninger!$C$17+U117+V117*Forutsetninger!$B$5</f>
        <v>0</v>
      </c>
      <c r="AN117" s="26">
        <f>(Y117*Forutsetninger!$C$23)+Z117+(AC117*Forutsetninger!$C$17)+(AA117*Forutsetninger!$B$5)</f>
        <v>0</v>
      </c>
    </row>
    <row r="118" spans="1:40" s="68" customFormat="1" ht="12.75" x14ac:dyDescent="0.2">
      <c r="A118" s="185">
        <v>562014</v>
      </c>
      <c r="B118" s="212" t="s">
        <v>206</v>
      </c>
      <c r="C118" s="67">
        <v>2014</v>
      </c>
      <c r="D118" s="49">
        <f t="shared" si="33"/>
        <v>78366.192565917969</v>
      </c>
      <c r="E118" s="245">
        <v>0</v>
      </c>
      <c r="F118" s="49">
        <f t="shared" si="34"/>
        <v>78366.192565917969</v>
      </c>
      <c r="G118" s="49">
        <f t="shared" si="35"/>
        <v>27458</v>
      </c>
      <c r="H118" s="49">
        <f t="shared" si="36"/>
        <v>421996</v>
      </c>
      <c r="I118" s="49">
        <f t="shared" si="37"/>
        <v>426215.96</v>
      </c>
      <c r="J118" s="47">
        <f t="shared" si="38"/>
        <v>18826</v>
      </c>
      <c r="K118" s="47">
        <f t="shared" si="39"/>
        <v>7675</v>
      </c>
      <c r="L118" s="47">
        <f t="shared" si="40"/>
        <v>0</v>
      </c>
      <c r="M118" s="49">
        <f t="shared" si="41"/>
        <v>5585</v>
      </c>
      <c r="N118" s="245">
        <v>64085.412109375</v>
      </c>
      <c r="O118" s="245">
        <v>21440</v>
      </c>
      <c r="P118" s="245">
        <v>312846.49</v>
      </c>
      <c r="Q118" s="245">
        <v>18826</v>
      </c>
      <c r="R118" s="245">
        <v>5058</v>
      </c>
      <c r="S118" s="245">
        <v>0</v>
      </c>
      <c r="T118" s="245">
        <v>13066.240478515625</v>
      </c>
      <c r="U118" s="245">
        <v>5678</v>
      </c>
      <c r="V118" s="245">
        <v>107214.53</v>
      </c>
      <c r="W118" s="245">
        <v>7675</v>
      </c>
      <c r="X118" s="245">
        <v>527</v>
      </c>
      <c r="Y118" s="245">
        <v>1214.5399780273437</v>
      </c>
      <c r="Z118" s="245">
        <v>340</v>
      </c>
      <c r="AA118" s="245">
        <v>6154.94</v>
      </c>
      <c r="AB118" s="245"/>
      <c r="AC118" s="245">
        <v>0</v>
      </c>
      <c r="AD118" s="250">
        <v>260.65564155578613</v>
      </c>
      <c r="AE118" s="47">
        <f>N118*Forutsetninger!$C$23</f>
        <v>67419.68892079356</v>
      </c>
      <c r="AF118" s="47">
        <f t="shared" si="42"/>
        <v>4907.1031079292297</v>
      </c>
      <c r="AG118" s="47">
        <f>S118*Forutsetninger!$C$17</f>
        <v>0</v>
      </c>
      <c r="AH118" s="47">
        <f>AE118+O118+AF118+R118*Forutsetninger!$C$17-AG118</f>
        <v>99116.670772331257</v>
      </c>
      <c r="AI118" s="47">
        <f>AH118+P118*Forutsetninger!$B$5</f>
        <v>118888.56894033126</v>
      </c>
      <c r="AJ118" s="47">
        <f>T118*Forutsetninger!$C$23</f>
        <v>13746.059195536247</v>
      </c>
      <c r="AK118" s="47">
        <f t="shared" si="43"/>
        <v>2000.5320489406586</v>
      </c>
      <c r="AL118" s="47">
        <f>AJ118+U118+AK118+X118*Forutsetninger!$C$17</f>
        <v>21982.002493563828</v>
      </c>
      <c r="AM118" s="26">
        <f>(T118-E118)*Forutsetninger!$C$23+X118*Forutsetninger!$C$17+U118+V118*Forutsetninger!$B$5</f>
        <v>26757.428740623171</v>
      </c>
      <c r="AN118" s="26">
        <f>(Y118*Forutsetninger!$C$23)+Z118+(AC118*Forutsetninger!$C$17)+(AA118*Forutsetninger!$B$5)</f>
        <v>2006.72304884595</v>
      </c>
    </row>
    <row r="119" spans="1:40" s="68" customFormat="1" ht="12.75" x14ac:dyDescent="0.2">
      <c r="A119" s="185">
        <v>2742014</v>
      </c>
      <c r="B119" s="212" t="s">
        <v>239</v>
      </c>
      <c r="C119" s="67">
        <v>2014</v>
      </c>
      <c r="D119" s="49">
        <f t="shared" si="33"/>
        <v>26365.766899108887</v>
      </c>
      <c r="E119" s="245">
        <v>0</v>
      </c>
      <c r="F119" s="49">
        <f t="shared" si="34"/>
        <v>26365.766899108887</v>
      </c>
      <c r="G119" s="49">
        <f t="shared" si="35"/>
        <v>9901</v>
      </c>
      <c r="H119" s="49">
        <f t="shared" si="36"/>
        <v>185103</v>
      </c>
      <c r="I119" s="49">
        <f t="shared" si="37"/>
        <v>186954.03</v>
      </c>
      <c r="J119" s="47">
        <f t="shared" si="38"/>
        <v>10002</v>
      </c>
      <c r="K119" s="47">
        <f t="shared" si="39"/>
        <v>1517</v>
      </c>
      <c r="L119" s="47">
        <f t="shared" si="40"/>
        <v>0</v>
      </c>
      <c r="M119" s="49">
        <f t="shared" si="41"/>
        <v>1965</v>
      </c>
      <c r="N119" s="245">
        <v>25645.12060546875</v>
      </c>
      <c r="O119" s="245">
        <v>8717</v>
      </c>
      <c r="P119" s="245">
        <v>175701.62</v>
      </c>
      <c r="Q119" s="245">
        <v>10002</v>
      </c>
      <c r="R119" s="245">
        <v>1965</v>
      </c>
      <c r="S119" s="245">
        <v>658.08001708984375</v>
      </c>
      <c r="T119" s="245">
        <v>720.64629364013672</v>
      </c>
      <c r="U119" s="245">
        <v>1184</v>
      </c>
      <c r="V119" s="245">
        <v>11252.41</v>
      </c>
      <c r="W119" s="245">
        <v>1517</v>
      </c>
      <c r="X119" s="245">
        <v>0</v>
      </c>
      <c r="Y119" s="245">
        <v>0</v>
      </c>
      <c r="Z119" s="245">
        <v>0</v>
      </c>
      <c r="AA119" s="245">
        <v>0</v>
      </c>
      <c r="AB119" s="245"/>
      <c r="AC119" s="245">
        <v>0</v>
      </c>
      <c r="AD119" s="250">
        <v>276.60000324249268</v>
      </c>
      <c r="AE119" s="47">
        <f>N119*Forutsetninger!$C$23</f>
        <v>26979.401343414378</v>
      </c>
      <c r="AF119" s="47">
        <f t="shared" si="42"/>
        <v>2766.5532324314117</v>
      </c>
      <c r="AG119" s="47">
        <f>S119*Forutsetninger!$C$17</f>
        <v>696.0554161768398</v>
      </c>
      <c r="AH119" s="47">
        <f>AE119+O119+AF119+R119*Forutsetninger!$C$17-AG119</f>
        <v>39845.29214725113</v>
      </c>
      <c r="AI119" s="47">
        <f>AH119+P119*Forutsetninger!$B$5</f>
        <v>50949.634531251133</v>
      </c>
      <c r="AJ119" s="47">
        <f>T119*Forutsetninger!$C$23</f>
        <v>758.14053994408653</v>
      </c>
      <c r="AK119" s="47">
        <f t="shared" si="43"/>
        <v>419.60220491886139</v>
      </c>
      <c r="AL119" s="47">
        <f>AJ119+U119+AK119+X119*Forutsetninger!$C$17</f>
        <v>2361.7427448629478</v>
      </c>
      <c r="AM119" s="26">
        <f>(T119-E119)*Forutsetninger!$C$23+X119*Forutsetninger!$C$17+U119+V119*Forutsetninger!$B$5</f>
        <v>2653.2928519440866</v>
      </c>
      <c r="AN119" s="26">
        <f>(Y119*Forutsetninger!$C$23)+Z119+(AC119*Forutsetninger!$C$17)+(AA119*Forutsetninger!$B$5)</f>
        <v>0</v>
      </c>
    </row>
    <row r="120" spans="1:40" s="68" customFormat="1" ht="12.75" x14ac:dyDescent="0.2">
      <c r="A120" s="185">
        <v>6522014</v>
      </c>
      <c r="B120" s="212" t="s">
        <v>131</v>
      </c>
      <c r="C120" s="67">
        <v>2014</v>
      </c>
      <c r="D120" s="49">
        <f t="shared" si="33"/>
        <v>452.24118423461914</v>
      </c>
      <c r="E120" s="245">
        <v>0</v>
      </c>
      <c r="F120" s="49">
        <f t="shared" si="34"/>
        <v>452.24118423461914</v>
      </c>
      <c r="G120" s="49">
        <f t="shared" si="35"/>
        <v>133</v>
      </c>
      <c r="H120" s="49">
        <f t="shared" si="36"/>
        <v>2558</v>
      </c>
      <c r="I120" s="49">
        <f t="shared" si="37"/>
        <v>2583.58</v>
      </c>
      <c r="J120" s="47">
        <f t="shared" si="38"/>
        <v>0</v>
      </c>
      <c r="K120" s="47">
        <f t="shared" si="39"/>
        <v>0</v>
      </c>
      <c r="L120" s="47">
        <f t="shared" si="40"/>
        <v>0</v>
      </c>
      <c r="M120" s="49">
        <f t="shared" si="41"/>
        <v>0</v>
      </c>
      <c r="N120" s="245">
        <v>452.24118423461914</v>
      </c>
      <c r="O120" s="245">
        <v>133</v>
      </c>
      <c r="P120" s="245">
        <v>2583.58</v>
      </c>
      <c r="Q120" s="245">
        <v>0</v>
      </c>
      <c r="R120" s="245">
        <v>0</v>
      </c>
      <c r="S120" s="245">
        <v>0</v>
      </c>
      <c r="T120" s="245">
        <v>0</v>
      </c>
      <c r="U120" s="245">
        <v>0</v>
      </c>
      <c r="V120" s="245">
        <v>0</v>
      </c>
      <c r="W120" s="245">
        <v>0</v>
      </c>
      <c r="X120" s="245">
        <v>0</v>
      </c>
      <c r="Y120" s="245">
        <v>0</v>
      </c>
      <c r="Z120" s="245">
        <v>0</v>
      </c>
      <c r="AA120" s="245">
        <v>0</v>
      </c>
      <c r="AB120" s="245"/>
      <c r="AC120" s="245">
        <v>0</v>
      </c>
      <c r="AD120" s="250">
        <v>276.60000324249268</v>
      </c>
      <c r="AE120" s="47">
        <f>N120*Forutsetninger!$C$23</f>
        <v>475.7706778296423</v>
      </c>
      <c r="AF120" s="47">
        <f t="shared" si="42"/>
        <v>0</v>
      </c>
      <c r="AG120" s="47">
        <f>S120*Forutsetninger!$C$17</f>
        <v>0</v>
      </c>
      <c r="AH120" s="47">
        <f>AE120+O120+AF120+R120*Forutsetninger!$C$17-AG120</f>
        <v>608.7706778296423</v>
      </c>
      <c r="AI120" s="47">
        <f>AH120+P120*Forutsetninger!$B$5</f>
        <v>772.05293382964237</v>
      </c>
      <c r="AJ120" s="47">
        <f>T120*Forutsetninger!$C$23</f>
        <v>0</v>
      </c>
      <c r="AK120" s="47">
        <f t="shared" si="43"/>
        <v>0</v>
      </c>
      <c r="AL120" s="47">
        <f>AJ120+U120+AK120+X120*Forutsetninger!$C$17</f>
        <v>0</v>
      </c>
      <c r="AM120" s="26">
        <f>(T120-E120)*Forutsetninger!$C$23+X120*Forutsetninger!$C$17+U120+V120*Forutsetninger!$B$5</f>
        <v>0</v>
      </c>
      <c r="AN120" s="26">
        <f>(Y120*Forutsetninger!$C$23)+Z120+(AC120*Forutsetninger!$C$17)+(AA120*Forutsetninger!$B$5)</f>
        <v>0</v>
      </c>
    </row>
    <row r="121" spans="1:40" s="68" customFormat="1" ht="12.75" x14ac:dyDescent="0.2">
      <c r="A121" s="185">
        <v>2132014</v>
      </c>
      <c r="B121" s="212" t="s">
        <v>274</v>
      </c>
      <c r="C121" s="67">
        <v>2014</v>
      </c>
      <c r="D121" s="49">
        <f t="shared" si="33"/>
        <v>9167.9114379882812</v>
      </c>
      <c r="E121" s="245">
        <v>0</v>
      </c>
      <c r="F121" s="49">
        <f t="shared" si="34"/>
        <v>9167.9114379882812</v>
      </c>
      <c r="G121" s="49">
        <f t="shared" si="35"/>
        <v>5757</v>
      </c>
      <c r="H121" s="49">
        <f t="shared" si="36"/>
        <v>59279</v>
      </c>
      <c r="I121" s="49">
        <f t="shared" si="37"/>
        <v>59871.79</v>
      </c>
      <c r="J121" s="47">
        <f t="shared" si="38"/>
        <v>5738</v>
      </c>
      <c r="K121" s="47">
        <f t="shared" si="39"/>
        <v>0</v>
      </c>
      <c r="L121" s="47">
        <f t="shared" si="40"/>
        <v>0</v>
      </c>
      <c r="M121" s="49">
        <f t="shared" si="41"/>
        <v>897</v>
      </c>
      <c r="N121" s="245">
        <v>9167.9114379882812</v>
      </c>
      <c r="O121" s="245">
        <v>5757</v>
      </c>
      <c r="P121" s="245">
        <v>59871.79</v>
      </c>
      <c r="Q121" s="245">
        <v>5738</v>
      </c>
      <c r="R121" s="245">
        <v>897</v>
      </c>
      <c r="S121" s="245">
        <v>329.04000854492187</v>
      </c>
      <c r="T121" s="245">
        <v>0</v>
      </c>
      <c r="U121" s="245">
        <v>0</v>
      </c>
      <c r="V121" s="245">
        <v>0</v>
      </c>
      <c r="W121" s="245">
        <v>0</v>
      </c>
      <c r="X121" s="245">
        <v>0</v>
      </c>
      <c r="Y121" s="245">
        <v>0</v>
      </c>
      <c r="Z121" s="245">
        <v>0</v>
      </c>
      <c r="AA121" s="245">
        <v>0</v>
      </c>
      <c r="AB121" s="245"/>
      <c r="AC121" s="245">
        <v>0</v>
      </c>
      <c r="AD121" s="250">
        <v>276.60000324249268</v>
      </c>
      <c r="AE121" s="47">
        <f>N121*Forutsetninger!$C$23</f>
        <v>9644.9053982463829</v>
      </c>
      <c r="AF121" s="47">
        <f t="shared" si="42"/>
        <v>1587.130818605423</v>
      </c>
      <c r="AG121" s="47">
        <f>S121*Forutsetninger!$C$17</f>
        <v>348.0277080884199</v>
      </c>
      <c r="AH121" s="47">
        <f>AE121+O121+AF121+R121*Forutsetninger!$C$17-AG121</f>
        <v>17589.771109201662</v>
      </c>
      <c r="AI121" s="47">
        <f>AH121+P121*Forutsetninger!$B$5</f>
        <v>21373.668237201662</v>
      </c>
      <c r="AJ121" s="47">
        <f>T121*Forutsetninger!$C$23</f>
        <v>0</v>
      </c>
      <c r="AK121" s="47">
        <f t="shared" si="43"/>
        <v>0</v>
      </c>
      <c r="AL121" s="47">
        <f>AJ121+U121+AK121+X121*Forutsetninger!$C$17</f>
        <v>0</v>
      </c>
      <c r="AM121" s="26">
        <f>(T121-E121)*Forutsetninger!$C$23+X121*Forutsetninger!$C$17+U121+V121*Forutsetninger!$B$5</f>
        <v>0</v>
      </c>
      <c r="AN121" s="26">
        <f>(Y121*Forutsetninger!$C$23)+Z121+(AC121*Forutsetninger!$C$17)+(AA121*Forutsetninger!$B$5)</f>
        <v>0</v>
      </c>
    </row>
    <row r="122" spans="1:40" s="68" customFormat="1" ht="12.75" x14ac:dyDescent="0.2">
      <c r="A122" s="185">
        <v>2142014</v>
      </c>
      <c r="B122" s="212" t="s">
        <v>41</v>
      </c>
      <c r="C122" s="67">
        <v>2014</v>
      </c>
      <c r="D122" s="49">
        <f t="shared" si="33"/>
        <v>11578.404663085938</v>
      </c>
      <c r="E122" s="245">
        <v>0</v>
      </c>
      <c r="F122" s="49">
        <f t="shared" si="34"/>
        <v>11578.404663085938</v>
      </c>
      <c r="G122" s="49">
        <f t="shared" si="35"/>
        <v>4730</v>
      </c>
      <c r="H122" s="49">
        <f t="shared" si="36"/>
        <v>78983</v>
      </c>
      <c r="I122" s="49">
        <f t="shared" si="37"/>
        <v>79772.83</v>
      </c>
      <c r="J122" s="47">
        <f t="shared" si="38"/>
        <v>5602</v>
      </c>
      <c r="K122" s="47">
        <f t="shared" si="39"/>
        <v>0</v>
      </c>
      <c r="L122" s="47">
        <f t="shared" si="40"/>
        <v>0</v>
      </c>
      <c r="M122" s="49">
        <f t="shared" si="41"/>
        <v>553</v>
      </c>
      <c r="N122" s="245">
        <v>11578.404663085938</v>
      </c>
      <c r="O122" s="245">
        <v>4730</v>
      </c>
      <c r="P122" s="245">
        <v>79772.83</v>
      </c>
      <c r="Q122" s="245">
        <v>5602</v>
      </c>
      <c r="R122" s="245">
        <v>553</v>
      </c>
      <c r="S122" s="245">
        <v>59.220001220703125</v>
      </c>
      <c r="T122" s="245">
        <v>0</v>
      </c>
      <c r="U122" s="245">
        <v>0</v>
      </c>
      <c r="V122" s="245">
        <v>0</v>
      </c>
      <c r="W122" s="245">
        <v>0</v>
      </c>
      <c r="X122" s="245">
        <v>0</v>
      </c>
      <c r="Y122" s="245">
        <v>0</v>
      </c>
      <c r="Z122" s="245">
        <v>0</v>
      </c>
      <c r="AA122" s="245">
        <v>0</v>
      </c>
      <c r="AB122" s="245"/>
      <c r="AC122" s="245">
        <v>0</v>
      </c>
      <c r="AD122" s="250">
        <v>259.70000028610229</v>
      </c>
      <c r="AE122" s="47">
        <f>N122*Forutsetninger!$C$23</f>
        <v>12180.813306654609</v>
      </c>
      <c r="AF122" s="47">
        <f t="shared" si="42"/>
        <v>1454.8394016027451</v>
      </c>
      <c r="AG122" s="47">
        <f>S122*Forutsetninger!$C$17</f>
        <v>62.637371634461743</v>
      </c>
      <c r="AH122" s="47">
        <f>AE122+O122+AF122+R122*Forutsetninger!$C$17-AG122</f>
        <v>18887.926950939913</v>
      </c>
      <c r="AI122" s="47">
        <f>AH122+P122*Forutsetninger!$B$5</f>
        <v>23929.569806939915</v>
      </c>
      <c r="AJ122" s="47">
        <f>T122*Forutsetninger!$C$23</f>
        <v>0</v>
      </c>
      <c r="AK122" s="47">
        <f t="shared" si="43"/>
        <v>0</v>
      </c>
      <c r="AL122" s="47">
        <f>AJ122+U122+AK122+X122*Forutsetninger!$C$17</f>
        <v>0</v>
      </c>
      <c r="AM122" s="26">
        <f>(T122-E122)*Forutsetninger!$C$23+X122*Forutsetninger!$C$17+U122+V122*Forutsetninger!$B$5</f>
        <v>0</v>
      </c>
      <c r="AN122" s="26">
        <f>(Y122*Forutsetninger!$C$23)+Z122+(AC122*Forutsetninger!$C$17)+(AA122*Forutsetninger!$B$5)</f>
        <v>0</v>
      </c>
    </row>
    <row r="123" spans="1:40" s="68" customFormat="1" ht="12.75" x14ac:dyDescent="0.2">
      <c r="A123" s="185">
        <v>2182014</v>
      </c>
      <c r="B123" s="212" t="s">
        <v>111</v>
      </c>
      <c r="C123" s="67">
        <v>2014</v>
      </c>
      <c r="D123" s="49">
        <f t="shared" si="33"/>
        <v>14492.743896484375</v>
      </c>
      <c r="E123" s="245">
        <v>0</v>
      </c>
      <c r="F123" s="49">
        <f t="shared" si="34"/>
        <v>14492.743896484375</v>
      </c>
      <c r="G123" s="49">
        <f t="shared" si="35"/>
        <v>1938</v>
      </c>
      <c r="H123" s="49">
        <f t="shared" si="36"/>
        <v>20962</v>
      </c>
      <c r="I123" s="49">
        <f t="shared" si="37"/>
        <v>21171.62</v>
      </c>
      <c r="J123" s="47">
        <f t="shared" si="38"/>
        <v>2621</v>
      </c>
      <c r="K123" s="47">
        <f t="shared" si="39"/>
        <v>0</v>
      </c>
      <c r="L123" s="47">
        <f t="shared" si="40"/>
        <v>0</v>
      </c>
      <c r="M123" s="49">
        <f t="shared" si="41"/>
        <v>600</v>
      </c>
      <c r="N123" s="245">
        <v>14492.743896484375</v>
      </c>
      <c r="O123" s="245">
        <v>1938</v>
      </c>
      <c r="P123" s="245">
        <v>21171.62</v>
      </c>
      <c r="Q123" s="245">
        <v>2621</v>
      </c>
      <c r="R123" s="245">
        <v>600</v>
      </c>
      <c r="S123" s="245">
        <v>0</v>
      </c>
      <c r="T123" s="245">
        <v>0</v>
      </c>
      <c r="U123" s="245">
        <v>0</v>
      </c>
      <c r="V123" s="245">
        <v>0</v>
      </c>
      <c r="W123" s="245">
        <v>0</v>
      </c>
      <c r="X123" s="245">
        <v>0</v>
      </c>
      <c r="Y123" s="245">
        <v>0</v>
      </c>
      <c r="Z123" s="245">
        <v>0</v>
      </c>
      <c r="AA123" s="245">
        <v>0</v>
      </c>
      <c r="AB123" s="245"/>
      <c r="AC123" s="245">
        <v>0</v>
      </c>
      <c r="AD123" s="250">
        <v>244.45000290870667</v>
      </c>
      <c r="AE123" s="47">
        <f>N123*Forutsetninger!$C$23</f>
        <v>15246.781645752535</v>
      </c>
      <c r="AF123" s="47">
        <f t="shared" si="42"/>
        <v>640.70345762372017</v>
      </c>
      <c r="AG123" s="47">
        <f>S123*Forutsetninger!$C$17</f>
        <v>0</v>
      </c>
      <c r="AH123" s="47">
        <f>AE123+O123+AF123+R123*Forutsetninger!$C$17-AG123</f>
        <v>18460.108916378445</v>
      </c>
      <c r="AI123" s="47">
        <f>AH123+P123*Forutsetninger!$B$5</f>
        <v>19798.155300378447</v>
      </c>
      <c r="AJ123" s="47">
        <f>T123*Forutsetninger!$C$23</f>
        <v>0</v>
      </c>
      <c r="AK123" s="47">
        <f t="shared" si="43"/>
        <v>0</v>
      </c>
      <c r="AL123" s="47">
        <f>AJ123+U123+AK123+X123*Forutsetninger!$C$17</f>
        <v>0</v>
      </c>
      <c r="AM123" s="26">
        <f>(T123-E123)*Forutsetninger!$C$23+X123*Forutsetninger!$C$17+U123+V123*Forutsetninger!$B$5</f>
        <v>0</v>
      </c>
      <c r="AN123" s="26">
        <f>(Y123*Forutsetninger!$C$23)+Z123+(AC123*Forutsetninger!$C$17)+(AA123*Forutsetninger!$B$5)</f>
        <v>0</v>
      </c>
    </row>
    <row r="124" spans="1:40" s="68" customFormat="1" ht="12.75" x14ac:dyDescent="0.2">
      <c r="A124" s="185">
        <v>2222014</v>
      </c>
      <c r="B124" s="212" t="s">
        <v>87</v>
      </c>
      <c r="C124" s="67">
        <v>2014</v>
      </c>
      <c r="D124" s="49">
        <f t="shared" si="33"/>
        <v>512</v>
      </c>
      <c r="E124" s="245">
        <v>0</v>
      </c>
      <c r="F124" s="49">
        <f t="shared" si="34"/>
        <v>512</v>
      </c>
      <c r="G124" s="49">
        <f t="shared" si="35"/>
        <v>445</v>
      </c>
      <c r="H124" s="49">
        <f t="shared" si="36"/>
        <v>4407</v>
      </c>
      <c r="I124" s="49">
        <f t="shared" si="37"/>
        <v>4451.07</v>
      </c>
      <c r="J124" s="47">
        <f t="shared" si="38"/>
        <v>186</v>
      </c>
      <c r="K124" s="47">
        <f t="shared" si="39"/>
        <v>985</v>
      </c>
      <c r="L124" s="47">
        <f t="shared" si="40"/>
        <v>0</v>
      </c>
      <c r="M124" s="49">
        <f t="shared" si="41"/>
        <v>0</v>
      </c>
      <c r="N124" s="245">
        <v>512</v>
      </c>
      <c r="O124" s="245">
        <v>204</v>
      </c>
      <c r="P124" s="245">
        <v>1779.6200000000001</v>
      </c>
      <c r="Q124" s="245">
        <v>186</v>
      </c>
      <c r="R124" s="245">
        <v>0</v>
      </c>
      <c r="S124" s="245">
        <v>0</v>
      </c>
      <c r="T124" s="245">
        <v>0</v>
      </c>
      <c r="U124" s="245">
        <v>241</v>
      </c>
      <c r="V124" s="245">
        <v>2671.45</v>
      </c>
      <c r="W124" s="245">
        <v>985</v>
      </c>
      <c r="X124" s="245">
        <v>0</v>
      </c>
      <c r="Y124" s="245">
        <v>0</v>
      </c>
      <c r="Z124" s="245">
        <v>0</v>
      </c>
      <c r="AA124" s="245">
        <v>0</v>
      </c>
      <c r="AB124" s="245"/>
      <c r="AC124" s="245">
        <v>0</v>
      </c>
      <c r="AD124" s="250">
        <v>247.85000085830688</v>
      </c>
      <c r="AE124" s="47">
        <f>N124*Forutsetninger!$C$23</f>
        <v>538.63866348448687</v>
      </c>
      <c r="AF124" s="47">
        <f t="shared" si="42"/>
        <v>46.100100159645081</v>
      </c>
      <c r="AG124" s="47">
        <f>S124*Forutsetninger!$C$17</f>
        <v>0</v>
      </c>
      <c r="AH124" s="47">
        <f>AE124+O124+AF124+R124*Forutsetninger!$C$17-AG124</f>
        <v>788.73876364413195</v>
      </c>
      <c r="AI124" s="47">
        <f>AH124+P124*Forutsetninger!$B$5</f>
        <v>901.21074764413197</v>
      </c>
      <c r="AJ124" s="47">
        <f>T124*Forutsetninger!$C$23</f>
        <v>0</v>
      </c>
      <c r="AK124" s="47">
        <f t="shared" si="43"/>
        <v>244.13225084543228</v>
      </c>
      <c r="AL124" s="47">
        <f>AJ124+U124+AK124+X124*Forutsetninger!$C$17</f>
        <v>485.13225084543228</v>
      </c>
      <c r="AM124" s="26">
        <f>(T124-E124)*Forutsetninger!$C$23+X124*Forutsetninger!$C$17+U124+V124*Forutsetninger!$B$5</f>
        <v>409.83564000000001</v>
      </c>
      <c r="AN124" s="26">
        <f>(Y124*Forutsetninger!$C$23)+Z124+(AC124*Forutsetninger!$C$17)+(AA124*Forutsetninger!$B$5)</f>
        <v>0</v>
      </c>
    </row>
    <row r="125" spans="1:40" s="68" customFormat="1" ht="12.75" x14ac:dyDescent="0.2">
      <c r="A125" s="185">
        <v>2232014</v>
      </c>
      <c r="B125" s="212" t="s">
        <v>230</v>
      </c>
      <c r="C125" s="67">
        <v>2014</v>
      </c>
      <c r="D125" s="49">
        <f t="shared" si="33"/>
        <v>26204.679321289063</v>
      </c>
      <c r="E125" s="245">
        <v>0</v>
      </c>
      <c r="F125" s="49">
        <f t="shared" si="34"/>
        <v>26204.679321289063</v>
      </c>
      <c r="G125" s="49">
        <f t="shared" si="35"/>
        <v>9888</v>
      </c>
      <c r="H125" s="49">
        <f t="shared" si="36"/>
        <v>152085</v>
      </c>
      <c r="I125" s="49">
        <f t="shared" si="37"/>
        <v>153605.85</v>
      </c>
      <c r="J125" s="47">
        <f t="shared" si="38"/>
        <v>12804</v>
      </c>
      <c r="K125" s="47">
        <f t="shared" si="39"/>
        <v>0</v>
      </c>
      <c r="L125" s="47">
        <f t="shared" si="40"/>
        <v>0</v>
      </c>
      <c r="M125" s="49">
        <f t="shared" si="41"/>
        <v>2798</v>
      </c>
      <c r="N125" s="245">
        <v>26204.679321289063</v>
      </c>
      <c r="O125" s="245">
        <v>9888</v>
      </c>
      <c r="P125" s="245">
        <v>153605.85</v>
      </c>
      <c r="Q125" s="245">
        <v>12804</v>
      </c>
      <c r="R125" s="245">
        <v>2798</v>
      </c>
      <c r="S125" s="245">
        <v>530.6400146484375</v>
      </c>
      <c r="T125" s="245">
        <v>0</v>
      </c>
      <c r="U125" s="245">
        <v>0</v>
      </c>
      <c r="V125" s="245">
        <v>0</v>
      </c>
      <c r="W125" s="245">
        <v>0</v>
      </c>
      <c r="X125" s="245">
        <v>0</v>
      </c>
      <c r="Y125" s="245">
        <v>0</v>
      </c>
      <c r="Z125" s="245">
        <v>0</v>
      </c>
      <c r="AA125" s="245">
        <v>0</v>
      </c>
      <c r="AB125" s="245"/>
      <c r="AC125" s="245">
        <v>0</v>
      </c>
      <c r="AD125" s="250">
        <v>247.85000085830688</v>
      </c>
      <c r="AE125" s="47">
        <f>N125*Forutsetninger!$C$23</f>
        <v>27568.073138005297</v>
      </c>
      <c r="AF125" s="47">
        <f t="shared" si="42"/>
        <v>3173.4714109897614</v>
      </c>
      <c r="AG125" s="47">
        <f>S125*Forutsetninger!$C$17</f>
        <v>561.26131571288352</v>
      </c>
      <c r="AH125" s="47">
        <f>AE125+O125+AF125+R125*Forutsetninger!$C$17-AG125</f>
        <v>43027.745614582396</v>
      </c>
      <c r="AI125" s="47">
        <f>AH125+P125*Forutsetninger!$B$5</f>
        <v>52735.635334582395</v>
      </c>
      <c r="AJ125" s="47">
        <f>T125*Forutsetninger!$C$23</f>
        <v>0</v>
      </c>
      <c r="AK125" s="47">
        <f t="shared" si="43"/>
        <v>0</v>
      </c>
      <c r="AL125" s="47">
        <f>AJ125+U125+AK125+X125*Forutsetninger!$C$17</f>
        <v>0</v>
      </c>
      <c r="AM125" s="26">
        <f>(T125-E125)*Forutsetninger!$C$23+X125*Forutsetninger!$C$17+U125+V125*Forutsetninger!$B$5</f>
        <v>0</v>
      </c>
      <c r="AN125" s="26">
        <f>(Y125*Forutsetninger!$C$23)+Z125+(AC125*Forutsetninger!$C$17)+(AA125*Forutsetninger!$B$5)</f>
        <v>0</v>
      </c>
    </row>
    <row r="126" spans="1:40" s="68" customFormat="1" ht="12.75" x14ac:dyDescent="0.2">
      <c r="A126" s="185">
        <v>632014</v>
      </c>
      <c r="B126" s="212" t="s">
        <v>208</v>
      </c>
      <c r="C126" s="67">
        <v>2014</v>
      </c>
      <c r="D126" s="49">
        <f t="shared" si="33"/>
        <v>26580.018630981445</v>
      </c>
      <c r="E126" s="245">
        <v>0</v>
      </c>
      <c r="F126" s="49">
        <f t="shared" si="34"/>
        <v>26580.018630981445</v>
      </c>
      <c r="G126" s="49">
        <f t="shared" si="35"/>
        <v>10686</v>
      </c>
      <c r="H126" s="49">
        <f t="shared" si="36"/>
        <v>173666</v>
      </c>
      <c r="I126" s="49">
        <f t="shared" si="37"/>
        <v>175402.66</v>
      </c>
      <c r="J126" s="47">
        <f t="shared" si="38"/>
        <v>7855</v>
      </c>
      <c r="K126" s="47">
        <f t="shared" si="39"/>
        <v>4563</v>
      </c>
      <c r="L126" s="47">
        <f t="shared" si="40"/>
        <v>0</v>
      </c>
      <c r="M126" s="49">
        <f t="shared" si="41"/>
        <v>6682</v>
      </c>
      <c r="N126" s="245">
        <v>22202.679931640625</v>
      </c>
      <c r="O126" s="245">
        <v>6754</v>
      </c>
      <c r="P126" s="245">
        <v>90815.16</v>
      </c>
      <c r="Q126" s="245">
        <v>7855</v>
      </c>
      <c r="R126" s="245">
        <v>3396</v>
      </c>
      <c r="S126" s="245">
        <v>263.23001098632812</v>
      </c>
      <c r="T126" s="245">
        <v>4377.3386993408203</v>
      </c>
      <c r="U126" s="245">
        <v>3932</v>
      </c>
      <c r="V126" s="245">
        <v>84587.5</v>
      </c>
      <c r="W126" s="245">
        <v>4563</v>
      </c>
      <c r="X126" s="245">
        <v>3286</v>
      </c>
      <c r="Y126" s="245">
        <v>0</v>
      </c>
      <c r="Z126" s="245">
        <v>0</v>
      </c>
      <c r="AA126" s="245">
        <v>0</v>
      </c>
      <c r="AB126" s="245"/>
      <c r="AC126" s="245">
        <v>0</v>
      </c>
      <c r="AD126" s="250">
        <v>244.45000290870667</v>
      </c>
      <c r="AE126" s="47">
        <f>N126*Forutsetninger!$C$23</f>
        <v>23357.85516436083</v>
      </c>
      <c r="AF126" s="47">
        <f t="shared" si="42"/>
        <v>1920.1547728478909</v>
      </c>
      <c r="AG126" s="47">
        <f>S126*Forutsetninger!$C$17</f>
        <v>278.42005544792045</v>
      </c>
      <c r="AH126" s="47">
        <f>AE126+O126+AF126+R126*Forutsetninger!$C$17-AG126</f>
        <v>35345.560663353208</v>
      </c>
      <c r="AI126" s="47">
        <f>AH126+P126*Forutsetninger!$B$5</f>
        <v>41085.078775353206</v>
      </c>
      <c r="AJ126" s="47">
        <f>T126*Forutsetninger!$C$23</f>
        <v>4605.085677015355</v>
      </c>
      <c r="AK126" s="47">
        <f t="shared" si="43"/>
        <v>1115.4253632724285</v>
      </c>
      <c r="AL126" s="47">
        <f>AJ126+U126+AK126+X126*Forutsetninger!$C$17</f>
        <v>13128.134122829786</v>
      </c>
      <c r="AM126" s="26">
        <f>(T126-E126)*Forutsetninger!$C$23+X126*Forutsetninger!$C$17+U126+V126*Forutsetninger!$B$5</f>
        <v>17358.638759557358</v>
      </c>
      <c r="AN126" s="26">
        <f>(Y126*Forutsetninger!$C$23)+Z126+(AC126*Forutsetninger!$C$17)+(AA126*Forutsetninger!$B$5)</f>
        <v>0</v>
      </c>
    </row>
    <row r="127" spans="1:40" s="68" customFormat="1" ht="12.75" x14ac:dyDescent="0.2">
      <c r="A127" s="185">
        <v>2272014</v>
      </c>
      <c r="B127" s="212" t="s">
        <v>231</v>
      </c>
      <c r="C127" s="67">
        <v>2014</v>
      </c>
      <c r="D127" s="49">
        <f t="shared" si="33"/>
        <v>192077.26519775391</v>
      </c>
      <c r="E127" s="245">
        <v>1248</v>
      </c>
      <c r="F127" s="49">
        <f t="shared" si="34"/>
        <v>190829.26519775391</v>
      </c>
      <c r="G127" s="49">
        <f t="shared" si="35"/>
        <v>90110</v>
      </c>
      <c r="H127" s="49">
        <f t="shared" si="36"/>
        <v>1569475</v>
      </c>
      <c r="I127" s="49">
        <f t="shared" si="37"/>
        <v>1585169.75</v>
      </c>
      <c r="J127" s="47">
        <f t="shared" si="38"/>
        <v>93597</v>
      </c>
      <c r="K127" s="47">
        <f t="shared" si="39"/>
        <v>77952</v>
      </c>
      <c r="L127" s="47">
        <f t="shared" si="40"/>
        <v>0</v>
      </c>
      <c r="M127" s="49">
        <f t="shared" si="41"/>
        <v>27172</v>
      </c>
      <c r="N127" s="245">
        <v>153898.8564453125</v>
      </c>
      <c r="O127" s="245">
        <v>66612</v>
      </c>
      <c r="P127" s="245">
        <v>1196285.4099999999</v>
      </c>
      <c r="Q127" s="245">
        <v>93597</v>
      </c>
      <c r="R127" s="245">
        <v>24672</v>
      </c>
      <c r="S127" s="245">
        <v>0</v>
      </c>
      <c r="T127" s="245">
        <v>32290.957885742188</v>
      </c>
      <c r="U127" s="245">
        <v>18924</v>
      </c>
      <c r="V127" s="245">
        <v>315807.81</v>
      </c>
      <c r="W127" s="245">
        <v>77952</v>
      </c>
      <c r="X127" s="245">
        <v>2458</v>
      </c>
      <c r="Y127" s="245">
        <v>5887.4508666992187</v>
      </c>
      <c r="Z127" s="245">
        <v>4574</v>
      </c>
      <c r="AA127" s="245">
        <v>73076.53</v>
      </c>
      <c r="AB127" s="245"/>
      <c r="AC127" s="245">
        <v>42</v>
      </c>
      <c r="AD127" s="250">
        <v>244.45000290870667</v>
      </c>
      <c r="AE127" s="47">
        <f>N127*Forutsetninger!$C$23</f>
        <v>161906.00458494929</v>
      </c>
      <c r="AF127" s="47">
        <f t="shared" si="42"/>
        <v>22879.786922246218</v>
      </c>
      <c r="AG127" s="47">
        <f>S127*Forutsetninger!$C$17</f>
        <v>0</v>
      </c>
      <c r="AH127" s="47">
        <f>AE127+O127+AF127+R127*Forutsetninger!$C$17-AG127</f>
        <v>277493.52269784559</v>
      </c>
      <c r="AI127" s="47">
        <f>AH127+P127*Forutsetninger!$B$5</f>
        <v>353098.76060984557</v>
      </c>
      <c r="AJ127" s="47">
        <f>T127*Forutsetninger!$C$23</f>
        <v>33971.01249650395</v>
      </c>
      <c r="AK127" s="47">
        <f t="shared" si="43"/>
        <v>19055.366626739502</v>
      </c>
      <c r="AL127" s="47">
        <f>AJ127+U127+AK127+X127*Forutsetninger!$C$17</f>
        <v>74550.221343842422</v>
      </c>
      <c r="AM127" s="26">
        <f>(T127-E127)*Forutsetninger!$C$23+X127*Forutsetninger!$C$17+U127+V127*Forutsetninger!$B$5</f>
        <v>74140.976566859492</v>
      </c>
      <c r="AN127" s="26">
        <f>(Y127*Forutsetninger!$C$23)+Z127+(AC127*Forutsetninger!$C$17)+(AA127*Forutsetninger!$B$5)</f>
        <v>15430.627289022364</v>
      </c>
    </row>
    <row r="128" spans="1:40" s="68" customFormat="1" ht="12.75" x14ac:dyDescent="0.2">
      <c r="A128" s="185">
        <v>2312014</v>
      </c>
      <c r="B128" s="212" t="s">
        <v>232</v>
      </c>
      <c r="C128" s="67">
        <v>2014</v>
      </c>
      <c r="D128" s="49">
        <f t="shared" si="33"/>
        <v>9640.5053100585937</v>
      </c>
      <c r="E128" s="245">
        <v>0</v>
      </c>
      <c r="F128" s="49">
        <f t="shared" si="34"/>
        <v>9640.5053100585937</v>
      </c>
      <c r="G128" s="49">
        <f t="shared" si="35"/>
        <v>2953</v>
      </c>
      <c r="H128" s="49">
        <f t="shared" si="36"/>
        <v>38597</v>
      </c>
      <c r="I128" s="49">
        <f t="shared" si="37"/>
        <v>38982.97</v>
      </c>
      <c r="J128" s="47">
        <f t="shared" si="38"/>
        <v>6046</v>
      </c>
      <c r="K128" s="47">
        <f t="shared" si="39"/>
        <v>0</v>
      </c>
      <c r="L128" s="47">
        <f t="shared" si="40"/>
        <v>0</v>
      </c>
      <c r="M128" s="49">
        <f t="shared" si="41"/>
        <v>297</v>
      </c>
      <c r="N128" s="245">
        <v>9640.5053100585937</v>
      </c>
      <c r="O128" s="245">
        <v>2953</v>
      </c>
      <c r="P128" s="245">
        <v>38982.97</v>
      </c>
      <c r="Q128" s="245">
        <v>6046</v>
      </c>
      <c r="R128" s="245">
        <v>297</v>
      </c>
      <c r="S128" s="245">
        <v>263.23001098632812</v>
      </c>
      <c r="T128" s="245">
        <v>0</v>
      </c>
      <c r="U128" s="245">
        <v>0</v>
      </c>
      <c r="V128" s="245">
        <v>0</v>
      </c>
      <c r="W128" s="245">
        <v>0</v>
      </c>
      <c r="X128" s="245">
        <v>0</v>
      </c>
      <c r="Y128" s="245">
        <v>0</v>
      </c>
      <c r="Z128" s="245">
        <v>0</v>
      </c>
      <c r="AA128" s="245">
        <v>0</v>
      </c>
      <c r="AB128" s="245"/>
      <c r="AC128" s="245">
        <v>0</v>
      </c>
      <c r="AD128" s="250">
        <v>259.70000028610229</v>
      </c>
      <c r="AE128" s="47">
        <f>N128*Forutsetninger!$C$23</f>
        <v>10142.087686572382</v>
      </c>
      <c r="AF128" s="47">
        <f t="shared" si="42"/>
        <v>1570.1462017297745</v>
      </c>
      <c r="AG128" s="47">
        <f>S128*Forutsetninger!$C$17</f>
        <v>278.42005544792045</v>
      </c>
      <c r="AH128" s="47">
        <f>AE128+O128+AF128+R128*Forutsetninger!$C$17-AG128</f>
        <v>14700.95262029032</v>
      </c>
      <c r="AI128" s="47">
        <f>AH128+P128*Forutsetninger!$B$5</f>
        <v>17164.676324290322</v>
      </c>
      <c r="AJ128" s="47">
        <f>T128*Forutsetninger!$C$23</f>
        <v>0</v>
      </c>
      <c r="AK128" s="47">
        <f t="shared" si="43"/>
        <v>0</v>
      </c>
      <c r="AL128" s="47">
        <f>AJ128+U128+AK128+X128*Forutsetninger!$C$17</f>
        <v>0</v>
      </c>
      <c r="AM128" s="26">
        <f>(T128-E128)*Forutsetninger!$C$23+X128*Forutsetninger!$C$17+U128+V128*Forutsetninger!$B$5</f>
        <v>0</v>
      </c>
      <c r="AN128" s="26">
        <f>(Y128*Forutsetninger!$C$23)+Z128+(AC128*Forutsetninger!$C$17)+(AA128*Forutsetninger!$B$5)</f>
        <v>0</v>
      </c>
    </row>
    <row r="129" spans="1:40" s="68" customFormat="1" ht="12.75" x14ac:dyDescent="0.2">
      <c r="A129" s="185">
        <v>4842014</v>
      </c>
      <c r="B129" s="212" t="s">
        <v>90</v>
      </c>
      <c r="C129" s="67">
        <v>2014</v>
      </c>
      <c r="D129" s="49">
        <f t="shared" si="33"/>
        <v>1081.5834045410156</v>
      </c>
      <c r="E129" s="245">
        <v>0</v>
      </c>
      <c r="F129" s="49">
        <f t="shared" si="34"/>
        <v>1081.5834045410156</v>
      </c>
      <c r="G129" s="49">
        <f t="shared" si="35"/>
        <v>2842</v>
      </c>
      <c r="H129" s="49">
        <f t="shared" si="36"/>
        <v>53721</v>
      </c>
      <c r="I129" s="49">
        <f t="shared" si="37"/>
        <v>54258.21</v>
      </c>
      <c r="J129" s="47">
        <f t="shared" si="38"/>
        <v>0</v>
      </c>
      <c r="K129" s="47">
        <f t="shared" si="39"/>
        <v>7181</v>
      </c>
      <c r="L129" s="47">
        <f t="shared" si="40"/>
        <v>0</v>
      </c>
      <c r="M129" s="49">
        <f t="shared" si="41"/>
        <v>0</v>
      </c>
      <c r="N129" s="245">
        <v>0</v>
      </c>
      <c r="O129" s="245">
        <v>0</v>
      </c>
      <c r="P129" s="245">
        <v>0</v>
      </c>
      <c r="Q129" s="245">
        <v>0</v>
      </c>
      <c r="R129" s="245">
        <v>0</v>
      </c>
      <c r="S129" s="245">
        <v>0</v>
      </c>
      <c r="T129" s="245">
        <v>1081.5834045410156</v>
      </c>
      <c r="U129" s="245">
        <v>2842</v>
      </c>
      <c r="V129" s="245">
        <v>54258.21</v>
      </c>
      <c r="W129" s="245">
        <v>7181</v>
      </c>
      <c r="X129" s="245">
        <v>0</v>
      </c>
      <c r="Y129" s="245">
        <v>0</v>
      </c>
      <c r="Z129" s="245">
        <v>0</v>
      </c>
      <c r="AA129" s="245">
        <v>0</v>
      </c>
      <c r="AB129" s="245"/>
      <c r="AC129" s="245">
        <v>0</v>
      </c>
      <c r="AD129" s="250">
        <v>276.60000324249268</v>
      </c>
      <c r="AE129" s="47">
        <f>N129*Forutsetninger!$C$23</f>
        <v>0</v>
      </c>
      <c r="AF129" s="47">
        <f t="shared" si="42"/>
        <v>0</v>
      </c>
      <c r="AG129" s="47">
        <f>S129*Forutsetninger!$C$17</f>
        <v>0</v>
      </c>
      <c r="AH129" s="47">
        <f>AE129+O129+AF129+R129*Forutsetninger!$C$17-AG129</f>
        <v>0</v>
      </c>
      <c r="AI129" s="47">
        <f>AH129+P129*Forutsetninger!$B$5</f>
        <v>0</v>
      </c>
      <c r="AJ129" s="47">
        <f>T129*Forutsetninger!$C$23</f>
        <v>1137.8567177128393</v>
      </c>
      <c r="AK129" s="47">
        <f t="shared" si="43"/>
        <v>1986.2646232843399</v>
      </c>
      <c r="AL129" s="47">
        <f>AJ129+U129+AK129+X129*Forutsetninger!$C$17</f>
        <v>5966.1213409971788</v>
      </c>
      <c r="AM129" s="26">
        <f>(T129-E129)*Forutsetninger!$C$23+X129*Forutsetninger!$C$17+U129+V129*Forutsetninger!$B$5</f>
        <v>7408.9755897128398</v>
      </c>
      <c r="AN129" s="26">
        <f>(Y129*Forutsetninger!$C$23)+Z129+(AC129*Forutsetninger!$C$17)+(AA129*Forutsetninger!$B$5)</f>
        <v>0</v>
      </c>
    </row>
    <row r="130" spans="1:40" s="68" customFormat="1" ht="12.75" x14ac:dyDescent="0.2">
      <c r="A130" s="185">
        <v>2152014</v>
      </c>
      <c r="B130" s="212" t="s">
        <v>229</v>
      </c>
      <c r="C130" s="67">
        <v>2014</v>
      </c>
      <c r="D130" s="49">
        <f t="shared" si="33"/>
        <v>282299.8369140625</v>
      </c>
      <c r="E130" s="245">
        <v>1760</v>
      </c>
      <c r="F130" s="49">
        <f t="shared" si="34"/>
        <v>280539.8369140625</v>
      </c>
      <c r="G130" s="49">
        <f t="shared" si="35"/>
        <v>116409</v>
      </c>
      <c r="H130" s="49">
        <f t="shared" si="36"/>
        <v>1690839</v>
      </c>
      <c r="I130" s="49">
        <f t="shared" si="37"/>
        <v>1707747.39</v>
      </c>
      <c r="J130" s="47">
        <f t="shared" si="38"/>
        <v>153540</v>
      </c>
      <c r="K130" s="47">
        <f t="shared" si="39"/>
        <v>97862</v>
      </c>
      <c r="L130" s="47">
        <f t="shared" si="40"/>
        <v>0</v>
      </c>
      <c r="M130" s="49">
        <f t="shared" si="41"/>
        <v>15236</v>
      </c>
      <c r="N130" s="245">
        <v>230716.88671875</v>
      </c>
      <c r="O130" s="245">
        <v>85740</v>
      </c>
      <c r="P130" s="245">
        <v>1192523.1599999999</v>
      </c>
      <c r="Q130" s="245">
        <v>153540</v>
      </c>
      <c r="R130" s="245">
        <v>11838</v>
      </c>
      <c r="S130" s="245">
        <v>0</v>
      </c>
      <c r="T130" s="245">
        <v>51582.9501953125</v>
      </c>
      <c r="U130" s="245">
        <v>30669</v>
      </c>
      <c r="V130" s="245">
        <v>515224.23</v>
      </c>
      <c r="W130" s="245">
        <v>97862</v>
      </c>
      <c r="X130" s="245">
        <v>3398</v>
      </c>
      <c r="Y130" s="245">
        <v>0</v>
      </c>
      <c r="Z130" s="245">
        <v>0</v>
      </c>
      <c r="AA130" s="245">
        <v>0</v>
      </c>
      <c r="AB130" s="245"/>
      <c r="AC130" s="245">
        <v>0</v>
      </c>
      <c r="AD130" s="250">
        <v>276.60000324249268</v>
      </c>
      <c r="AE130" s="47">
        <f>N130*Forutsetninger!$C$23</f>
        <v>242720.77247165871</v>
      </c>
      <c r="AF130" s="47">
        <f t="shared" si="42"/>
        <v>42469.164497852325</v>
      </c>
      <c r="AG130" s="47">
        <f>S130*Forutsetninger!$C$17</f>
        <v>0</v>
      </c>
      <c r="AH130" s="47">
        <f>AE130+O130+AF130+R130*Forutsetninger!$C$17-AG130</f>
        <v>383451.06480004429</v>
      </c>
      <c r="AI130" s="47">
        <f>AH130+P130*Forutsetninger!$B$5</f>
        <v>458818.52851204429</v>
      </c>
      <c r="AJ130" s="47">
        <f>T130*Forutsetninger!$C$23</f>
        <v>54266.7409214648</v>
      </c>
      <c r="AK130" s="47">
        <f t="shared" si="43"/>
        <v>27068.629517316818</v>
      </c>
      <c r="AL130" s="47">
        <f>AJ130+U130+AK130+X130*Forutsetninger!$C$17</f>
        <v>115598.45663308403</v>
      </c>
      <c r="AM130" s="26">
        <f>(T130-E130)*Forutsetninger!$C$23+X130*Forutsetninger!$C$17+U130+V130*Forutsetninger!$B$5</f>
        <v>119240.42804603928</v>
      </c>
      <c r="AN130" s="26">
        <f>(Y130*Forutsetninger!$C$23)+Z130+(AC130*Forutsetninger!$C$17)+(AA130*Forutsetninger!$B$5)</f>
        <v>0</v>
      </c>
    </row>
    <row r="131" spans="1:40" s="68" customFormat="1" ht="12.75" x14ac:dyDescent="0.2">
      <c r="A131" s="185">
        <v>2342014</v>
      </c>
      <c r="B131" s="212" t="s">
        <v>88</v>
      </c>
      <c r="C131" s="67">
        <v>2014</v>
      </c>
      <c r="D131" s="49">
        <f t="shared" ref="D131:D146" si="44">N131+T131+Y131</f>
        <v>19645.188232421875</v>
      </c>
      <c r="E131" s="245">
        <v>0</v>
      </c>
      <c r="F131" s="49">
        <f t="shared" ref="F131:F146" si="45">D131-E131</f>
        <v>19645.188232421875</v>
      </c>
      <c r="G131" s="49">
        <f t="shared" ref="G131:G146" si="46">O131+U131+Z131</f>
        <v>4287</v>
      </c>
      <c r="H131" s="49">
        <f t="shared" ref="H131:H146" si="47">ROUND(I131/1.01,0)</f>
        <v>69377</v>
      </c>
      <c r="I131" s="49">
        <f t="shared" ref="I131:I146" si="48">P131+V131+AA131</f>
        <v>70070.77</v>
      </c>
      <c r="J131" s="49">
        <f t="shared" ref="J131:J146" si="49">Q131</f>
        <v>2137</v>
      </c>
      <c r="K131" s="49">
        <f t="shared" ref="K131:K146" si="50">W131</f>
        <v>0</v>
      </c>
      <c r="L131" s="47">
        <f t="shared" ref="L131:L146" si="51">AB131</f>
        <v>0</v>
      </c>
      <c r="M131" s="49">
        <f t="shared" ref="M131:M146" si="52">R131+X131+AC131</f>
        <v>678</v>
      </c>
      <c r="N131" s="245">
        <v>19645.188232421875</v>
      </c>
      <c r="O131" s="245">
        <v>4287</v>
      </c>
      <c r="P131" s="245">
        <v>70070.77</v>
      </c>
      <c r="Q131" s="245">
        <v>2137</v>
      </c>
      <c r="R131" s="245">
        <v>678</v>
      </c>
      <c r="S131" s="245">
        <v>65.800003051757812</v>
      </c>
      <c r="T131" s="245">
        <v>0</v>
      </c>
      <c r="U131" s="245">
        <v>0</v>
      </c>
      <c r="V131" s="245">
        <v>0</v>
      </c>
      <c r="W131" s="245">
        <v>0</v>
      </c>
      <c r="X131" s="245">
        <v>0</v>
      </c>
      <c r="Y131" s="245">
        <v>0</v>
      </c>
      <c r="Z131" s="245">
        <v>0</v>
      </c>
      <c r="AA131" s="245">
        <v>0</v>
      </c>
      <c r="AB131" s="245"/>
      <c r="AC131" s="245">
        <v>0</v>
      </c>
      <c r="AD131" s="250">
        <v>246.69000506401062</v>
      </c>
      <c r="AE131" s="47">
        <f>N131*Forutsetninger!$C$23</f>
        <v>20667.300651197045</v>
      </c>
      <c r="AF131" s="49">
        <f t="shared" ref="AF131:AF146" si="53">(Q131*AD131)/1000</f>
        <v>527.1765408217907</v>
      </c>
      <c r="AG131" s="47">
        <f>S131*Forutsetninger!$C$17</f>
        <v>69.597081387103955</v>
      </c>
      <c r="AH131" s="47">
        <f>AE131+O131+AF131+R131*Forutsetninger!$C$17-AG131</f>
        <v>26129.00501932421</v>
      </c>
      <c r="AI131" s="49">
        <f>AH131+P131*Forutsetninger!$B$5</f>
        <v>30557.47768332421</v>
      </c>
      <c r="AJ131" s="47">
        <f>T131*Forutsetninger!$C$23</f>
        <v>0</v>
      </c>
      <c r="AK131" s="49">
        <f t="shared" ref="AK131:AK146" si="54">(W131*AD131)/1000</f>
        <v>0</v>
      </c>
      <c r="AL131" s="47">
        <f>AJ131+U131+AK131+X131*Forutsetninger!$C$17</f>
        <v>0</v>
      </c>
      <c r="AM131" s="26">
        <f>(T131-E131)*Forutsetninger!$C$23+X131*Forutsetninger!$C$17+U131+V131*Forutsetninger!$B$5</f>
        <v>0</v>
      </c>
      <c r="AN131" s="26">
        <f>(Y131*Forutsetninger!$C$23)+Z131+(AC131*Forutsetninger!$C$17)+(AA131*Forutsetninger!$B$5)</f>
        <v>0</v>
      </c>
    </row>
    <row r="132" spans="1:40" s="68" customFormat="1" ht="12.75" x14ac:dyDescent="0.2">
      <c r="A132" s="185">
        <v>2872014</v>
      </c>
      <c r="B132" s="212" t="s">
        <v>241</v>
      </c>
      <c r="C132" s="67">
        <v>2014</v>
      </c>
      <c r="D132" s="49">
        <f t="shared" si="44"/>
        <v>0</v>
      </c>
      <c r="E132" s="245">
        <v>0</v>
      </c>
      <c r="F132" s="49">
        <f t="shared" si="45"/>
        <v>0</v>
      </c>
      <c r="G132" s="49">
        <f t="shared" si="46"/>
        <v>272</v>
      </c>
      <c r="H132" s="49">
        <f t="shared" si="47"/>
        <v>818</v>
      </c>
      <c r="I132" s="49">
        <f t="shared" si="48"/>
        <v>826.18000000000006</v>
      </c>
      <c r="J132" s="47">
        <f t="shared" si="49"/>
        <v>0</v>
      </c>
      <c r="K132" s="47">
        <f t="shared" si="50"/>
        <v>0</v>
      </c>
      <c r="L132" s="47">
        <f t="shared" si="51"/>
        <v>0</v>
      </c>
      <c r="M132" s="49">
        <f t="shared" si="52"/>
        <v>0</v>
      </c>
      <c r="N132" s="245">
        <v>0</v>
      </c>
      <c r="O132" s="245">
        <v>0</v>
      </c>
      <c r="P132" s="245">
        <v>0</v>
      </c>
      <c r="Q132" s="245">
        <v>0</v>
      </c>
      <c r="R132" s="245">
        <v>0</v>
      </c>
      <c r="S132" s="245">
        <v>0</v>
      </c>
      <c r="T132" s="245">
        <v>0</v>
      </c>
      <c r="U132" s="245">
        <v>272</v>
      </c>
      <c r="V132" s="245">
        <v>826.18000000000006</v>
      </c>
      <c r="W132" s="245">
        <v>0</v>
      </c>
      <c r="X132" s="245">
        <v>0</v>
      </c>
      <c r="Y132" s="245">
        <v>0</v>
      </c>
      <c r="Z132" s="245">
        <v>0</v>
      </c>
      <c r="AA132" s="245">
        <v>0</v>
      </c>
      <c r="AB132" s="245"/>
      <c r="AC132" s="245">
        <v>0</v>
      </c>
      <c r="AD132" s="250">
        <v>259.70000028610229</v>
      </c>
      <c r="AE132" s="47">
        <f>N132*Forutsetninger!$C$23</f>
        <v>0</v>
      </c>
      <c r="AF132" s="47">
        <f t="shared" si="53"/>
        <v>0</v>
      </c>
      <c r="AG132" s="47">
        <f>S132*Forutsetninger!$C$17</f>
        <v>0</v>
      </c>
      <c r="AH132" s="47">
        <f>AE132+O132+AF132+R132*Forutsetninger!$C$17-AG132</f>
        <v>0</v>
      </c>
      <c r="AI132" s="47">
        <f>AH132+P132*Forutsetninger!$B$5</f>
        <v>0</v>
      </c>
      <c r="AJ132" s="47">
        <f>T132*Forutsetninger!$C$23</f>
        <v>0</v>
      </c>
      <c r="AK132" s="47">
        <f t="shared" si="54"/>
        <v>0</v>
      </c>
      <c r="AL132" s="47">
        <f>AJ132+U132+AK132+X132*Forutsetninger!$C$17</f>
        <v>272</v>
      </c>
      <c r="AM132" s="26">
        <f>(T132-E132)*Forutsetninger!$C$23+X132*Forutsetninger!$C$17+U132+V132*Forutsetninger!$B$5</f>
        <v>324.21457600000002</v>
      </c>
      <c r="AN132" s="26">
        <f>(Y132*Forutsetninger!$C$23)+Z132+(AC132*Forutsetninger!$C$17)+(AA132*Forutsetninger!$B$5)</f>
        <v>0</v>
      </c>
    </row>
    <row r="133" spans="1:40" s="68" customFormat="1" ht="12.75" x14ac:dyDescent="0.2">
      <c r="A133" s="185">
        <v>2422014</v>
      </c>
      <c r="B133" s="212" t="s">
        <v>380</v>
      </c>
      <c r="C133" s="67">
        <v>2014</v>
      </c>
      <c r="D133" s="49">
        <f t="shared" si="44"/>
        <v>6877.8000030517578</v>
      </c>
      <c r="E133" s="245">
        <v>0</v>
      </c>
      <c r="F133" s="49">
        <f t="shared" si="45"/>
        <v>6877.8000030517578</v>
      </c>
      <c r="G133" s="49">
        <f t="shared" si="46"/>
        <v>2014</v>
      </c>
      <c r="H133" s="49">
        <f t="shared" si="47"/>
        <v>35744</v>
      </c>
      <c r="I133" s="49">
        <f t="shared" si="48"/>
        <v>36101.440000000002</v>
      </c>
      <c r="J133" s="47">
        <f t="shared" si="49"/>
        <v>1586</v>
      </c>
      <c r="K133" s="47">
        <f t="shared" si="50"/>
        <v>0</v>
      </c>
      <c r="L133" s="47">
        <f t="shared" si="51"/>
        <v>0</v>
      </c>
      <c r="M133" s="49">
        <f t="shared" si="52"/>
        <v>95</v>
      </c>
      <c r="N133" s="245">
        <v>6877.8000030517578</v>
      </c>
      <c r="O133" s="245">
        <v>2014</v>
      </c>
      <c r="P133" s="245">
        <v>36101.440000000002</v>
      </c>
      <c r="Q133" s="245">
        <v>1586</v>
      </c>
      <c r="R133" s="245">
        <v>95</v>
      </c>
      <c r="S133" s="245">
        <v>0</v>
      </c>
      <c r="T133" s="245">
        <v>0</v>
      </c>
      <c r="U133" s="245">
        <v>0</v>
      </c>
      <c r="V133" s="245">
        <v>0</v>
      </c>
      <c r="W133" s="245">
        <v>0</v>
      </c>
      <c r="X133" s="245">
        <v>0</v>
      </c>
      <c r="Y133" s="245">
        <v>0</v>
      </c>
      <c r="Z133" s="245">
        <v>0</v>
      </c>
      <c r="AA133" s="245">
        <v>0</v>
      </c>
      <c r="AB133" s="245"/>
      <c r="AC133" s="245">
        <v>0</v>
      </c>
      <c r="AD133" s="250">
        <v>247.85000085830688</v>
      </c>
      <c r="AE133" s="47">
        <f>N133*Forutsetninger!$C$23</f>
        <v>7235.6425807761689</v>
      </c>
      <c r="AF133" s="47">
        <f t="shared" si="53"/>
        <v>393.09010136127472</v>
      </c>
      <c r="AG133" s="47">
        <f>S133*Forutsetninger!$C$17</f>
        <v>0</v>
      </c>
      <c r="AH133" s="47">
        <f>AE133+O133+AF133+R133*Forutsetninger!$C$17-AG133</f>
        <v>9743.2147858627923</v>
      </c>
      <c r="AI133" s="47">
        <f>AH133+P133*Forutsetninger!$B$5</f>
        <v>12024.825793862792</v>
      </c>
      <c r="AJ133" s="47">
        <f>T133*Forutsetninger!$C$23</f>
        <v>0</v>
      </c>
      <c r="AK133" s="47">
        <f t="shared" si="54"/>
        <v>0</v>
      </c>
      <c r="AL133" s="47">
        <f>AJ133+U133+AK133+X133*Forutsetninger!$C$17</f>
        <v>0</v>
      </c>
      <c r="AM133" s="26">
        <f>(T133-E133)*Forutsetninger!$C$23+X133*Forutsetninger!$C$17+U133+V133*Forutsetninger!$B$5</f>
        <v>0</v>
      </c>
      <c r="AN133" s="26">
        <f>(Y133*Forutsetninger!$C$23)+Z133+(AC133*Forutsetninger!$C$17)+(AA133*Forutsetninger!$B$5)</f>
        <v>0</v>
      </c>
    </row>
    <row r="134" spans="1:40" s="68" customFormat="1" ht="12.75" x14ac:dyDescent="0.2">
      <c r="A134" s="185">
        <v>3062014</v>
      </c>
      <c r="B134" s="212" t="s">
        <v>243</v>
      </c>
      <c r="C134" s="67">
        <v>2014</v>
      </c>
      <c r="D134" s="49">
        <f t="shared" si="44"/>
        <v>29475.55029296875</v>
      </c>
      <c r="E134" s="245">
        <v>0</v>
      </c>
      <c r="F134" s="49">
        <f t="shared" si="45"/>
        <v>29475.55029296875</v>
      </c>
      <c r="G134" s="49">
        <f t="shared" si="46"/>
        <v>13557</v>
      </c>
      <c r="H134" s="49">
        <f t="shared" si="47"/>
        <v>206011</v>
      </c>
      <c r="I134" s="49">
        <f t="shared" si="48"/>
        <v>208071.11000000002</v>
      </c>
      <c r="J134" s="47">
        <f t="shared" si="49"/>
        <v>15030</v>
      </c>
      <c r="K134" s="47">
        <f t="shared" si="50"/>
        <v>0</v>
      </c>
      <c r="L134" s="47">
        <f t="shared" si="51"/>
        <v>0</v>
      </c>
      <c r="M134" s="49">
        <f t="shared" si="52"/>
        <v>1833</v>
      </c>
      <c r="N134" s="245">
        <v>29475.55029296875</v>
      </c>
      <c r="O134" s="245">
        <v>13557</v>
      </c>
      <c r="P134" s="245">
        <v>208071.11000000002</v>
      </c>
      <c r="Q134" s="245">
        <v>15030</v>
      </c>
      <c r="R134" s="245">
        <v>1833</v>
      </c>
      <c r="S134" s="245">
        <v>65.800003051757812</v>
      </c>
      <c r="T134" s="245">
        <v>0</v>
      </c>
      <c r="U134" s="245">
        <v>0</v>
      </c>
      <c r="V134" s="245">
        <v>0</v>
      </c>
      <c r="W134" s="245">
        <v>0</v>
      </c>
      <c r="X134" s="245">
        <v>0</v>
      </c>
      <c r="Y134" s="245">
        <v>0</v>
      </c>
      <c r="Z134" s="245">
        <v>0</v>
      </c>
      <c r="AA134" s="245">
        <v>0</v>
      </c>
      <c r="AB134" s="245"/>
      <c r="AC134" s="245">
        <v>0</v>
      </c>
      <c r="AD134" s="250">
        <v>259.70000028610229</v>
      </c>
      <c r="AE134" s="47">
        <f>N134*Forutsetninger!$C$23</f>
        <v>31009.123076707936</v>
      </c>
      <c r="AF134" s="47">
        <f t="shared" si="53"/>
        <v>3903.2910043001175</v>
      </c>
      <c r="AG134" s="47">
        <f>S134*Forutsetninger!$C$17</f>
        <v>69.597081387103955</v>
      </c>
      <c r="AH134" s="47">
        <f>AE134+O134+AF134+R134*Forutsetninger!$C$17-AG134</f>
        <v>50338.592748342649</v>
      </c>
      <c r="AI134" s="47">
        <f>AH134+P134*Forutsetninger!$B$5</f>
        <v>63488.686900342655</v>
      </c>
      <c r="AJ134" s="47">
        <f>T134*Forutsetninger!$C$23</f>
        <v>0</v>
      </c>
      <c r="AK134" s="47">
        <f t="shared" si="54"/>
        <v>0</v>
      </c>
      <c r="AL134" s="47">
        <f>AJ134+U134+AK134+X134*Forutsetninger!$C$17</f>
        <v>0</v>
      </c>
      <c r="AM134" s="26">
        <f>(T134-E134)*Forutsetninger!$C$23+X134*Forutsetninger!$C$17+U134+V134*Forutsetninger!$B$5</f>
        <v>0</v>
      </c>
      <c r="AN134" s="26">
        <f>(Y134*Forutsetninger!$C$23)+Z134+(AC134*Forutsetninger!$C$17)+(AA134*Forutsetninger!$B$5)</f>
        <v>0</v>
      </c>
    </row>
    <row r="135" spans="1:40" s="68" customFormat="1" ht="12.75" x14ac:dyDescent="0.2">
      <c r="A135" s="185">
        <v>2482014</v>
      </c>
      <c r="B135" s="212" t="s">
        <v>54</v>
      </c>
      <c r="C135" s="67">
        <v>2014</v>
      </c>
      <c r="D135" s="49">
        <f t="shared" si="44"/>
        <v>10956.077453613281</v>
      </c>
      <c r="E135" s="245">
        <v>0</v>
      </c>
      <c r="F135" s="49">
        <f t="shared" si="45"/>
        <v>10956.077453613281</v>
      </c>
      <c r="G135" s="49">
        <f t="shared" si="46"/>
        <v>2835</v>
      </c>
      <c r="H135" s="49">
        <f t="shared" si="47"/>
        <v>40366</v>
      </c>
      <c r="I135" s="49">
        <f t="shared" si="48"/>
        <v>40769.660000000003</v>
      </c>
      <c r="J135" s="47">
        <f t="shared" si="49"/>
        <v>2718</v>
      </c>
      <c r="K135" s="47">
        <f t="shared" si="50"/>
        <v>0</v>
      </c>
      <c r="L135" s="47">
        <f t="shared" si="51"/>
        <v>0</v>
      </c>
      <c r="M135" s="49">
        <f t="shared" si="52"/>
        <v>431</v>
      </c>
      <c r="N135" s="245">
        <v>10956.077453613281</v>
      </c>
      <c r="O135" s="245">
        <v>2835</v>
      </c>
      <c r="P135" s="245">
        <v>40769.660000000003</v>
      </c>
      <c r="Q135" s="245">
        <v>2718</v>
      </c>
      <c r="R135" s="245">
        <v>431</v>
      </c>
      <c r="S135" s="245">
        <v>0</v>
      </c>
      <c r="T135" s="245">
        <v>0</v>
      </c>
      <c r="U135" s="245">
        <v>0</v>
      </c>
      <c r="V135" s="245">
        <v>0</v>
      </c>
      <c r="W135" s="245">
        <v>0</v>
      </c>
      <c r="X135" s="245">
        <v>0</v>
      </c>
      <c r="Y135" s="245">
        <v>0</v>
      </c>
      <c r="Z135" s="245">
        <v>0</v>
      </c>
      <c r="AA135" s="245">
        <v>0</v>
      </c>
      <c r="AB135" s="245"/>
      <c r="AC135" s="245">
        <v>0</v>
      </c>
      <c r="AD135" s="250">
        <v>259.70000028610229</v>
      </c>
      <c r="AE135" s="47">
        <f>N135*Forutsetninger!$C$23</f>
        <v>11526.107259075738</v>
      </c>
      <c r="AF135" s="47">
        <f t="shared" si="53"/>
        <v>705.86460077762604</v>
      </c>
      <c r="AG135" s="47">
        <f>S135*Forutsetninger!$C$17</f>
        <v>0</v>
      </c>
      <c r="AH135" s="47">
        <f>AE135+O135+AF135+R135*Forutsetninger!$C$17-AG135</f>
        <v>15522.843298859938</v>
      </c>
      <c r="AI135" s="47">
        <f>AH135+P135*Forutsetninger!$B$5</f>
        <v>18099.485810859936</v>
      </c>
      <c r="AJ135" s="47">
        <f>T135*Forutsetninger!$C$23</f>
        <v>0</v>
      </c>
      <c r="AK135" s="47">
        <f t="shared" si="54"/>
        <v>0</v>
      </c>
      <c r="AL135" s="47">
        <f>AJ135+U135+AK135+X135*Forutsetninger!$C$17</f>
        <v>0</v>
      </c>
      <c r="AM135" s="26">
        <f>(T135-E135)*Forutsetninger!$C$23+X135*Forutsetninger!$C$17+U135+V135*Forutsetninger!$B$5</f>
        <v>0</v>
      </c>
      <c r="AN135" s="26">
        <f>(Y135*Forutsetninger!$C$23)+Z135+(AC135*Forutsetninger!$C$17)+(AA135*Forutsetninger!$B$5)</f>
        <v>0</v>
      </c>
    </row>
    <row r="136" spans="1:40" s="68" customFormat="1" ht="12.75" x14ac:dyDescent="0.2">
      <c r="A136" s="185">
        <v>2492014</v>
      </c>
      <c r="B136" s="212" t="s">
        <v>233</v>
      </c>
      <c r="C136" s="67">
        <v>2014</v>
      </c>
      <c r="D136" s="49">
        <f t="shared" si="44"/>
        <v>80537.79541015625</v>
      </c>
      <c r="E136" s="245">
        <v>242</v>
      </c>
      <c r="F136" s="49">
        <f t="shared" si="45"/>
        <v>80295.79541015625</v>
      </c>
      <c r="G136" s="49">
        <f t="shared" si="46"/>
        <v>28319</v>
      </c>
      <c r="H136" s="49">
        <f t="shared" si="47"/>
        <v>646282</v>
      </c>
      <c r="I136" s="49">
        <f t="shared" si="48"/>
        <v>652744.82000000007</v>
      </c>
      <c r="J136" s="47">
        <f t="shared" si="49"/>
        <v>36541</v>
      </c>
      <c r="K136" s="47">
        <f t="shared" si="50"/>
        <v>18933</v>
      </c>
      <c r="L136" s="47">
        <f t="shared" si="51"/>
        <v>0</v>
      </c>
      <c r="M136" s="49">
        <f t="shared" si="52"/>
        <v>7132</v>
      </c>
      <c r="N136" s="245">
        <v>67132.7841796875</v>
      </c>
      <c r="O136" s="245">
        <v>18141</v>
      </c>
      <c r="P136" s="245">
        <v>387824.85</v>
      </c>
      <c r="Q136" s="245">
        <v>36541</v>
      </c>
      <c r="R136" s="245">
        <v>4921</v>
      </c>
      <c r="S136" s="245">
        <v>0</v>
      </c>
      <c r="T136" s="245">
        <v>13405.01123046875</v>
      </c>
      <c r="U136" s="245">
        <v>10178</v>
      </c>
      <c r="V136" s="245">
        <v>264919.97000000003</v>
      </c>
      <c r="W136" s="245">
        <v>18933</v>
      </c>
      <c r="X136" s="245">
        <v>2211</v>
      </c>
      <c r="Y136" s="245">
        <v>0</v>
      </c>
      <c r="Z136" s="245">
        <v>0</v>
      </c>
      <c r="AA136" s="245">
        <v>0</v>
      </c>
      <c r="AB136" s="245"/>
      <c r="AC136" s="245">
        <v>0</v>
      </c>
      <c r="AD136" s="250">
        <v>244.45000290870667</v>
      </c>
      <c r="AE136" s="47">
        <f>N136*Forutsetninger!$C$23</f>
        <v>70625.611614334732</v>
      </c>
      <c r="AF136" s="47">
        <f t="shared" si="53"/>
        <v>8932.4475562870502</v>
      </c>
      <c r="AG136" s="47">
        <f>S136*Forutsetninger!$C$17</f>
        <v>0</v>
      </c>
      <c r="AH136" s="47">
        <f>AE136+O136+AF136+R136*Forutsetninger!$C$17-AG136</f>
        <v>102904.03214359476</v>
      </c>
      <c r="AI136" s="47">
        <f>AH136+P136*Forutsetninger!$B$5</f>
        <v>127414.56266359476</v>
      </c>
      <c r="AJ136" s="47">
        <f>T136*Forutsetninger!$C$23</f>
        <v>14102.455728855906</v>
      </c>
      <c r="AK136" s="47">
        <f t="shared" si="54"/>
        <v>4628.1719050705433</v>
      </c>
      <c r="AL136" s="47">
        <f>AJ136+U136+AK136+X136*Forutsetninger!$C$17</f>
        <v>31247.216384839528</v>
      </c>
      <c r="AM136" s="26">
        <f>(T136-E136)*Forutsetninger!$C$23+X136*Forutsetninger!$C$17+U136+V136*Forutsetninger!$B$5</f>
        <v>43107.395652981402</v>
      </c>
      <c r="AN136" s="26">
        <f>(Y136*Forutsetninger!$C$23)+Z136+(AC136*Forutsetninger!$C$17)+(AA136*Forutsetninger!$B$5)</f>
        <v>0</v>
      </c>
    </row>
    <row r="137" spans="1:40" s="68" customFormat="1" ht="12.75" x14ac:dyDescent="0.2">
      <c r="A137" s="185">
        <v>4642014</v>
      </c>
      <c r="B137" s="212" t="s">
        <v>120</v>
      </c>
      <c r="C137" s="67">
        <v>2014</v>
      </c>
      <c r="D137" s="49">
        <f t="shared" si="44"/>
        <v>51613.715148925781</v>
      </c>
      <c r="E137" s="245">
        <v>0</v>
      </c>
      <c r="F137" s="49">
        <f t="shared" si="45"/>
        <v>51613.715148925781</v>
      </c>
      <c r="G137" s="49">
        <f t="shared" si="46"/>
        <v>15584</v>
      </c>
      <c r="H137" s="49">
        <f t="shared" si="47"/>
        <v>215867</v>
      </c>
      <c r="I137" s="49">
        <f t="shared" si="48"/>
        <v>218025.67</v>
      </c>
      <c r="J137" s="47">
        <f t="shared" si="49"/>
        <v>13550</v>
      </c>
      <c r="K137" s="47">
        <f t="shared" si="50"/>
        <v>9001</v>
      </c>
      <c r="L137" s="47">
        <f t="shared" si="51"/>
        <v>0</v>
      </c>
      <c r="M137" s="49">
        <f t="shared" si="52"/>
        <v>5748</v>
      </c>
      <c r="N137" s="245">
        <v>40607.96484375</v>
      </c>
      <c r="O137" s="245">
        <v>14051</v>
      </c>
      <c r="P137" s="245">
        <v>164094.70000000001</v>
      </c>
      <c r="Q137" s="245">
        <v>13550</v>
      </c>
      <c r="R137" s="245">
        <v>4063</v>
      </c>
      <c r="S137" s="245">
        <v>0</v>
      </c>
      <c r="T137" s="245">
        <v>11005.750305175781</v>
      </c>
      <c r="U137" s="245">
        <v>1533</v>
      </c>
      <c r="V137" s="245">
        <v>53930.97</v>
      </c>
      <c r="W137" s="245">
        <v>9001</v>
      </c>
      <c r="X137" s="245">
        <v>1685</v>
      </c>
      <c r="Y137" s="245">
        <v>0</v>
      </c>
      <c r="Z137" s="245">
        <v>0</v>
      </c>
      <c r="AA137" s="245">
        <v>0</v>
      </c>
      <c r="AB137" s="245"/>
      <c r="AC137" s="245">
        <v>0</v>
      </c>
      <c r="AD137" s="250">
        <v>244.45000290870667</v>
      </c>
      <c r="AE137" s="47">
        <f>N137*Forutsetninger!$C$23</f>
        <v>42720.742012231502</v>
      </c>
      <c r="AF137" s="47">
        <f t="shared" si="53"/>
        <v>3312.2975394129753</v>
      </c>
      <c r="AG137" s="47">
        <f>S137*Forutsetninger!$C$17</f>
        <v>0</v>
      </c>
      <c r="AH137" s="47">
        <f>AE137+O137+AF137+R137*Forutsetninger!$C$17-AG137</f>
        <v>64381.500472024316</v>
      </c>
      <c r="AI137" s="47">
        <f>AH137+P137*Forutsetninger!$B$5</f>
        <v>74752.285512024318</v>
      </c>
      <c r="AJ137" s="47">
        <f>T137*Forutsetninger!$C$23</f>
        <v>11578.364521530988</v>
      </c>
      <c r="AK137" s="47">
        <f t="shared" si="54"/>
        <v>2200.2944761812687</v>
      </c>
      <c r="AL137" s="47">
        <f>AJ137+U137+AK137+X137*Forutsetninger!$C$17</f>
        <v>17093.894205893412</v>
      </c>
      <c r="AM137" s="26">
        <f>(T137-E137)*Forutsetninger!$C$23+X137*Forutsetninger!$C$17+U137+V137*Forutsetninger!$B$5</f>
        <v>18302.037033712142</v>
      </c>
      <c r="AN137" s="26">
        <f>(Y137*Forutsetninger!$C$23)+Z137+(AC137*Forutsetninger!$C$17)+(AA137*Forutsetninger!$B$5)</f>
        <v>0</v>
      </c>
    </row>
    <row r="138" spans="1:40" s="68" customFormat="1" ht="12.75" x14ac:dyDescent="0.2">
      <c r="A138" s="185">
        <v>2512014</v>
      </c>
      <c r="B138" s="212" t="s">
        <v>234</v>
      </c>
      <c r="C138" s="67">
        <v>2014</v>
      </c>
      <c r="D138" s="49">
        <f t="shared" si="44"/>
        <v>52545.549499511719</v>
      </c>
      <c r="E138" s="245">
        <v>0</v>
      </c>
      <c r="F138" s="49">
        <f t="shared" si="45"/>
        <v>52545.549499511719</v>
      </c>
      <c r="G138" s="49">
        <f t="shared" si="46"/>
        <v>18712</v>
      </c>
      <c r="H138" s="49">
        <f t="shared" si="47"/>
        <v>322246</v>
      </c>
      <c r="I138" s="49">
        <f t="shared" si="48"/>
        <v>325468.46000000002</v>
      </c>
      <c r="J138" s="47">
        <f t="shared" si="49"/>
        <v>14055</v>
      </c>
      <c r="K138" s="47">
        <f t="shared" si="50"/>
        <v>21068</v>
      </c>
      <c r="L138" s="47">
        <f t="shared" si="51"/>
        <v>0</v>
      </c>
      <c r="M138" s="49">
        <f t="shared" si="52"/>
        <v>7927</v>
      </c>
      <c r="N138" s="245">
        <v>47128.21142578125</v>
      </c>
      <c r="O138" s="245">
        <v>14721</v>
      </c>
      <c r="P138" s="245">
        <v>257166.2</v>
      </c>
      <c r="Q138" s="245">
        <v>14055</v>
      </c>
      <c r="R138" s="245">
        <v>7820</v>
      </c>
      <c r="S138" s="245">
        <v>0</v>
      </c>
      <c r="T138" s="245">
        <v>5417.3380737304687</v>
      </c>
      <c r="U138" s="245">
        <v>3991</v>
      </c>
      <c r="V138" s="245">
        <v>68302.259999999995</v>
      </c>
      <c r="W138" s="245">
        <v>21068</v>
      </c>
      <c r="X138" s="245">
        <v>107</v>
      </c>
      <c r="Y138" s="245">
        <v>0</v>
      </c>
      <c r="Z138" s="245">
        <v>0</v>
      </c>
      <c r="AA138" s="245">
        <v>0</v>
      </c>
      <c r="AB138" s="245"/>
      <c r="AC138" s="245">
        <v>0</v>
      </c>
      <c r="AD138" s="250">
        <v>247.85000085830688</v>
      </c>
      <c r="AE138" s="47">
        <f>N138*Forutsetninger!$C$23</f>
        <v>49580.228153900658</v>
      </c>
      <c r="AF138" s="47">
        <f t="shared" si="53"/>
        <v>3483.5317620635033</v>
      </c>
      <c r="AG138" s="47">
        <f>S138*Forutsetninger!$C$17</f>
        <v>0</v>
      </c>
      <c r="AH138" s="47">
        <f>AE138+O138+AF138+R138*Forutsetninger!$C$17-AG138</f>
        <v>76056.023612092715</v>
      </c>
      <c r="AI138" s="47">
        <f>AH138+P138*Forutsetninger!$B$5</f>
        <v>92308.927452092714</v>
      </c>
      <c r="AJ138" s="47">
        <f>T138*Forutsetninger!$C$23</f>
        <v>5699.194804058211</v>
      </c>
      <c r="AK138" s="47">
        <f t="shared" si="54"/>
        <v>5221.7038180828094</v>
      </c>
      <c r="AL138" s="47">
        <f>AJ138+U138+AK138+X138*Forutsetninger!$C$17</f>
        <v>15025.07320212641</v>
      </c>
      <c r="AM138" s="26">
        <f>(T138-E138)*Forutsetninger!$C$23+X138*Forutsetninger!$C$17+U138+V138*Forutsetninger!$B$5</f>
        <v>14120.072216043602</v>
      </c>
      <c r="AN138" s="26">
        <f>(Y138*Forutsetninger!$C$23)+Z138+(AC138*Forutsetninger!$C$17)+(AA138*Forutsetninger!$B$5)</f>
        <v>0</v>
      </c>
    </row>
    <row r="139" spans="1:40" s="68" customFormat="1" ht="12.75" x14ac:dyDescent="0.2">
      <c r="A139" s="185">
        <v>3072014</v>
      </c>
      <c r="B139" s="212" t="s">
        <v>113</v>
      </c>
      <c r="C139" s="67">
        <v>2014</v>
      </c>
      <c r="D139" s="49">
        <f t="shared" si="44"/>
        <v>366</v>
      </c>
      <c r="E139" s="245">
        <v>0</v>
      </c>
      <c r="F139" s="49">
        <f t="shared" si="45"/>
        <v>366</v>
      </c>
      <c r="G139" s="49">
        <f t="shared" si="46"/>
        <v>73</v>
      </c>
      <c r="H139" s="49">
        <f t="shared" si="47"/>
        <v>1031</v>
      </c>
      <c r="I139" s="49">
        <f t="shared" si="48"/>
        <v>1041.31</v>
      </c>
      <c r="J139" s="47">
        <f t="shared" si="49"/>
        <v>0</v>
      </c>
      <c r="K139" s="47">
        <f t="shared" si="50"/>
        <v>0</v>
      </c>
      <c r="L139" s="47">
        <f t="shared" si="51"/>
        <v>0</v>
      </c>
      <c r="M139" s="49">
        <f t="shared" si="52"/>
        <v>0</v>
      </c>
      <c r="N139" s="245">
        <v>0</v>
      </c>
      <c r="O139" s="245">
        <v>0</v>
      </c>
      <c r="P139" s="245">
        <v>0</v>
      </c>
      <c r="Q139" s="245">
        <v>0</v>
      </c>
      <c r="R139" s="245">
        <v>0</v>
      </c>
      <c r="S139" s="245">
        <v>0</v>
      </c>
      <c r="T139" s="245">
        <v>366</v>
      </c>
      <c r="U139" s="245">
        <v>73</v>
      </c>
      <c r="V139" s="245">
        <v>1041.31</v>
      </c>
      <c r="W139" s="245">
        <v>0</v>
      </c>
      <c r="X139" s="245">
        <v>0</v>
      </c>
      <c r="Y139" s="245">
        <v>0</v>
      </c>
      <c r="Z139" s="245">
        <v>0</v>
      </c>
      <c r="AA139" s="245">
        <v>0</v>
      </c>
      <c r="AB139" s="245"/>
      <c r="AC139" s="245">
        <v>0</v>
      </c>
      <c r="AD139" s="250">
        <v>259.70000028610229</v>
      </c>
      <c r="AE139" s="47">
        <f>N139*Forutsetninger!$C$23</f>
        <v>0</v>
      </c>
      <c r="AF139" s="47">
        <f t="shared" si="53"/>
        <v>0</v>
      </c>
      <c r="AG139" s="47">
        <f>S139*Forutsetninger!$C$17</f>
        <v>0</v>
      </c>
      <c r="AH139" s="47">
        <f>AE139+O139+AF139+R139*Forutsetninger!$C$17-AG139</f>
        <v>0</v>
      </c>
      <c r="AI139" s="47">
        <f>AH139+P139*Forutsetninger!$B$5</f>
        <v>0</v>
      </c>
      <c r="AJ139" s="47">
        <f>T139*Forutsetninger!$C$23</f>
        <v>385.04248210023866</v>
      </c>
      <c r="AK139" s="47">
        <f t="shared" si="54"/>
        <v>0</v>
      </c>
      <c r="AL139" s="47">
        <f>AJ139+U139+AK139+X139*Forutsetninger!$C$17</f>
        <v>458.04248210023866</v>
      </c>
      <c r="AM139" s="26">
        <f>(T139-E139)*Forutsetninger!$C$23+X139*Forutsetninger!$C$17+U139+V139*Forutsetninger!$B$5</f>
        <v>523.85327410023865</v>
      </c>
      <c r="AN139" s="26">
        <f>(Y139*Forutsetninger!$C$23)+Z139+(AC139*Forutsetninger!$C$17)+(AA139*Forutsetninger!$B$5)</f>
        <v>0</v>
      </c>
    </row>
    <row r="140" spans="1:40" s="68" customFormat="1" ht="12.75" x14ac:dyDescent="0.2">
      <c r="A140" s="185">
        <v>5422014</v>
      </c>
      <c r="B140" s="212" t="s">
        <v>12</v>
      </c>
      <c r="C140" s="67">
        <v>2014</v>
      </c>
      <c r="D140" s="49">
        <f t="shared" si="44"/>
        <v>35509.355495929718</v>
      </c>
      <c r="E140" s="245">
        <v>0</v>
      </c>
      <c r="F140" s="49">
        <f t="shared" si="45"/>
        <v>35509.355495929718</v>
      </c>
      <c r="G140" s="49">
        <f t="shared" si="46"/>
        <v>13513</v>
      </c>
      <c r="H140" s="49">
        <f t="shared" si="47"/>
        <v>206714</v>
      </c>
      <c r="I140" s="49">
        <f t="shared" si="48"/>
        <v>208781.14</v>
      </c>
      <c r="J140" s="47">
        <f t="shared" si="49"/>
        <v>14753</v>
      </c>
      <c r="K140" s="47">
        <f t="shared" si="50"/>
        <v>0</v>
      </c>
      <c r="L140" s="47">
        <f t="shared" si="51"/>
        <v>0</v>
      </c>
      <c r="M140" s="49">
        <f t="shared" si="52"/>
        <v>5144</v>
      </c>
      <c r="N140" s="245">
        <v>35145.947265625</v>
      </c>
      <c r="O140" s="245">
        <v>13412</v>
      </c>
      <c r="P140" s="245">
        <v>207963.04</v>
      </c>
      <c r="Q140" s="245">
        <v>14753</v>
      </c>
      <c r="R140" s="245">
        <v>5144</v>
      </c>
      <c r="S140" s="245">
        <v>921.30999755859375</v>
      </c>
      <c r="T140" s="245">
        <v>363.40823030471802</v>
      </c>
      <c r="U140" s="245">
        <v>101</v>
      </c>
      <c r="V140" s="245">
        <v>818.1</v>
      </c>
      <c r="W140" s="245">
        <v>0</v>
      </c>
      <c r="X140" s="245">
        <v>0</v>
      </c>
      <c r="Y140" s="245">
        <v>0</v>
      </c>
      <c r="Z140" s="245">
        <v>0</v>
      </c>
      <c r="AA140" s="245">
        <v>0</v>
      </c>
      <c r="AB140" s="245"/>
      <c r="AC140" s="245">
        <v>0</v>
      </c>
      <c r="AD140" s="250">
        <v>259.70000028610229</v>
      </c>
      <c r="AE140" s="47">
        <f>N140*Forutsetninger!$C$23</f>
        <v>36974.543089946303</v>
      </c>
      <c r="AF140" s="47">
        <f t="shared" si="53"/>
        <v>3831.3541042208672</v>
      </c>
      <c r="AG140" s="47">
        <f>S140*Forutsetninger!$C$17</f>
        <v>974.47543934612395</v>
      </c>
      <c r="AH140" s="47">
        <f>AE140+O140+AF140+R140*Forutsetninger!$C$17-AG140</f>
        <v>58684.263244959831</v>
      </c>
      <c r="AI140" s="47">
        <f>AH140+P140*Forutsetninger!$B$5</f>
        <v>71827.527372959827</v>
      </c>
      <c r="AJ140" s="47">
        <f>T140*Forutsetninger!$C$23</f>
        <v>382.31586615350761</v>
      </c>
      <c r="AK140" s="47">
        <f t="shared" si="54"/>
        <v>0</v>
      </c>
      <c r="AL140" s="47">
        <f>AJ140+U140+AK140+X140*Forutsetninger!$C$17</f>
        <v>483.31586615350761</v>
      </c>
      <c r="AM140" s="26">
        <f>(T140-E140)*Forutsetninger!$C$23+X140*Forutsetninger!$C$17+U140+V140*Forutsetninger!$B$5</f>
        <v>535.01978615350765</v>
      </c>
      <c r="AN140" s="26">
        <f>(Y140*Forutsetninger!$C$23)+Z140+(AC140*Forutsetninger!$C$17)+(AA140*Forutsetninger!$B$5)</f>
        <v>0</v>
      </c>
    </row>
    <row r="141" spans="1:40" s="68" customFormat="1" ht="12.75" x14ac:dyDescent="0.2">
      <c r="A141" s="185">
        <v>6252014</v>
      </c>
      <c r="B141" s="212" t="s">
        <v>130</v>
      </c>
      <c r="C141" s="67">
        <v>2014</v>
      </c>
      <c r="D141" s="49">
        <f t="shared" si="44"/>
        <v>39083.826354980469</v>
      </c>
      <c r="E141" s="245">
        <v>0</v>
      </c>
      <c r="F141" s="49">
        <f t="shared" si="45"/>
        <v>39083.826354980469</v>
      </c>
      <c r="G141" s="49">
        <f t="shared" si="46"/>
        <v>15039</v>
      </c>
      <c r="H141" s="47">
        <f t="shared" si="47"/>
        <v>255235</v>
      </c>
      <c r="I141" s="49">
        <f t="shared" si="48"/>
        <v>257787.35</v>
      </c>
      <c r="J141" s="47">
        <f t="shared" si="49"/>
        <v>14711</v>
      </c>
      <c r="K141" s="47">
        <f t="shared" si="50"/>
        <v>4799</v>
      </c>
      <c r="L141" s="47">
        <f t="shared" si="51"/>
        <v>0</v>
      </c>
      <c r="M141" s="49">
        <f t="shared" si="52"/>
        <v>2860</v>
      </c>
      <c r="N141" s="245">
        <v>36692.595947265625</v>
      </c>
      <c r="O141" s="245">
        <v>13229</v>
      </c>
      <c r="P141" s="245">
        <v>197910.51</v>
      </c>
      <c r="Q141" s="245">
        <v>14711</v>
      </c>
      <c r="R141" s="245">
        <v>2860</v>
      </c>
      <c r="S141" s="245">
        <v>0</v>
      </c>
      <c r="T141" s="245">
        <v>2391.2304077148437</v>
      </c>
      <c r="U141" s="245">
        <v>1810</v>
      </c>
      <c r="V141" s="245">
        <v>59876.840000000004</v>
      </c>
      <c r="W141" s="245">
        <v>4799</v>
      </c>
      <c r="X141" s="245">
        <v>0</v>
      </c>
      <c r="Y141" s="245">
        <v>0</v>
      </c>
      <c r="Z141" s="245">
        <v>0</v>
      </c>
      <c r="AA141" s="245">
        <v>0</v>
      </c>
      <c r="AB141" s="245"/>
      <c r="AC141" s="245">
        <v>0</v>
      </c>
      <c r="AD141" s="250">
        <v>246.69000506401062</v>
      </c>
      <c r="AE141" s="47">
        <f>N141*Forutsetninger!$C$23</f>
        <v>38601.661798459878</v>
      </c>
      <c r="AF141" s="47">
        <f t="shared" si="53"/>
        <v>3629.0566644966602</v>
      </c>
      <c r="AG141" s="47">
        <f>S141*Forutsetninger!$C$17</f>
        <v>0</v>
      </c>
      <c r="AH141" s="47">
        <f>AE141+O141+AF141+R141*Forutsetninger!$C$17-AG141</f>
        <v>58484.758638266983</v>
      </c>
      <c r="AI141" s="47">
        <f>AH141+P141*Forutsetninger!$B$5</f>
        <v>70992.702870266978</v>
      </c>
      <c r="AJ141" s="47">
        <f>T141*Forutsetninger!$C$23</f>
        <v>2515.6428728417736</v>
      </c>
      <c r="AK141" s="47">
        <f t="shared" si="54"/>
        <v>1183.865334302187</v>
      </c>
      <c r="AL141" s="47">
        <f>AJ141+U141+AK141+X141*Forutsetninger!$C$17</f>
        <v>5509.508207143961</v>
      </c>
      <c r="AM141" s="26">
        <f>(T141-E141)*Forutsetninger!$C$23+X141*Forutsetninger!$C$17+U141+V141*Forutsetninger!$B$5</f>
        <v>8109.8591608417746</v>
      </c>
      <c r="AN141" s="26">
        <f>(Y141*Forutsetninger!$C$23)+Z141+(AC141*Forutsetninger!$C$17)+(AA141*Forutsetninger!$B$5)</f>
        <v>0</v>
      </c>
    </row>
    <row r="142" spans="1:40" s="68" customFormat="1" ht="12.75" x14ac:dyDescent="0.2">
      <c r="A142" s="185">
        <v>6862014</v>
      </c>
      <c r="B142" s="212" t="s">
        <v>64</v>
      </c>
      <c r="C142" s="67">
        <v>2014</v>
      </c>
      <c r="D142" s="49">
        <f t="shared" si="44"/>
        <v>14394.782958984375</v>
      </c>
      <c r="E142" s="245">
        <v>0</v>
      </c>
      <c r="F142" s="49">
        <f t="shared" si="45"/>
        <v>14394.782958984375</v>
      </c>
      <c r="G142" s="49">
        <f t="shared" si="46"/>
        <v>1114</v>
      </c>
      <c r="H142" s="49">
        <f t="shared" si="47"/>
        <v>20006</v>
      </c>
      <c r="I142" s="49">
        <f t="shared" si="48"/>
        <v>20206.060000000001</v>
      </c>
      <c r="J142" s="47">
        <f t="shared" si="49"/>
        <v>3365</v>
      </c>
      <c r="K142" s="47">
        <f t="shared" si="50"/>
        <v>0</v>
      </c>
      <c r="L142" s="47">
        <f t="shared" si="51"/>
        <v>0</v>
      </c>
      <c r="M142" s="49">
        <f t="shared" si="52"/>
        <v>0</v>
      </c>
      <c r="N142" s="245">
        <v>11826.782958984375</v>
      </c>
      <c r="O142" s="245">
        <v>1067</v>
      </c>
      <c r="P142" s="245">
        <v>19985.88</v>
      </c>
      <c r="Q142" s="245">
        <v>3365</v>
      </c>
      <c r="R142" s="245">
        <v>0</v>
      </c>
      <c r="S142" s="245">
        <v>0</v>
      </c>
      <c r="T142" s="245">
        <v>2568</v>
      </c>
      <c r="U142" s="245">
        <v>47</v>
      </c>
      <c r="V142" s="245">
        <v>220.18</v>
      </c>
      <c r="W142" s="245">
        <v>0</v>
      </c>
      <c r="X142" s="245">
        <v>0</v>
      </c>
      <c r="Y142" s="245">
        <v>0</v>
      </c>
      <c r="Z142" s="245">
        <v>0</v>
      </c>
      <c r="AA142" s="245">
        <v>0</v>
      </c>
      <c r="AB142" s="245"/>
      <c r="AC142" s="245">
        <v>0</v>
      </c>
      <c r="AD142" s="250">
        <v>244.45000290870667</v>
      </c>
      <c r="AE142" s="47">
        <f>N142*Forutsetninger!$C$23</f>
        <v>12442.114387399313</v>
      </c>
      <c r="AF142" s="47">
        <f t="shared" si="53"/>
        <v>822.57425978779793</v>
      </c>
      <c r="AG142" s="47">
        <f>S142*Forutsetninger!$C$17</f>
        <v>0</v>
      </c>
      <c r="AH142" s="47">
        <f>AE142+O142+AF142+R142*Forutsetninger!$C$17-AG142</f>
        <v>14331.688647187111</v>
      </c>
      <c r="AI142" s="47">
        <f>AH142+P142*Forutsetninger!$B$5</f>
        <v>15594.796263187112</v>
      </c>
      <c r="AJ142" s="47">
        <f>T142*Forutsetninger!$C$23</f>
        <v>2701.6095465393796</v>
      </c>
      <c r="AK142" s="47">
        <f t="shared" si="54"/>
        <v>0</v>
      </c>
      <c r="AL142" s="47">
        <f>AJ142+U142+AK142+X142*Forutsetninger!$C$17</f>
        <v>2748.6095465393796</v>
      </c>
      <c r="AM142" s="26">
        <f>(T142-E142)*Forutsetninger!$C$23+X142*Forutsetninger!$C$17+U142+V142*Forutsetninger!$B$5</f>
        <v>2762.5249225393795</v>
      </c>
      <c r="AN142" s="26">
        <f>(Y142*Forutsetninger!$C$23)+Z142+(AC142*Forutsetninger!$C$17)+(AA142*Forutsetninger!$B$5)</f>
        <v>0</v>
      </c>
    </row>
    <row r="143" spans="1:40" s="68" customFormat="1" ht="12.75" x14ac:dyDescent="0.2">
      <c r="A143" s="185">
        <v>1332014</v>
      </c>
      <c r="B143" s="212" t="s">
        <v>83</v>
      </c>
      <c r="C143" s="67">
        <v>2014</v>
      </c>
      <c r="D143" s="49">
        <f t="shared" si="44"/>
        <v>42576.768692016602</v>
      </c>
      <c r="E143" s="245">
        <v>0</v>
      </c>
      <c r="F143" s="49">
        <f t="shared" si="45"/>
        <v>42576.768692016602</v>
      </c>
      <c r="G143" s="49">
        <f t="shared" si="46"/>
        <v>17931</v>
      </c>
      <c r="H143" s="49">
        <f t="shared" si="47"/>
        <v>212281</v>
      </c>
      <c r="I143" s="49">
        <f t="shared" si="48"/>
        <v>214403.81</v>
      </c>
      <c r="J143" s="49">
        <f t="shared" si="49"/>
        <v>14141</v>
      </c>
      <c r="K143" s="49">
        <f t="shared" si="50"/>
        <v>6977</v>
      </c>
      <c r="L143" s="47">
        <f t="shared" si="51"/>
        <v>0</v>
      </c>
      <c r="M143" s="49">
        <f t="shared" si="52"/>
        <v>4257</v>
      </c>
      <c r="N143" s="245">
        <v>38193.265380859375</v>
      </c>
      <c r="O143" s="245">
        <v>12280</v>
      </c>
      <c r="P143" s="245">
        <v>143132.15</v>
      </c>
      <c r="Q143" s="245">
        <v>14141</v>
      </c>
      <c r="R143" s="245">
        <v>1993</v>
      </c>
      <c r="S143" s="245">
        <v>0</v>
      </c>
      <c r="T143" s="245">
        <v>4383.5033111572266</v>
      </c>
      <c r="U143" s="245">
        <v>5651</v>
      </c>
      <c r="V143" s="245">
        <v>71271.66</v>
      </c>
      <c r="W143" s="245">
        <v>6977</v>
      </c>
      <c r="X143" s="245">
        <v>2264</v>
      </c>
      <c r="Y143" s="245">
        <v>0</v>
      </c>
      <c r="Z143" s="245">
        <v>0</v>
      </c>
      <c r="AA143" s="245">
        <v>0</v>
      </c>
      <c r="AB143" s="245"/>
      <c r="AC143" s="245">
        <v>0</v>
      </c>
      <c r="AD143" s="250">
        <v>244.45000290870667</v>
      </c>
      <c r="AE143" s="47">
        <f>N143*Forutsetninger!$C$23</f>
        <v>40180.40902120003</v>
      </c>
      <c r="AF143" s="49">
        <f t="shared" si="53"/>
        <v>3456.767491132021</v>
      </c>
      <c r="AG143" s="47">
        <f>S143*Forutsetninger!$C$17</f>
        <v>0</v>
      </c>
      <c r="AH143" s="47">
        <f>AE143+O143+AF143+R143*Forutsetninger!$C$17-AG143</f>
        <v>58025.185277854333</v>
      </c>
      <c r="AI143" s="49">
        <f>AH143+P143*Forutsetninger!$B$5</f>
        <v>67071.137157854333</v>
      </c>
      <c r="AJ143" s="47">
        <f>T143*Forutsetninger!$C$23</f>
        <v>4611.5710251983428</v>
      </c>
      <c r="AK143" s="49">
        <f t="shared" si="54"/>
        <v>1705.5276702940464</v>
      </c>
      <c r="AL143" s="47">
        <f>AJ143+U143+AK143+X143*Forutsetninger!$C$17</f>
        <v>14362.745883220659</v>
      </c>
      <c r="AM143" s="26">
        <f>(T143-E143)*Forutsetninger!$C$23+X143*Forutsetninger!$C$17+U143+V143*Forutsetninger!$B$5</f>
        <v>17161.587124926613</v>
      </c>
      <c r="AN143" s="26">
        <f>(Y143*Forutsetninger!$C$23)+Z143+(AC143*Forutsetninger!$C$17)+(AA143*Forutsetninger!$B$5)</f>
        <v>0</v>
      </c>
    </row>
    <row r="144" spans="1:40" s="68" customFormat="1" ht="12.75" x14ac:dyDescent="0.2">
      <c r="A144" s="185">
        <v>2622014</v>
      </c>
      <c r="B144" s="212" t="s">
        <v>235</v>
      </c>
      <c r="C144" s="67">
        <v>2014</v>
      </c>
      <c r="D144" s="49">
        <f t="shared" si="44"/>
        <v>9618.142822265625</v>
      </c>
      <c r="E144" s="245">
        <v>0</v>
      </c>
      <c r="F144" s="49">
        <f t="shared" si="45"/>
        <v>9618.142822265625</v>
      </c>
      <c r="G144" s="49">
        <f t="shared" si="46"/>
        <v>4157</v>
      </c>
      <c r="H144" s="49">
        <f t="shared" si="47"/>
        <v>64060</v>
      </c>
      <c r="I144" s="49">
        <f t="shared" si="48"/>
        <v>64700.6</v>
      </c>
      <c r="J144" s="47">
        <f t="shared" si="49"/>
        <v>6293</v>
      </c>
      <c r="K144" s="47">
        <f t="shared" si="50"/>
        <v>0</v>
      </c>
      <c r="L144" s="47">
        <f t="shared" si="51"/>
        <v>0</v>
      </c>
      <c r="M144" s="49">
        <f t="shared" si="52"/>
        <v>1385</v>
      </c>
      <c r="N144" s="245">
        <v>9618.142822265625</v>
      </c>
      <c r="O144" s="245">
        <v>4157</v>
      </c>
      <c r="P144" s="245">
        <v>64700.6</v>
      </c>
      <c r="Q144" s="245">
        <v>6293</v>
      </c>
      <c r="R144" s="245">
        <v>1385</v>
      </c>
      <c r="S144" s="245">
        <v>0</v>
      </c>
      <c r="T144" s="245">
        <v>0</v>
      </c>
      <c r="U144" s="245">
        <v>0</v>
      </c>
      <c r="V144" s="245">
        <v>0</v>
      </c>
      <c r="W144" s="245">
        <v>0</v>
      </c>
      <c r="X144" s="245">
        <v>0</v>
      </c>
      <c r="Y144" s="245">
        <v>0</v>
      </c>
      <c r="Z144" s="245">
        <v>0</v>
      </c>
      <c r="AA144" s="245">
        <v>0</v>
      </c>
      <c r="AB144" s="245"/>
      <c r="AC144" s="245">
        <v>0</v>
      </c>
      <c r="AD144" s="250">
        <v>276.60000324249268</v>
      </c>
      <c r="AE144" s="47">
        <f>N144*Forutsetninger!$C$23</f>
        <v>10118.561708961068</v>
      </c>
      <c r="AF144" s="47">
        <f t="shared" si="53"/>
        <v>1740.6438204050064</v>
      </c>
      <c r="AG144" s="47">
        <f>S144*Forutsetninger!$C$17</f>
        <v>0</v>
      </c>
      <c r="AH144" s="47">
        <f>AE144+O144+AF144+R144*Forutsetninger!$C$17-AG144</f>
        <v>17481.128831046131</v>
      </c>
      <c r="AI144" s="47">
        <f>AH144+P144*Forutsetninger!$B$5</f>
        <v>21570.206751046131</v>
      </c>
      <c r="AJ144" s="47">
        <f>T144*Forutsetninger!$C$23</f>
        <v>0</v>
      </c>
      <c r="AK144" s="47">
        <f t="shared" si="54"/>
        <v>0</v>
      </c>
      <c r="AL144" s="47">
        <f>AJ144+U144+AK144+X144*Forutsetninger!$C$17</f>
        <v>0</v>
      </c>
      <c r="AM144" s="26">
        <f>(T144-E144)*Forutsetninger!$C$23+X144*Forutsetninger!$C$17+U144+V144*Forutsetninger!$B$5</f>
        <v>0</v>
      </c>
      <c r="AN144" s="26">
        <f>(Y144*Forutsetninger!$C$23)+Z144+(AC144*Forutsetninger!$C$17)+(AA144*Forutsetninger!$B$5)</f>
        <v>0</v>
      </c>
    </row>
    <row r="145" spans="1:40" s="68" customFormat="1" ht="12.75" x14ac:dyDescent="0.2">
      <c r="A145" s="185">
        <v>2642014</v>
      </c>
      <c r="B145" s="212" t="s">
        <v>236</v>
      </c>
      <c r="C145" s="67">
        <v>2014</v>
      </c>
      <c r="D145" s="49">
        <f t="shared" si="44"/>
        <v>18706.002197265625</v>
      </c>
      <c r="E145" s="245">
        <v>0</v>
      </c>
      <c r="F145" s="49">
        <f t="shared" si="45"/>
        <v>18706.002197265625</v>
      </c>
      <c r="G145" s="49">
        <f t="shared" si="46"/>
        <v>12891</v>
      </c>
      <c r="H145" s="49">
        <f t="shared" si="47"/>
        <v>136764</v>
      </c>
      <c r="I145" s="49">
        <f t="shared" si="48"/>
        <v>138131.64000000001</v>
      </c>
      <c r="J145" s="47">
        <f t="shared" si="49"/>
        <v>14076</v>
      </c>
      <c r="K145" s="47">
        <f t="shared" si="50"/>
        <v>0</v>
      </c>
      <c r="L145" s="47">
        <f t="shared" si="51"/>
        <v>0</v>
      </c>
      <c r="M145" s="49">
        <f t="shared" si="52"/>
        <v>576</v>
      </c>
      <c r="N145" s="245">
        <v>18706.002197265625</v>
      </c>
      <c r="O145" s="245">
        <v>12891</v>
      </c>
      <c r="P145" s="245">
        <v>138131.64000000001</v>
      </c>
      <c r="Q145" s="245">
        <v>14076</v>
      </c>
      <c r="R145" s="245">
        <v>576</v>
      </c>
      <c r="S145" s="245">
        <v>0</v>
      </c>
      <c r="T145" s="245">
        <v>0</v>
      </c>
      <c r="U145" s="245">
        <v>0</v>
      </c>
      <c r="V145" s="245">
        <v>0</v>
      </c>
      <c r="W145" s="245">
        <v>0</v>
      </c>
      <c r="X145" s="245">
        <v>0</v>
      </c>
      <c r="Y145" s="245">
        <v>0</v>
      </c>
      <c r="Z145" s="245">
        <v>0</v>
      </c>
      <c r="AA145" s="245">
        <v>0</v>
      </c>
      <c r="AB145" s="245"/>
      <c r="AC145" s="245">
        <v>0</v>
      </c>
      <c r="AD145" s="250">
        <v>259.70000028610229</v>
      </c>
      <c r="AE145" s="47">
        <f>N145*Forutsetninger!$C$23</f>
        <v>19679.250044283264</v>
      </c>
      <c r="AF145" s="47">
        <f t="shared" si="53"/>
        <v>3655.5372040271759</v>
      </c>
      <c r="AG145" s="47">
        <f>S145*Forutsetninger!$C$17</f>
        <v>0</v>
      </c>
      <c r="AH145" s="47">
        <f>AE145+O145+AF145+R145*Forutsetninger!$C$17-AG145</f>
        <v>36835.026108792546</v>
      </c>
      <c r="AI145" s="47">
        <f>AH145+P145*Forutsetninger!$B$5</f>
        <v>45564.945756792549</v>
      </c>
      <c r="AJ145" s="47">
        <f>T145*Forutsetninger!$C$23</f>
        <v>0</v>
      </c>
      <c r="AK145" s="47">
        <f t="shared" si="54"/>
        <v>0</v>
      </c>
      <c r="AL145" s="47">
        <f>AJ145+U145+AK145+X145*Forutsetninger!$C$17</f>
        <v>0</v>
      </c>
      <c r="AM145" s="26">
        <f>(T145-E145)*Forutsetninger!$C$23+X145*Forutsetninger!$C$17+U145+V145*Forutsetninger!$B$5</f>
        <v>0</v>
      </c>
      <c r="AN145" s="26">
        <f>(Y145*Forutsetninger!$C$23)+Z145+(AC145*Forutsetninger!$C$17)+(AA145*Forutsetninger!$B$5)</f>
        <v>0</v>
      </c>
    </row>
    <row r="146" spans="1:40" s="68" customFormat="1" ht="12.75" x14ac:dyDescent="0.2">
      <c r="A146" s="185">
        <v>2672014</v>
      </c>
      <c r="B146" s="212" t="s">
        <v>237</v>
      </c>
      <c r="C146" s="67">
        <v>2014</v>
      </c>
      <c r="D146" s="49">
        <f t="shared" si="44"/>
        <v>15353.094116210938</v>
      </c>
      <c r="E146" s="245">
        <v>0</v>
      </c>
      <c r="F146" s="49">
        <f t="shared" si="45"/>
        <v>15353.094116210938</v>
      </c>
      <c r="G146" s="49">
        <f t="shared" si="46"/>
        <v>3667</v>
      </c>
      <c r="H146" s="49">
        <f t="shared" si="47"/>
        <v>60326</v>
      </c>
      <c r="I146" s="49">
        <f t="shared" si="48"/>
        <v>60929.26</v>
      </c>
      <c r="J146" s="47">
        <f t="shared" si="49"/>
        <v>3962</v>
      </c>
      <c r="K146" s="47">
        <f t="shared" si="50"/>
        <v>0</v>
      </c>
      <c r="L146" s="47">
        <f t="shared" si="51"/>
        <v>0</v>
      </c>
      <c r="M146" s="49">
        <f t="shared" si="52"/>
        <v>288</v>
      </c>
      <c r="N146" s="245">
        <v>15353.094116210938</v>
      </c>
      <c r="O146" s="245">
        <v>3667</v>
      </c>
      <c r="P146" s="245">
        <v>60929.26</v>
      </c>
      <c r="Q146" s="245">
        <v>3962</v>
      </c>
      <c r="R146" s="245">
        <v>288</v>
      </c>
      <c r="S146" s="245">
        <v>0</v>
      </c>
      <c r="T146" s="245">
        <v>0</v>
      </c>
      <c r="U146" s="245">
        <v>0</v>
      </c>
      <c r="V146" s="245">
        <v>0</v>
      </c>
      <c r="W146" s="245">
        <v>0</v>
      </c>
      <c r="X146" s="245">
        <v>0</v>
      </c>
      <c r="Y146" s="245">
        <v>0</v>
      </c>
      <c r="Z146" s="245">
        <v>0</v>
      </c>
      <c r="AA146" s="245">
        <v>0</v>
      </c>
      <c r="AB146" s="245"/>
      <c r="AC146" s="245">
        <v>0</v>
      </c>
      <c r="AD146" s="250">
        <v>259.70000028610229</v>
      </c>
      <c r="AE146" s="47">
        <f>N146*Forutsetninger!$C$23</f>
        <v>16151.894717006639</v>
      </c>
      <c r="AF146" s="47">
        <f t="shared" si="53"/>
        <v>1028.9314011335373</v>
      </c>
      <c r="AG146" s="47">
        <f>S146*Forutsetninger!$C$17</f>
        <v>0</v>
      </c>
      <c r="AH146" s="47">
        <f>AE146+O146+AF146+R146*Forutsetninger!$C$17-AG146</f>
        <v>21152.445548381227</v>
      </c>
      <c r="AI146" s="47">
        <f>AH146+P146*Forutsetninger!$B$5</f>
        <v>25003.174780381229</v>
      </c>
      <c r="AJ146" s="47">
        <f>T146*Forutsetninger!$C$23</f>
        <v>0</v>
      </c>
      <c r="AK146" s="47">
        <f t="shared" si="54"/>
        <v>0</v>
      </c>
      <c r="AL146" s="47">
        <f>AJ146+U146+AK146+X146*Forutsetninger!$C$17</f>
        <v>0</v>
      </c>
      <c r="AM146" s="26">
        <f>(T146-E146)*Forutsetninger!$C$23+X146*Forutsetninger!$C$17+U146+V146*Forutsetninger!$B$5</f>
        <v>0</v>
      </c>
      <c r="AN146" s="26">
        <f>(Y146*Forutsetninger!$C$23)+Z146+(AC146*Forutsetninger!$C$17)+(AA146*Forutsetninger!$B$5)</f>
        <v>0</v>
      </c>
    </row>
    <row r="147" spans="1:40" ht="4.5" hidden="1" customHeight="1" x14ac:dyDescent="0.2"/>
    <row r="148" spans="1:40" ht="0" hidden="1" customHeight="1" x14ac:dyDescent="0.2"/>
    <row r="149" spans="1:40" ht="0" hidden="1" customHeight="1" x14ac:dyDescent="0.2"/>
  </sheetData>
  <autoFilter ref="A2:AN146"/>
  <mergeCells count="6">
    <mergeCell ref="AJ1:AM1"/>
    <mergeCell ref="D1:M1"/>
    <mergeCell ref="N1:S1"/>
    <mergeCell ref="T1:X1"/>
    <mergeCell ref="AE1:AI1"/>
    <mergeCell ref="Y1:AC1"/>
  </mergeCells>
  <phoneticPr fontId="5" type="noConversion"/>
  <pageMargins left="0.78740157499999996" right="0.78740157499999996" top="0.984251969" bottom="0.984251969" header="0.5" footer="0.5"/>
  <pageSetup paperSize="10" orientation="portrait" horizontalDpi="4294967292" verticalDpi="4294967292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I149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2" sqref="B2"/>
    </sheetView>
  </sheetViews>
  <sheetFormatPr baseColWidth="10" defaultColWidth="10.85546875" defaultRowHeight="12.75" x14ac:dyDescent="0.2"/>
  <cols>
    <col min="1" max="1" width="9.42578125" style="56" customWidth="1"/>
    <col min="2" max="2" width="33.42578125" style="56" customWidth="1"/>
    <col min="3" max="3" width="8.85546875" style="56" bestFit="1" customWidth="1"/>
    <col min="4" max="4" width="15" style="56" customWidth="1"/>
    <col min="5" max="5" width="14.42578125" style="56" customWidth="1"/>
    <col min="6" max="6" width="15.140625" style="56" customWidth="1"/>
    <col min="7" max="7" width="12.7109375" style="56" customWidth="1"/>
    <col min="8" max="8" width="14.140625" style="56" customWidth="1"/>
    <col min="9" max="9" width="26.5703125" style="56" bestFit="1" customWidth="1"/>
    <col min="10" max="16384" width="10.85546875" style="56"/>
  </cols>
  <sheetData>
    <row r="1" spans="1:9" s="55" customFormat="1" ht="28.5" customHeight="1" x14ac:dyDescent="0.2">
      <c r="A1" s="355" t="s">
        <v>200</v>
      </c>
      <c r="B1" s="356"/>
      <c r="C1" s="356"/>
      <c r="D1" s="356"/>
      <c r="E1" s="356"/>
      <c r="F1" s="356"/>
      <c r="G1" s="356"/>
      <c r="H1" s="356"/>
      <c r="I1" s="104" t="s">
        <v>20</v>
      </c>
    </row>
    <row r="2" spans="1:9" s="55" customFormat="1" ht="64.5" customHeight="1" x14ac:dyDescent="0.2">
      <c r="A2" s="122" t="s">
        <v>73</v>
      </c>
      <c r="B2" s="101" t="s">
        <v>74</v>
      </c>
      <c r="C2" s="102" t="s">
        <v>199</v>
      </c>
      <c r="D2" s="186" t="s">
        <v>105</v>
      </c>
      <c r="E2" s="186" t="s">
        <v>19</v>
      </c>
      <c r="F2" s="102" t="s">
        <v>27</v>
      </c>
      <c r="G2" s="102" t="s">
        <v>220</v>
      </c>
      <c r="H2" s="102" t="s">
        <v>18</v>
      </c>
      <c r="I2" s="126">
        <f>E3-F3</f>
        <v>2096523.7098379005</v>
      </c>
    </row>
    <row r="3" spans="1:9" s="55" customFormat="1" ht="12.75" customHeight="1" thickBot="1" x14ac:dyDescent="0.25">
      <c r="A3" s="128"/>
      <c r="B3" s="111"/>
      <c r="C3" s="114" t="s">
        <v>67</v>
      </c>
      <c r="D3" s="129">
        <f>SUM(D4:D122)</f>
        <v>37532953.399999999</v>
      </c>
      <c r="E3" s="130">
        <f>SUM(E4:E122)</f>
        <v>13173941.467780327</v>
      </c>
      <c r="F3" s="130">
        <f>SUM(F4:F122)</f>
        <v>11077417.757942427</v>
      </c>
      <c r="G3" s="131"/>
      <c r="H3" s="132">
        <f>SUM(H4:H122)</f>
        <v>13173941.467780324</v>
      </c>
      <c r="I3" s="111" t="s">
        <v>7</v>
      </c>
    </row>
    <row r="4" spans="1:9" s="55" customFormat="1" ht="12.75" customHeight="1" x14ac:dyDescent="0.2">
      <c r="A4">
        <v>72014</v>
      </c>
      <c r="B4" t="str">
        <f>INDEX('Inntektsramme 2016'!$B$3:$B$146,MATCH(A4,'Inntektsramme 2016'!$A$3:$A$146,0))</f>
        <v>Alta Kraftlag SA</v>
      </c>
      <c r="C4" s="249">
        <v>0.85366189479827881</v>
      </c>
      <c r="D4" s="123">
        <f>VLOOKUP(A4,IRData!$A$3:$AI$146,16,FALSE)</f>
        <v>202546.41</v>
      </c>
      <c r="E4" s="123">
        <f>VLOOKUP(A4,IRData!$A$3:$AI$146,35,FALSE)</f>
        <v>74703.273036502695</v>
      </c>
      <c r="F4" s="123">
        <f t="shared" ref="F4:F35" si="0">C4*E4</f>
        <v>63771.337607974063</v>
      </c>
      <c r="G4" s="123">
        <f>(D4/$D$3)*$I$2</f>
        <v>11313.880535379038</v>
      </c>
      <c r="H4" s="123">
        <f t="shared" ref="H4:H35" si="1">F4+G4</f>
        <v>75085.218143353093</v>
      </c>
      <c r="I4" s="127">
        <f t="shared" ref="I4:I35" si="2">H4/E4</f>
        <v>1.0051128296167662</v>
      </c>
    </row>
    <row r="5" spans="1:9" s="55" customFormat="1" ht="12.75" customHeight="1" x14ac:dyDescent="0.2">
      <c r="A5">
        <v>92014</v>
      </c>
      <c r="B5" t="str">
        <f>INDEX('Inntektsramme 2016'!$B$3:$B$146,MATCH(A5,'Inntektsramme 2016'!$A$3:$A$146,0))</f>
        <v>Andøy Energi AS</v>
      </c>
      <c r="C5" s="249">
        <v>0.93858152627944946</v>
      </c>
      <c r="D5" s="123">
        <f>VLOOKUP(A5,IRData!$A$3:$AI$146,16,FALSE)</f>
        <v>61317.1</v>
      </c>
      <c r="E5" s="123">
        <f>VLOOKUP(A5,IRData!$A$3:$AI$146,35,FALSE)</f>
        <v>23131.815005889901</v>
      </c>
      <c r="F5" s="124">
        <f t="shared" si="0"/>
        <v>21711.094233842017</v>
      </c>
      <c r="G5" s="124">
        <f t="shared" ref="G5:G35" si="3">(D5/$D$3)*$I$2</f>
        <v>3425.0636393698114</v>
      </c>
      <c r="H5" s="124">
        <f t="shared" si="1"/>
        <v>25136.157873211829</v>
      </c>
      <c r="I5" s="125">
        <f t="shared" si="2"/>
        <v>1.0866487505114308</v>
      </c>
    </row>
    <row r="6" spans="1:9" s="55" customFormat="1" ht="12.75" customHeight="1" x14ac:dyDescent="0.2">
      <c r="A6">
        <v>142014</v>
      </c>
      <c r="B6" t="str">
        <f>INDEX('Inntektsramme 2016'!$B$3:$B$146,MATCH(A6,'Inntektsramme 2016'!$A$3:$A$146,0))</f>
        <v>Askøy Energi AS</v>
      </c>
      <c r="C6" s="249">
        <v>0.974354088306427</v>
      </c>
      <c r="D6" s="123">
        <f>VLOOKUP(A6,IRData!$A$3:$AI$146,16,FALSE)</f>
        <v>122528.15</v>
      </c>
      <c r="E6" s="123">
        <f>VLOOKUP(A6,IRData!$A$3:$AI$146,35,FALSE)</f>
        <v>35895.821069911428</v>
      </c>
      <c r="F6" s="124">
        <f t="shared" si="0"/>
        <v>34975.240012584181</v>
      </c>
      <c r="G6" s="124">
        <f t="shared" si="3"/>
        <v>6844.203515238818</v>
      </c>
      <c r="H6" s="124">
        <f t="shared" si="1"/>
        <v>41819.443527823001</v>
      </c>
      <c r="I6" s="125">
        <f t="shared" si="2"/>
        <v>1.1650226204987653</v>
      </c>
    </row>
    <row r="7" spans="1:9" s="55" customFormat="1" ht="12.75" customHeight="1" x14ac:dyDescent="0.2">
      <c r="A7">
        <v>162014</v>
      </c>
      <c r="B7" t="str">
        <f>INDEX('Inntektsramme 2016'!$B$3:$B$146,MATCH(A7,'Inntektsramme 2016'!$A$3:$A$146,0))</f>
        <v>Austevoll Kraftlag SA</v>
      </c>
      <c r="C7" s="249">
        <v>0.65637421607971191</v>
      </c>
      <c r="D7" s="123">
        <f>VLOOKUP(A7,IRData!$A$3:$AI$146,16,FALSE)</f>
        <v>57466.98</v>
      </c>
      <c r="E7" s="123">
        <f>VLOOKUP(A7,IRData!$A$3:$AI$146,35,FALSE)</f>
        <v>29552.930056975732</v>
      </c>
      <c r="F7" s="124">
        <f t="shared" si="0"/>
        <v>19397.781299006001</v>
      </c>
      <c r="G7" s="124">
        <f t="shared" si="3"/>
        <v>3210.0028158929917</v>
      </c>
      <c r="H7" s="124">
        <f t="shared" si="1"/>
        <v>22607.784114898994</v>
      </c>
      <c r="I7" s="125">
        <f t="shared" si="2"/>
        <v>0.76499298280451233</v>
      </c>
    </row>
    <row r="8" spans="1:9" s="55" customFormat="1" ht="12.75" customHeight="1" x14ac:dyDescent="0.2">
      <c r="A8">
        <v>182014</v>
      </c>
      <c r="B8" t="str">
        <f>INDEX('Inntektsramme 2016'!$B$3:$B$146,MATCH(A8,'Inntektsramme 2016'!$A$3:$A$146,0))</f>
        <v>Ballangen Energi AS</v>
      </c>
      <c r="C8" s="249">
        <v>0.94522035121917725</v>
      </c>
      <c r="D8" s="123">
        <f>VLOOKUP(A8,IRData!$A$3:$AI$146,16,FALSE)</f>
        <v>54493.54</v>
      </c>
      <c r="E8" s="123">
        <f>VLOOKUP(A8,IRData!$A$3:$AI$146,35,FALSE)</f>
        <v>20465.257501173099</v>
      </c>
      <c r="F8" s="124">
        <f t="shared" si="0"/>
        <v>19344.177883049739</v>
      </c>
      <c r="G8" s="124">
        <f t="shared" si="3"/>
        <v>3043.9117706894876</v>
      </c>
      <c r="H8" s="124">
        <f t="shared" si="1"/>
        <v>22388.089653739225</v>
      </c>
      <c r="I8" s="125">
        <f t="shared" si="2"/>
        <v>1.0939559227366626</v>
      </c>
    </row>
    <row r="9" spans="1:9" s="55" customFormat="1" ht="12.75" customHeight="1" x14ac:dyDescent="0.2">
      <c r="A9">
        <v>222014</v>
      </c>
      <c r="B9" t="str">
        <f>INDEX('Inntektsramme 2016'!$B$3:$B$146,MATCH(A9,'Inntektsramme 2016'!$A$3:$A$146,0))</f>
        <v>Bindal Kraftlag SA</v>
      </c>
      <c r="C9" s="249">
        <v>0.8470228910446167</v>
      </c>
      <c r="D9" s="123">
        <f>VLOOKUP(A9,IRData!$A$3:$AI$146,16,FALSE)</f>
        <v>27672.99</v>
      </c>
      <c r="E9" s="123">
        <f>VLOOKUP(A9,IRData!$A$3:$AI$146,35,FALSE)</f>
        <v>10645.01708625458</v>
      </c>
      <c r="F9" s="124">
        <f t="shared" si="0"/>
        <v>9016.5731476186957</v>
      </c>
      <c r="G9" s="124">
        <f t="shared" si="3"/>
        <v>1545.7637729384528</v>
      </c>
      <c r="H9" s="124">
        <f t="shared" si="1"/>
        <v>10562.336920557149</v>
      </c>
      <c r="I9" s="125">
        <f t="shared" si="2"/>
        <v>0.99223297012794909</v>
      </c>
    </row>
    <row r="10" spans="1:9" s="55" customFormat="1" ht="12.75" customHeight="1" x14ac:dyDescent="0.2">
      <c r="A10">
        <v>322014</v>
      </c>
      <c r="B10" t="str">
        <f>INDEX('Inntektsramme 2016'!$B$3:$B$146,MATCH(A10,'Inntektsramme 2016'!$A$3:$A$146,0))</f>
        <v>Fredrikstad Energi Nett AS</v>
      </c>
      <c r="C10" s="249">
        <v>0.79682266712188721</v>
      </c>
      <c r="D10" s="123">
        <f>VLOOKUP(A10,IRData!$A$3:$AI$146,16,FALSE)</f>
        <v>457058.33</v>
      </c>
      <c r="E10" s="123">
        <f>VLOOKUP(A10,IRData!$A$3:$AI$146,35,FALSE)</f>
        <v>128635.03027823336</v>
      </c>
      <c r="F10" s="124">
        <f t="shared" si="0"/>
        <v>102499.30791160662</v>
      </c>
      <c r="G10" s="124">
        <f t="shared" si="3"/>
        <v>25530.461602947438</v>
      </c>
      <c r="H10" s="124">
        <f t="shared" si="1"/>
        <v>128029.76951455406</v>
      </c>
      <c r="I10" s="125">
        <f t="shared" si="2"/>
        <v>0.99529474387831884</v>
      </c>
    </row>
    <row r="11" spans="1:9" s="55" customFormat="1" ht="12.75" customHeight="1" x14ac:dyDescent="0.2">
      <c r="A11">
        <v>352014</v>
      </c>
      <c r="B11" t="str">
        <f>INDEX('Inntektsramme 2016'!$B$3:$B$146,MATCH(A11,'Inntektsramme 2016'!$A$3:$A$146,0))</f>
        <v>Drangedal Everk KF</v>
      </c>
      <c r="C11" s="249">
        <v>0.92052394151687622</v>
      </c>
      <c r="D11" s="123">
        <f>VLOOKUP(A11,IRData!$A$3:$AI$146,16,FALSE)</f>
        <v>59736.45</v>
      </c>
      <c r="E11" s="123">
        <f>VLOOKUP(A11,IRData!$A$3:$AI$146,35,FALSE)</f>
        <v>21181.444623088431</v>
      </c>
      <c r="F11" s="124">
        <f t="shared" si="0"/>
        <v>19498.026891466809</v>
      </c>
      <c r="G11" s="124">
        <f t="shared" si="3"/>
        <v>3336.7713548102038</v>
      </c>
      <c r="H11" s="124">
        <f t="shared" si="1"/>
        <v>22834.798246277012</v>
      </c>
      <c r="I11" s="125">
        <f t="shared" si="2"/>
        <v>1.0780566978602759</v>
      </c>
    </row>
    <row r="12" spans="1:9" s="55" customFormat="1" ht="12.75" customHeight="1" x14ac:dyDescent="0.2">
      <c r="A12">
        <v>372014</v>
      </c>
      <c r="B12" t="str">
        <f>INDEX('Inntektsramme 2016'!$B$3:$B$146,MATCH(A12,'Inntektsramme 2016'!$A$3:$A$146,0))</f>
        <v>AS Eidefoss</v>
      </c>
      <c r="C12" s="249">
        <v>0.99365472793579102</v>
      </c>
      <c r="D12" s="123">
        <f>VLOOKUP(A12,IRData!$A$3:$AI$146,16,FALSE)</f>
        <v>175848.07</v>
      </c>
      <c r="E12" s="123">
        <f>VLOOKUP(A12,IRData!$A$3:$AI$146,35,FALSE)</f>
        <v>70554.238427111617</v>
      </c>
      <c r="F12" s="124">
        <f t="shared" si="0"/>
        <v>70106.552589008526</v>
      </c>
      <c r="G12" s="124">
        <f t="shared" si="3"/>
        <v>9822.5589698527383</v>
      </c>
      <c r="H12" s="124">
        <f t="shared" si="1"/>
        <v>79929.111558861259</v>
      </c>
      <c r="I12" s="125">
        <f t="shared" si="2"/>
        <v>1.1328746981151907</v>
      </c>
    </row>
    <row r="13" spans="1:9" s="55" customFormat="1" ht="12.75" customHeight="1" x14ac:dyDescent="0.2">
      <c r="A13">
        <v>412014</v>
      </c>
      <c r="B13" t="str">
        <f>INDEX('Inntektsramme 2016'!$B$3:$B$146,MATCH(A13,'Inntektsramme 2016'!$A$3:$A$146,0))</f>
        <v>Etne Elektrisitetslag SA</v>
      </c>
      <c r="C13" s="249">
        <v>0.74195289611816406</v>
      </c>
      <c r="D13" s="123">
        <f>VLOOKUP(A13,IRData!$A$3:$AI$146,16,FALSE)</f>
        <v>31254.45</v>
      </c>
      <c r="E13" s="123">
        <f>VLOOKUP(A13,IRData!$A$3:$AI$146,35,FALSE)</f>
        <v>14484.58878918309</v>
      </c>
      <c r="F13" s="124">
        <f t="shared" si="0"/>
        <v>10746.882601215084</v>
      </c>
      <c r="G13" s="124">
        <f t="shared" si="3"/>
        <v>1745.8177288799013</v>
      </c>
      <c r="H13" s="124">
        <f t="shared" si="1"/>
        <v>12492.700330094985</v>
      </c>
      <c r="I13" s="125">
        <f t="shared" si="2"/>
        <v>0.86248222244489114</v>
      </c>
    </row>
    <row r="14" spans="1:9" s="55" customFormat="1" ht="12.75" customHeight="1" x14ac:dyDescent="0.2">
      <c r="A14">
        <v>422014</v>
      </c>
      <c r="B14" t="str">
        <f>INDEX('Inntektsramme 2016'!$B$3:$B$146,MATCH(A14,'Inntektsramme 2016'!$A$3:$A$146,0))</f>
        <v>Fauske Lysverk AS</v>
      </c>
      <c r="C14" s="249">
        <v>0.72945469617843628</v>
      </c>
      <c r="D14" s="123">
        <f>VLOOKUP(A14,IRData!$A$3:$AI$146,16,FALSE)</f>
        <v>109691.05</v>
      </c>
      <c r="E14" s="123">
        <f>VLOOKUP(A14,IRData!$A$3:$AI$146,35,FALSE)</f>
        <v>37125.342846557971</v>
      </c>
      <c r="F14" s="124">
        <f t="shared" si="0"/>
        <v>27081.255686656226</v>
      </c>
      <c r="G14" s="124">
        <f t="shared" si="3"/>
        <v>6127.1460476652665</v>
      </c>
      <c r="H14" s="124">
        <f t="shared" si="1"/>
        <v>33208.401734321495</v>
      </c>
      <c r="I14" s="125">
        <f t="shared" si="2"/>
        <v>0.89449414303255037</v>
      </c>
    </row>
    <row r="15" spans="1:9" s="55" customFormat="1" ht="12.75" customHeight="1" x14ac:dyDescent="0.2">
      <c r="A15">
        <v>432014</v>
      </c>
      <c r="B15" t="str">
        <f>INDEX('Inntektsramme 2016'!$B$3:$B$146,MATCH(A15,'Inntektsramme 2016'!$A$3:$A$146,0))</f>
        <v>Finnås Kraftlag SA</v>
      </c>
      <c r="C15" s="249">
        <v>0.70061963796615601</v>
      </c>
      <c r="D15" s="123">
        <f>VLOOKUP(A15,IRData!$A$3:$AI$146,16,FALSE)</f>
        <v>174189.65</v>
      </c>
      <c r="E15" s="123">
        <f>VLOOKUP(A15,IRData!$A$3:$AI$146,35,FALSE)</f>
        <v>45885.437083541212</v>
      </c>
      <c r="F15" s="124">
        <f t="shared" si="0"/>
        <v>32148.238317389474</v>
      </c>
      <c r="G15" s="124">
        <f t="shared" si="3"/>
        <v>9729.9225920592071</v>
      </c>
      <c r="H15" s="124">
        <f t="shared" si="1"/>
        <v>41878.160909448678</v>
      </c>
      <c r="I15" s="125">
        <f t="shared" si="2"/>
        <v>0.91266779987740565</v>
      </c>
    </row>
    <row r="16" spans="1:9" s="55" customFormat="1" ht="12.75" customHeight="1" x14ac:dyDescent="0.2">
      <c r="A16">
        <v>452014</v>
      </c>
      <c r="B16" t="str">
        <f>INDEX('Inntektsramme 2016'!$B$3:$B$146,MATCH(A16,'Inntektsramme 2016'!$A$3:$A$146,0))</f>
        <v>Fitjar Kraftlag SA</v>
      </c>
      <c r="C16" s="249">
        <v>0.80973774194717407</v>
      </c>
      <c r="D16" s="123">
        <f>VLOOKUP(A16,IRData!$A$3:$AI$146,16,FALSE)</f>
        <v>41396.870000000003</v>
      </c>
      <c r="E16" s="123">
        <f>VLOOKUP(A16,IRData!$A$3:$AI$146,35,FALSE)</f>
        <v>23719.413749319701</v>
      </c>
      <c r="F16" s="124">
        <f t="shared" si="0"/>
        <v>19206.504529684888</v>
      </c>
      <c r="G16" s="124">
        <f t="shared" si="3"/>
        <v>2312.3551867377778</v>
      </c>
      <c r="H16" s="124">
        <f t="shared" si="1"/>
        <v>21518.859716422667</v>
      </c>
      <c r="I16" s="125">
        <f t="shared" si="2"/>
        <v>0.90722561458922446</v>
      </c>
    </row>
    <row r="17" spans="1:9" s="55" customFormat="1" ht="12.75" customHeight="1" x14ac:dyDescent="0.2">
      <c r="A17">
        <v>462014</v>
      </c>
      <c r="B17" t="str">
        <f>INDEX('Inntektsramme 2016'!$B$3:$B$146,MATCH(A17,'Inntektsramme 2016'!$A$3:$A$146,0))</f>
        <v>Fjelberg Kraftlag SA</v>
      </c>
      <c r="C17" s="249">
        <v>0.69242322444915771</v>
      </c>
      <c r="D17" s="123">
        <f>VLOOKUP(A17,IRData!$A$3:$AI$146,16,FALSE)</f>
        <v>28610.27</v>
      </c>
      <c r="E17" s="123">
        <f>VLOOKUP(A17,IRData!$A$3:$AI$146,35,FALSE)</f>
        <v>15735.296502277099</v>
      </c>
      <c r="F17" s="124">
        <f t="shared" si="0"/>
        <v>10895.484741770262</v>
      </c>
      <c r="G17" s="124">
        <f t="shared" si="3"/>
        <v>1598.1185589265137</v>
      </c>
      <c r="H17" s="124">
        <f t="shared" si="1"/>
        <v>12493.603300696775</v>
      </c>
      <c r="I17" s="125">
        <f t="shared" si="2"/>
        <v>0.79398588383058377</v>
      </c>
    </row>
    <row r="18" spans="1:9" s="55" customFormat="1" ht="12.75" customHeight="1" x14ac:dyDescent="0.2">
      <c r="A18">
        <v>522014</v>
      </c>
      <c r="B18" t="str">
        <f>INDEX('Inntektsramme 2016'!$B$3:$B$146,MATCH(A18,'Inntektsramme 2016'!$A$3:$A$146,0))</f>
        <v>Forsand Elverk Kommunalt Føretak i Forsand</v>
      </c>
      <c r="C18" s="249">
        <v>0.7240566611289978</v>
      </c>
      <c r="D18" s="123">
        <f>VLOOKUP(A18,IRData!$A$3:$AI$146,16,FALSE)</f>
        <v>32877.519999999997</v>
      </c>
      <c r="E18" s="123">
        <f>VLOOKUP(A18,IRData!$A$3:$AI$146,35,FALSE)</f>
        <v>11485.634608218203</v>
      </c>
      <c r="F18" s="124">
        <f t="shared" si="0"/>
        <v>8316.2502453741363</v>
      </c>
      <c r="G18" s="124">
        <f t="shared" si="3"/>
        <v>1836.47951883983</v>
      </c>
      <c r="H18" s="124">
        <f t="shared" si="1"/>
        <v>10152.729764213966</v>
      </c>
      <c r="I18" s="125">
        <f t="shared" si="2"/>
        <v>0.88395026574756985</v>
      </c>
    </row>
    <row r="19" spans="1:9" s="55" customFormat="1" ht="12.75" customHeight="1" x14ac:dyDescent="0.2">
      <c r="A19">
        <v>532014</v>
      </c>
      <c r="B19" t="str">
        <f>INDEX('Inntektsramme 2016'!$B$3:$B$146,MATCH(A19,'Inntektsramme 2016'!$A$3:$A$146,0))</f>
        <v>Fosen Nett AS</v>
      </c>
      <c r="C19" s="249">
        <v>0.86656951904296875</v>
      </c>
      <c r="D19" s="123">
        <f>VLOOKUP(A19,IRData!$A$3:$AI$146,16,FALSE)</f>
        <v>150240.53</v>
      </c>
      <c r="E19" s="123">
        <f>VLOOKUP(A19,IRData!$A$3:$AI$146,35,FALSE)</f>
        <v>41701.238087574697</v>
      </c>
      <c r="F19" s="124">
        <f t="shared" si="0"/>
        <v>36137.021833045932</v>
      </c>
      <c r="G19" s="124">
        <f t="shared" si="3"/>
        <v>8392.1675431918538</v>
      </c>
      <c r="H19" s="124">
        <f t="shared" si="1"/>
        <v>44529.189376237788</v>
      </c>
      <c r="I19" s="125">
        <f t="shared" si="2"/>
        <v>1.0678145642276675</v>
      </c>
    </row>
    <row r="20" spans="1:9" s="55" customFormat="1" ht="12.75" customHeight="1" x14ac:dyDescent="0.2">
      <c r="A20">
        <v>552014</v>
      </c>
      <c r="B20" t="str">
        <f>INDEX('Inntektsramme 2016'!$B$3:$B$146,MATCH(A20,'Inntektsramme 2016'!$A$3:$A$146,0))</f>
        <v>Fusa Kraftlag SA</v>
      </c>
      <c r="C20" s="249">
        <v>0.69414466619491577</v>
      </c>
      <c r="D20" s="123">
        <f>VLOOKUP(A20,IRData!$A$3:$AI$146,16,FALSE)</f>
        <v>78515.38</v>
      </c>
      <c r="E20" s="123">
        <f>VLOOKUP(A20,IRData!$A$3:$AI$146,35,FALSE)</f>
        <v>27838.882784972713</v>
      </c>
      <c r="F20" s="124">
        <f t="shared" si="0"/>
        <v>19324.211998014271</v>
      </c>
      <c r="G20" s="124">
        <f t="shared" si="3"/>
        <v>4385.7288288145346</v>
      </c>
      <c r="H20" s="124">
        <f t="shared" si="1"/>
        <v>23709.940826828806</v>
      </c>
      <c r="I20" s="125">
        <f t="shared" si="2"/>
        <v>0.85168435134283882</v>
      </c>
    </row>
    <row r="21" spans="1:9" s="55" customFormat="1" ht="12.75" customHeight="1" x14ac:dyDescent="0.2">
      <c r="A21">
        <v>562014</v>
      </c>
      <c r="B21" t="str">
        <f>INDEX('Inntektsramme 2016'!$B$3:$B$146,MATCH(A21,'Inntektsramme 2016'!$A$3:$A$146,0))</f>
        <v>Sunnfjord Energi AS</v>
      </c>
      <c r="C21" s="249">
        <v>0.83043575286865234</v>
      </c>
      <c r="D21" s="123">
        <f>VLOOKUP(A21,IRData!$A$3:$AI$146,16,FALSE)</f>
        <v>312846.49</v>
      </c>
      <c r="E21" s="123">
        <f>VLOOKUP(A21,IRData!$A$3:$AI$146,35,FALSE)</f>
        <v>118888.56894033126</v>
      </c>
      <c r="F21" s="124">
        <f t="shared" si="0"/>
        <v>98729.318255440667</v>
      </c>
      <c r="G21" s="124">
        <f t="shared" si="3"/>
        <v>17475.045910577493</v>
      </c>
      <c r="H21" s="124">
        <f t="shared" si="1"/>
        <v>116204.36416601816</v>
      </c>
      <c r="I21" s="125">
        <f t="shared" si="2"/>
        <v>0.9774225159051223</v>
      </c>
    </row>
    <row r="22" spans="1:9" s="55" customFormat="1" ht="12.75" customHeight="1" x14ac:dyDescent="0.2">
      <c r="A22">
        <v>622014</v>
      </c>
      <c r="B22" t="str">
        <f>INDEX('Inntektsramme 2016'!$B$3:$B$146,MATCH(A22,'Inntektsramme 2016'!$A$3:$A$146,0))</f>
        <v>Hadeland Energinett AS</v>
      </c>
      <c r="C22" s="249">
        <v>1.0044748783111572</v>
      </c>
      <c r="D22" s="123">
        <f>VLOOKUP(A22,IRData!$A$3:$AI$146,16,FALSE)</f>
        <v>229460.89</v>
      </c>
      <c r="E22" s="123">
        <f>VLOOKUP(A22,IRData!$A$3:$AI$146,35,FALSE)</f>
        <v>75291.182249676553</v>
      </c>
      <c r="F22" s="124">
        <f t="shared" si="0"/>
        <v>75628.101128147013</v>
      </c>
      <c r="G22" s="124">
        <f t="shared" si="3"/>
        <v>12817.275295087928</v>
      </c>
      <c r="H22" s="124">
        <f t="shared" si="1"/>
        <v>88445.376423234935</v>
      </c>
      <c r="I22" s="125">
        <f t="shared" si="2"/>
        <v>1.1747109526044783</v>
      </c>
    </row>
    <row r="23" spans="1:9" s="55" customFormat="1" ht="12.75" customHeight="1" x14ac:dyDescent="0.2">
      <c r="A23">
        <v>632014</v>
      </c>
      <c r="B23" t="str">
        <f>INDEX('Inntektsramme 2016'!$B$3:$B$146,MATCH(A23,'Inntektsramme 2016'!$A$3:$A$146,0))</f>
        <v>Trollfjord Kraft AS</v>
      </c>
      <c r="C23" s="249">
        <v>0.7736438512802124</v>
      </c>
      <c r="D23" s="123">
        <f>VLOOKUP(A23,IRData!$A$3:$AI$146,16,FALSE)</f>
        <v>90815.16</v>
      </c>
      <c r="E23" s="123">
        <f>VLOOKUP(A23,IRData!$A$3:$AI$146,35,FALSE)</f>
        <v>41085.078775353206</v>
      </c>
      <c r="F23" s="124">
        <f t="shared" si="0"/>
        <v>31785.218573915168</v>
      </c>
      <c r="G23" s="124">
        <f t="shared" si="3"/>
        <v>5072.7725613173443</v>
      </c>
      <c r="H23" s="124">
        <f t="shared" si="1"/>
        <v>36857.991135232514</v>
      </c>
      <c r="I23" s="125">
        <f t="shared" si="2"/>
        <v>0.8971137997998313</v>
      </c>
    </row>
    <row r="24" spans="1:9" s="55" customFormat="1" ht="12.75" customHeight="1" x14ac:dyDescent="0.2">
      <c r="A24">
        <v>652014</v>
      </c>
      <c r="B24" t="str">
        <f>INDEX('Inntektsramme 2016'!$B$3:$B$146,MATCH(A24,'Inntektsramme 2016'!$A$3:$A$146,0))</f>
        <v>Hammerfest Energi Nett AS</v>
      </c>
      <c r="C24" s="249">
        <v>0.76085823774337769</v>
      </c>
      <c r="D24" s="123">
        <f>VLOOKUP(A24,IRData!$A$3:$AI$146,16,FALSE)</f>
        <v>122560.47</v>
      </c>
      <c r="E24" s="123">
        <f>VLOOKUP(A24,IRData!$A$3:$AI$146,35,FALSE)</f>
        <v>54598.863314700553</v>
      </c>
      <c r="F24" s="124">
        <f t="shared" si="0"/>
        <v>41541.994924414619</v>
      </c>
      <c r="G24" s="124">
        <f t="shared" si="3"/>
        <v>6846.0088526866821</v>
      </c>
      <c r="H24" s="124">
        <f t="shared" si="1"/>
        <v>48388.003777101301</v>
      </c>
      <c r="I24" s="125">
        <f t="shared" si="2"/>
        <v>0.88624562563142228</v>
      </c>
    </row>
    <row r="25" spans="1:9" s="55" customFormat="1" ht="12.75" customHeight="1" x14ac:dyDescent="0.2">
      <c r="A25">
        <v>712014</v>
      </c>
      <c r="B25" t="str">
        <f>INDEX('Inntektsramme 2016'!$B$3:$B$146,MATCH(A25,'Inntektsramme 2016'!$A$3:$A$146,0))</f>
        <v>HelgelandsKraft AS</v>
      </c>
      <c r="C25" s="249">
        <v>0.73944193124771118</v>
      </c>
      <c r="D25" s="123">
        <f>VLOOKUP(A25,IRData!$A$3:$AI$146,16,FALSE)</f>
        <v>826967.8</v>
      </c>
      <c r="E25" s="123">
        <f>VLOOKUP(A25,IRData!$A$3:$AI$146,35,FALSE)</f>
        <v>331697.01155161811</v>
      </c>
      <c r="F25" s="124">
        <f t="shared" si="0"/>
        <v>245270.67881082286</v>
      </c>
      <c r="G25" s="124">
        <f t="shared" si="3"/>
        <v>46192.943611319621</v>
      </c>
      <c r="H25" s="124">
        <f t="shared" si="1"/>
        <v>291463.62242214248</v>
      </c>
      <c r="I25" s="125">
        <f t="shared" si="2"/>
        <v>0.87870439669844724</v>
      </c>
    </row>
    <row r="26" spans="1:9" s="55" customFormat="1" ht="12.75" customHeight="1" x14ac:dyDescent="0.2">
      <c r="A26">
        <v>722014</v>
      </c>
      <c r="B26" t="str">
        <f>INDEX('Inntektsramme 2016'!$B$3:$B$146,MATCH(A26,'Inntektsramme 2016'!$A$3:$A$146,0))</f>
        <v>Hemne Kraftlag SA</v>
      </c>
      <c r="C26" s="249">
        <v>0.7526019811630249</v>
      </c>
      <c r="D26" s="123">
        <f>VLOOKUP(A26,IRData!$A$3:$AI$146,16,FALSE)</f>
        <v>56114.590000000004</v>
      </c>
      <c r="E26" s="123">
        <f>VLOOKUP(A26,IRData!$A$3:$AI$146,35,FALSE)</f>
        <v>32300.845293881928</v>
      </c>
      <c r="F26" s="124">
        <f t="shared" si="0"/>
        <v>24309.680161415909</v>
      </c>
      <c r="G26" s="124">
        <f t="shared" si="3"/>
        <v>3134.4607270589254</v>
      </c>
      <c r="H26" s="124">
        <f t="shared" si="1"/>
        <v>27444.140888474834</v>
      </c>
      <c r="I26" s="125">
        <f t="shared" si="2"/>
        <v>0.84964156940106461</v>
      </c>
    </row>
    <row r="27" spans="1:9" s="55" customFormat="1" ht="12.75" customHeight="1" x14ac:dyDescent="0.2">
      <c r="A27">
        <v>822014</v>
      </c>
      <c r="B27" t="str">
        <f>INDEX('Inntektsramme 2016'!$B$3:$B$146,MATCH(A27,'Inntektsramme 2016'!$A$3:$A$146,0))</f>
        <v>Hurum Energiverk AS</v>
      </c>
      <c r="C27" s="249">
        <v>0.79351842403411865</v>
      </c>
      <c r="D27" s="123">
        <f>VLOOKUP(A27,IRData!$A$3:$AI$146,16,FALSE)</f>
        <v>94703.66</v>
      </c>
      <c r="E27" s="123">
        <f>VLOOKUP(A27,IRData!$A$3:$AI$146,35,FALSE)</f>
        <v>31697.467296606865</v>
      </c>
      <c r="F27" s="124">
        <f t="shared" si="0"/>
        <v>25152.524295076495</v>
      </c>
      <c r="G27" s="124">
        <f t="shared" si="3"/>
        <v>5289.9772230135022</v>
      </c>
      <c r="H27" s="124">
        <f t="shared" si="1"/>
        <v>30442.501518089997</v>
      </c>
      <c r="I27" s="125">
        <f t="shared" si="2"/>
        <v>0.9604080109374793</v>
      </c>
    </row>
    <row r="28" spans="1:9" s="55" customFormat="1" ht="12.75" customHeight="1" x14ac:dyDescent="0.2">
      <c r="A28">
        <v>842014</v>
      </c>
      <c r="B28" t="str">
        <f>INDEX('Inntektsramme 2016'!$B$3:$B$146,MATCH(A28,'Inntektsramme 2016'!$A$3:$A$146,0))</f>
        <v>Høland og Setskog Elverk SA</v>
      </c>
      <c r="C28" s="249">
        <v>0.72836136817932129</v>
      </c>
      <c r="D28" s="123">
        <f>VLOOKUP(A28,IRData!$A$3:$AI$146,16,FALSE)</f>
        <v>80228.34</v>
      </c>
      <c r="E28" s="123">
        <f>VLOOKUP(A28,IRData!$A$3:$AI$146,35,FALSE)</f>
        <v>30731.656677316063</v>
      </c>
      <c r="F28" s="124">
        <f t="shared" si="0"/>
        <v>22383.751503907104</v>
      </c>
      <c r="G28" s="124">
        <f t="shared" si="3"/>
        <v>4481.4117135513352</v>
      </c>
      <c r="H28" s="124">
        <f t="shared" si="1"/>
        <v>26865.163217458437</v>
      </c>
      <c r="I28" s="125">
        <f t="shared" si="2"/>
        <v>0.87418532295684537</v>
      </c>
    </row>
    <row r="29" spans="1:9" s="55" customFormat="1" ht="12.75" customHeight="1" x14ac:dyDescent="0.2">
      <c r="A29">
        <v>862014</v>
      </c>
      <c r="B29" t="str">
        <f>INDEX('Inntektsramme 2016'!$B$3:$B$146,MATCH(A29,'Inntektsramme 2016'!$A$3:$A$146,0))</f>
        <v>Istad Nett AS</v>
      </c>
      <c r="C29" s="249">
        <v>0.88233023881912231</v>
      </c>
      <c r="D29" s="123">
        <f>VLOOKUP(A29,IRData!$A$3:$AI$146,16,FALSE)</f>
        <v>418215.75</v>
      </c>
      <c r="E29" s="123">
        <f>VLOOKUP(A29,IRData!$A$3:$AI$146,35,FALSE)</f>
        <v>123124.02311948194</v>
      </c>
      <c r="F29" s="124">
        <f t="shared" si="0"/>
        <v>108636.04872338363</v>
      </c>
      <c r="G29" s="124">
        <f t="shared" si="3"/>
        <v>23360.784491386174</v>
      </c>
      <c r="H29" s="124">
        <f t="shared" si="1"/>
        <v>131996.83321476981</v>
      </c>
      <c r="I29" s="125">
        <f t="shared" si="2"/>
        <v>1.0720640040057619</v>
      </c>
    </row>
    <row r="30" spans="1:9" s="55" customFormat="1" ht="12.75" customHeight="1" x14ac:dyDescent="0.2">
      <c r="A30">
        <v>882014</v>
      </c>
      <c r="B30" t="str">
        <f>INDEX('Inntektsramme 2016'!$B$3:$B$146,MATCH(A30,'Inntektsramme 2016'!$A$3:$A$146,0))</f>
        <v>Jæren Everk Kommunalt foretak i Hå</v>
      </c>
      <c r="C30" s="249">
        <v>0.83299314975738525</v>
      </c>
      <c r="D30" s="123">
        <f>VLOOKUP(A30,IRData!$A$3:$AI$146,16,FALSE)</f>
        <v>113106.87</v>
      </c>
      <c r="E30" s="123">
        <f>VLOOKUP(A30,IRData!$A$3:$AI$146,35,FALSE)</f>
        <v>39168.582324568953</v>
      </c>
      <c r="F30" s="124">
        <f t="shared" si="0"/>
        <v>32627.160762074138</v>
      </c>
      <c r="G30" s="124">
        <f t="shared" si="3"/>
        <v>6317.9476491864116</v>
      </c>
      <c r="H30" s="124">
        <f t="shared" si="1"/>
        <v>38945.108411260546</v>
      </c>
      <c r="I30" s="125">
        <f t="shared" si="2"/>
        <v>0.99429456211979794</v>
      </c>
    </row>
    <row r="31" spans="1:9" s="55" customFormat="1" ht="12.75" customHeight="1" x14ac:dyDescent="0.2">
      <c r="A31">
        <v>912014</v>
      </c>
      <c r="B31" t="str">
        <f>INDEX('Inntektsramme 2016'!$B$3:$B$146,MATCH(A31,'Inntektsramme 2016'!$A$3:$A$146,0))</f>
        <v>Klepp Energi AS</v>
      </c>
      <c r="C31" s="249">
        <v>0.81198495626449585</v>
      </c>
      <c r="D31" s="123">
        <f>VLOOKUP(A31,IRData!$A$3:$AI$146,16,FALSE)</f>
        <v>132392.82</v>
      </c>
      <c r="E31" s="123">
        <f>VLOOKUP(A31,IRData!$A$3:$AI$146,35,FALSE)</f>
        <v>30776.554010033888</v>
      </c>
      <c r="F31" s="124">
        <f t="shared" si="0"/>
        <v>24990.09886180926</v>
      </c>
      <c r="G31" s="124">
        <f t="shared" si="3"/>
        <v>7395.2263544041116</v>
      </c>
      <c r="H31" s="124">
        <f t="shared" si="1"/>
        <v>32385.325216213372</v>
      </c>
      <c r="I31" s="125">
        <f t="shared" si="2"/>
        <v>1.052272623038141</v>
      </c>
    </row>
    <row r="32" spans="1:9" s="55" customFormat="1" ht="12.75" customHeight="1" x14ac:dyDescent="0.2">
      <c r="A32">
        <v>932014</v>
      </c>
      <c r="B32" t="str">
        <f>INDEX('Inntektsramme 2016'!$B$3:$B$146,MATCH(A32,'Inntektsramme 2016'!$A$3:$A$146,0))</f>
        <v>Kragerø Energi AS</v>
      </c>
      <c r="C32" s="249">
        <v>0.79783475399017334</v>
      </c>
      <c r="D32" s="123">
        <f>VLOOKUP(A32,IRData!$A$3:$AI$146,16,FALSE)</f>
        <v>109022.43000000001</v>
      </c>
      <c r="E32" s="123">
        <f>VLOOKUP(A32,IRData!$A$3:$AI$146,35,FALSE)</f>
        <v>43915.402333846323</v>
      </c>
      <c r="F32" s="124">
        <f t="shared" si="0"/>
        <v>35037.234217403762</v>
      </c>
      <c r="G32" s="124">
        <f t="shared" si="3"/>
        <v>6089.7981292125778</v>
      </c>
      <c r="H32" s="124">
        <f t="shared" si="1"/>
        <v>41127.032346616339</v>
      </c>
      <c r="I32" s="125">
        <f t="shared" si="2"/>
        <v>0.93650587632027815</v>
      </c>
    </row>
    <row r="33" spans="1:9" s="55" customFormat="1" ht="12.75" customHeight="1" x14ac:dyDescent="0.2">
      <c r="A33">
        <v>952014</v>
      </c>
      <c r="B33" t="str">
        <f>INDEX('Inntektsramme 2016'!$B$3:$B$146,MATCH(A33,'Inntektsramme 2016'!$A$3:$A$146,0))</f>
        <v>Krødsherad Everk KF</v>
      </c>
      <c r="C33" s="249">
        <v>1.0429924726486206</v>
      </c>
      <c r="D33" s="123">
        <f>VLOOKUP(A33,IRData!$A$3:$AI$146,16,FALSE)</f>
        <v>26756.920000000002</v>
      </c>
      <c r="E33" s="123">
        <f>VLOOKUP(A33,IRData!$A$3:$AI$146,35,FALSE)</f>
        <v>11752.400450767011</v>
      </c>
      <c r="F33" s="124">
        <f t="shared" si="0"/>
        <v>12257.665205702247</v>
      </c>
      <c r="G33" s="124">
        <f t="shared" si="3"/>
        <v>1494.5937396505526</v>
      </c>
      <c r="H33" s="124">
        <f t="shared" si="1"/>
        <v>13752.2589453528</v>
      </c>
      <c r="I33" s="125">
        <f t="shared" si="2"/>
        <v>1.1701659591130824</v>
      </c>
    </row>
    <row r="34" spans="1:9" s="55" customFormat="1" ht="12.75" customHeight="1" x14ac:dyDescent="0.2">
      <c r="A34">
        <v>962014</v>
      </c>
      <c r="B34" t="str">
        <f>INDEX('Inntektsramme 2016'!$B$3:$B$146,MATCH(A34,'Inntektsramme 2016'!$A$3:$A$146,0))</f>
        <v>Kvam Kraftverk AS</v>
      </c>
      <c r="C34" s="249">
        <v>0.73977303504943848</v>
      </c>
      <c r="D34" s="123">
        <f>VLOOKUP(A34,IRData!$A$3:$AI$146,16,FALSE)</f>
        <v>115106.67</v>
      </c>
      <c r="E34" s="123">
        <f>VLOOKUP(A34,IRData!$A$3:$AI$146,35,FALSE)</f>
        <v>41726.372736004487</v>
      </c>
      <c r="F34" s="124">
        <f t="shared" si="0"/>
        <v>30868.045400518182</v>
      </c>
      <c r="G34" s="124">
        <f t="shared" si="3"/>
        <v>6429.652903773007</v>
      </c>
      <c r="H34" s="124">
        <f t="shared" si="1"/>
        <v>37297.698304291189</v>
      </c>
      <c r="I34" s="125">
        <f t="shared" si="2"/>
        <v>0.89386390090188883</v>
      </c>
    </row>
    <row r="35" spans="1:9" s="55" customFormat="1" ht="12.75" customHeight="1" x14ac:dyDescent="0.2">
      <c r="A35">
        <v>972014</v>
      </c>
      <c r="B35" t="str">
        <f>INDEX('Inntektsramme 2016'!$B$3:$B$146,MATCH(A35,'Inntektsramme 2016'!$A$3:$A$146,0))</f>
        <v>Kvinnherad Energi AS</v>
      </c>
      <c r="C35" s="249">
        <v>0.68416935205459595</v>
      </c>
      <c r="D35" s="123">
        <f>VLOOKUP(A35,IRData!$A$3:$AI$146,16,FALSE)</f>
        <v>123355.34</v>
      </c>
      <c r="E35" s="123">
        <f>VLOOKUP(A35,IRData!$A$3:$AI$146,35,FALSE)</f>
        <v>50101.364872375008</v>
      </c>
      <c r="F35" s="124">
        <f t="shared" si="0"/>
        <v>34277.818341783706</v>
      </c>
      <c r="G35" s="124">
        <f t="shared" si="3"/>
        <v>6890.4088705450922</v>
      </c>
      <c r="H35" s="124">
        <f t="shared" si="1"/>
        <v>41168.227212328798</v>
      </c>
      <c r="I35" s="125">
        <f t="shared" si="2"/>
        <v>0.82169871653592852</v>
      </c>
    </row>
    <row r="36" spans="1:9" s="55" customFormat="1" ht="12.75" customHeight="1" x14ac:dyDescent="0.2">
      <c r="A36">
        <v>1022014</v>
      </c>
      <c r="B36" t="str">
        <f>INDEX('Inntektsramme 2016'!$B$3:$B$146,MATCH(A36,'Inntektsramme 2016'!$A$3:$A$146,0))</f>
        <v>Lier Everk AS</v>
      </c>
      <c r="C36" s="249">
        <v>0.91450631618499756</v>
      </c>
      <c r="D36" s="123">
        <f>VLOOKUP(A36,IRData!$A$3:$AI$146,16,FALSE)</f>
        <v>98811.33</v>
      </c>
      <c r="E36" s="123">
        <f>VLOOKUP(A36,IRData!$A$3:$AI$146,35,FALSE)</f>
        <v>48055.195816070103</v>
      </c>
      <c r="F36" s="124">
        <f t="shared" ref="F36:F67" si="4">C36*E36</f>
        <v>43946.780099302974</v>
      </c>
      <c r="G36" s="124">
        <f t="shared" ref="G36:G67" si="5">(D36/$D$3)*$I$2</f>
        <v>5519.4243292779902</v>
      </c>
      <c r="H36" s="124">
        <f t="shared" ref="H36:H67" si="6">F36+G36</f>
        <v>49466.204428580968</v>
      </c>
      <c r="I36" s="125">
        <f t="shared" ref="I36:I67" si="7">H36/E36</f>
        <v>1.0293622487339653</v>
      </c>
    </row>
    <row r="37" spans="1:9" s="55" customFormat="1" ht="12.75" customHeight="1" x14ac:dyDescent="0.2">
      <c r="A37">
        <v>1032014</v>
      </c>
      <c r="B37" t="str">
        <f>INDEX('Inntektsramme 2016'!$B$3:$B$146,MATCH(A37,'Inntektsramme 2016'!$A$3:$A$146,0))</f>
        <v>Luostejok Kraftlag SA</v>
      </c>
      <c r="C37" s="249">
        <v>0.72966265678405762</v>
      </c>
      <c r="D37" s="123">
        <f>VLOOKUP(A37,IRData!$A$3:$AI$146,16,FALSE)</f>
        <v>82370.55</v>
      </c>
      <c r="E37" s="123">
        <f>VLOOKUP(A37,IRData!$A$3:$AI$146,35,FALSE)</f>
        <v>41304.002431449175</v>
      </c>
      <c r="F37" s="124">
        <f t="shared" si="4"/>
        <v>30137.988149946381</v>
      </c>
      <c r="G37" s="124">
        <f t="shared" si="5"/>
        <v>4601.0717362675832</v>
      </c>
      <c r="H37" s="124">
        <f t="shared" si="6"/>
        <v>34739.059886213967</v>
      </c>
      <c r="I37" s="125">
        <f t="shared" si="7"/>
        <v>0.84105795664401251</v>
      </c>
    </row>
    <row r="38" spans="1:9" s="55" customFormat="1" ht="12.75" customHeight="1" x14ac:dyDescent="0.2">
      <c r="A38">
        <v>1042014</v>
      </c>
      <c r="B38" t="str">
        <f>INDEX('Inntektsramme 2016'!$B$3:$B$146,MATCH(A38,'Inntektsramme 2016'!$A$3:$A$146,0))</f>
        <v>Luster Energiverk AS</v>
      </c>
      <c r="C38" s="249">
        <v>0.93027520179748535</v>
      </c>
      <c r="D38" s="123">
        <f>VLOOKUP(A38,IRData!$A$3:$AI$146,16,FALSE)</f>
        <v>42147.3</v>
      </c>
      <c r="E38" s="123">
        <f>VLOOKUP(A38,IRData!$A$3:$AI$146,35,FALSE)</f>
        <v>23558.0692627485</v>
      </c>
      <c r="F38" s="124">
        <f t="shared" si="4"/>
        <v>21915.487637362497</v>
      </c>
      <c r="G38" s="124">
        <f t="shared" si="5"/>
        <v>2354.2728656053737</v>
      </c>
      <c r="H38" s="124">
        <f t="shared" si="6"/>
        <v>24269.760502967871</v>
      </c>
      <c r="I38" s="125">
        <f t="shared" si="7"/>
        <v>1.0302100835294148</v>
      </c>
    </row>
    <row r="39" spans="1:9" s="55" customFormat="1" ht="12.75" customHeight="1" x14ac:dyDescent="0.2">
      <c r="A39">
        <v>1062014</v>
      </c>
      <c r="B39" t="str">
        <f>INDEX('Inntektsramme 2016'!$B$3:$B$146,MATCH(A39,'Inntektsramme 2016'!$A$3:$A$146,0))</f>
        <v>Lærdal Energi AS</v>
      </c>
      <c r="C39" s="249">
        <v>0.58514517545700073</v>
      </c>
      <c r="D39" s="123">
        <f>VLOOKUP(A39,IRData!$A$3:$AI$146,16,FALSE)</f>
        <v>19103.14</v>
      </c>
      <c r="E39" s="123">
        <f>VLOOKUP(A39,IRData!$A$3:$AI$146,35,FALSE)</f>
        <v>22604.512888413039</v>
      </c>
      <c r="F39" s="124">
        <f t="shared" si="4"/>
        <v>13226.921660210483</v>
      </c>
      <c r="G39" s="124">
        <f t="shared" si="5"/>
        <v>1067.067265278218</v>
      </c>
      <c r="H39" s="124">
        <f t="shared" si="6"/>
        <v>14293.9889254887</v>
      </c>
      <c r="I39" s="125">
        <f t="shared" si="7"/>
        <v>0.63235111484378537</v>
      </c>
    </row>
    <row r="40" spans="1:9" s="55" customFormat="1" ht="12.75" customHeight="1" x14ac:dyDescent="0.2">
      <c r="A40">
        <v>1162014</v>
      </c>
      <c r="B40" t="str">
        <f>INDEX('Inntektsramme 2016'!$B$3:$B$146,MATCH(A40,'Inntektsramme 2016'!$A$3:$A$146,0))</f>
        <v>Meløy Energi AS</v>
      </c>
      <c r="C40" s="249">
        <v>0.7360302209854126</v>
      </c>
      <c r="D40" s="123">
        <f>VLOOKUP(A40,IRData!$A$3:$AI$146,16,FALSE)</f>
        <v>77583.149999999994</v>
      </c>
      <c r="E40" s="123">
        <f>VLOOKUP(A40,IRData!$A$3:$AI$146,35,FALSE)</f>
        <v>40340.09275593498</v>
      </c>
      <c r="F40" s="124">
        <f t="shared" si="4"/>
        <v>29691.527385722864</v>
      </c>
      <c r="G40" s="124">
        <f t="shared" si="5"/>
        <v>4333.6561268027026</v>
      </c>
      <c r="H40" s="124">
        <f t="shared" si="6"/>
        <v>34025.183512525567</v>
      </c>
      <c r="I40" s="125">
        <f t="shared" si="7"/>
        <v>0.84345823690550781</v>
      </c>
    </row>
    <row r="41" spans="1:9" s="55" customFormat="1" ht="12.75" customHeight="1" x14ac:dyDescent="0.2">
      <c r="A41">
        <v>1192014</v>
      </c>
      <c r="B41" t="str">
        <f>INDEX('Inntektsramme 2016'!$B$3:$B$146,MATCH(A41,'Inntektsramme 2016'!$A$3:$A$146,0))</f>
        <v>Gauldal Nett AS</v>
      </c>
      <c r="C41" s="249">
        <v>0.89500713348388672</v>
      </c>
      <c r="D41" s="123">
        <f>VLOOKUP(A41,IRData!$A$3:$AI$146,16,FALSE)</f>
        <v>76207.53</v>
      </c>
      <c r="E41" s="123">
        <f>VLOOKUP(A41,IRData!$A$3:$AI$146,35,FALSE)</f>
        <v>32432.549858199254</v>
      </c>
      <c r="F41" s="124">
        <f t="shared" si="4"/>
        <v>29027.363480160151</v>
      </c>
      <c r="G41" s="124">
        <f t="shared" si="5"/>
        <v>4256.8164516779834</v>
      </c>
      <c r="H41" s="124">
        <f t="shared" si="6"/>
        <v>33284.179931838138</v>
      </c>
      <c r="I41" s="125">
        <f t="shared" si="7"/>
        <v>1.0262584988649477</v>
      </c>
    </row>
    <row r="42" spans="1:9" s="55" customFormat="1" ht="12.75" customHeight="1" x14ac:dyDescent="0.2">
      <c r="A42">
        <v>1322014</v>
      </c>
      <c r="B42" t="str">
        <f>INDEX('Inntektsramme 2016'!$B$3:$B$146,MATCH(A42,'Inntektsramme 2016'!$A$3:$A$146,0))</f>
        <v>Nord-Salten Kraft AS</v>
      </c>
      <c r="C42" s="249">
        <v>0.99620193243026733</v>
      </c>
      <c r="D42" s="123">
        <f>VLOOKUP(A42,IRData!$A$3:$AI$146,16,FALSE)</f>
        <v>70326.3</v>
      </c>
      <c r="E42" s="123">
        <f>VLOOKUP(A42,IRData!$A$3:$AI$146,35,FALSE)</f>
        <v>51155.563944467918</v>
      </c>
      <c r="F42" s="124">
        <f t="shared" si="4"/>
        <v>50961.271656039047</v>
      </c>
      <c r="G42" s="124">
        <f t="shared" si="5"/>
        <v>3928.3014529619495</v>
      </c>
      <c r="H42" s="124">
        <f t="shared" si="6"/>
        <v>54889.573109000994</v>
      </c>
      <c r="I42" s="125">
        <f t="shared" si="7"/>
        <v>1.0729932167024205</v>
      </c>
    </row>
    <row r="43" spans="1:9" s="55" customFormat="1" ht="12.75" customHeight="1" x14ac:dyDescent="0.2">
      <c r="A43">
        <v>1332014</v>
      </c>
      <c r="B43" t="str">
        <f>INDEX('Inntektsramme 2016'!$B$3:$B$146,MATCH(A43,'Inntektsramme 2016'!$A$3:$A$146,0))</f>
        <v>Ymber AS</v>
      </c>
      <c r="C43" s="249">
        <v>0.93481993675231934</v>
      </c>
      <c r="D43" s="123">
        <f>VLOOKUP(A43,IRData!$A$3:$AI$146,16,FALSE)</f>
        <v>143132.15</v>
      </c>
      <c r="E43" s="123">
        <f>VLOOKUP(A43,IRData!$A$3:$AI$146,35,FALSE)</f>
        <v>67071.137157854333</v>
      </c>
      <c r="F43" s="124">
        <f t="shared" si="4"/>
        <v>62699.436195811526</v>
      </c>
      <c r="G43" s="124">
        <f t="shared" si="5"/>
        <v>7995.1061382522284</v>
      </c>
      <c r="H43" s="124">
        <f t="shared" si="6"/>
        <v>70694.54233406375</v>
      </c>
      <c r="I43" s="125">
        <f t="shared" si="7"/>
        <v>1.054023315091283</v>
      </c>
    </row>
    <row r="44" spans="1:9" s="55" customFormat="1" ht="12.75" customHeight="1" x14ac:dyDescent="0.2">
      <c r="A44">
        <v>1352014</v>
      </c>
      <c r="B44" t="str">
        <f>INDEX('Inntektsramme 2016'!$B$3:$B$146,MATCH(A44,'Inntektsramme 2016'!$A$3:$A$146,0))</f>
        <v>Nord-Østerdal Kraftlag SA</v>
      </c>
      <c r="C44" s="249">
        <v>0.87919074296951294</v>
      </c>
      <c r="D44" s="123">
        <f>VLOOKUP(A44,IRData!$A$3:$AI$146,16,FALSE)</f>
        <v>180640.52</v>
      </c>
      <c r="E44" s="123">
        <f>VLOOKUP(A44,IRData!$A$3:$AI$146,35,FALSE)</f>
        <v>75548.633265919125</v>
      </c>
      <c r="F44" s="124">
        <f t="shared" si="4"/>
        <v>66421.659011394702</v>
      </c>
      <c r="G44" s="124">
        <f t="shared" si="5"/>
        <v>10090.256663293847</v>
      </c>
      <c r="H44" s="124">
        <f t="shared" si="6"/>
        <v>76511.915674688556</v>
      </c>
      <c r="I44" s="125">
        <f t="shared" si="7"/>
        <v>1.0127504941800711</v>
      </c>
    </row>
    <row r="45" spans="1:9" s="55" customFormat="1" ht="12.75" customHeight="1" x14ac:dyDescent="0.2">
      <c r="A45">
        <v>1382014</v>
      </c>
      <c r="B45" t="str">
        <f>INDEX('Inntektsramme 2016'!$B$3:$B$146,MATCH(A45,'Inntektsramme 2016'!$A$3:$A$146,0))</f>
        <v>Nordkyn Kraftlag AL</v>
      </c>
      <c r="C45" s="249">
        <v>0.73018181324005127</v>
      </c>
      <c r="D45" s="123">
        <f>VLOOKUP(A45,IRData!$A$3:$AI$146,16,FALSE)</f>
        <v>24084.46</v>
      </c>
      <c r="E45" s="123">
        <f>VLOOKUP(A45,IRData!$A$3:$AI$146,35,FALSE)</f>
        <v>21446.626395279483</v>
      </c>
      <c r="F45" s="124">
        <f t="shared" si="4"/>
        <v>15659.936549187118</v>
      </c>
      <c r="G45" s="124">
        <f t="shared" si="5"/>
        <v>1345.3148994302835</v>
      </c>
      <c r="H45" s="124">
        <f t="shared" si="6"/>
        <v>17005.2514486174</v>
      </c>
      <c r="I45" s="125">
        <f t="shared" si="7"/>
        <v>0.79291032236008674</v>
      </c>
    </row>
    <row r="46" spans="1:9" s="55" customFormat="1" ht="12.75" customHeight="1" x14ac:dyDescent="0.2">
      <c r="A46">
        <v>1462014</v>
      </c>
      <c r="B46" t="str">
        <f>INDEX('Inntektsramme 2016'!$B$3:$B$146,MATCH(A46,'Inntektsramme 2016'!$A$3:$A$146,0))</f>
        <v>Odda Energi AS</v>
      </c>
      <c r="C46" s="249">
        <v>0.90513920783996582</v>
      </c>
      <c r="D46" s="123">
        <f>VLOOKUP(A46,IRData!$A$3:$AI$146,16,FALSE)</f>
        <v>101121.2</v>
      </c>
      <c r="E46" s="123">
        <f>VLOOKUP(A46,IRData!$A$3:$AI$146,35,FALSE)</f>
        <v>30481.802645979053</v>
      </c>
      <c r="F46" s="124">
        <f t="shared" si="4"/>
        <v>27590.274700515653</v>
      </c>
      <c r="G46" s="124">
        <f t="shared" si="5"/>
        <v>5648.4495400050318</v>
      </c>
      <c r="H46" s="124">
        <f t="shared" si="6"/>
        <v>33238.724240520685</v>
      </c>
      <c r="I46" s="125">
        <f t="shared" si="7"/>
        <v>1.0904448344660256</v>
      </c>
    </row>
    <row r="47" spans="1:9" s="55" customFormat="1" ht="12.75" customHeight="1" x14ac:dyDescent="0.2">
      <c r="A47">
        <v>1472014</v>
      </c>
      <c r="B47" t="str">
        <f>INDEX('Inntektsramme 2016'!$B$3:$B$146,MATCH(A47,'Inntektsramme 2016'!$A$3:$A$146,0))</f>
        <v>Evenes Kraftforsyning AS</v>
      </c>
      <c r="C47" s="249">
        <v>0.71979624032974243</v>
      </c>
      <c r="D47" s="123">
        <f>VLOOKUP(A47,IRData!$A$3:$AI$146,16,FALSE)</f>
        <v>18110.310000000001</v>
      </c>
      <c r="E47" s="123">
        <f>VLOOKUP(A47,IRData!$A$3:$AI$146,35,FALSE)</f>
        <v>11552.377483278517</v>
      </c>
      <c r="F47" s="124">
        <f t="shared" si="4"/>
        <v>8315.3578793338474</v>
      </c>
      <c r="G47" s="124">
        <f t="shared" si="5"/>
        <v>1011.6095555516404</v>
      </c>
      <c r="H47" s="124">
        <f t="shared" si="6"/>
        <v>9326.9674348854878</v>
      </c>
      <c r="I47" s="125">
        <f t="shared" si="7"/>
        <v>0.80736345816138733</v>
      </c>
    </row>
    <row r="48" spans="1:9" s="55" customFormat="1" ht="12.75" customHeight="1" x14ac:dyDescent="0.2">
      <c r="A48">
        <v>1492014</v>
      </c>
      <c r="B48" t="str">
        <f>INDEX('Inntektsramme 2016'!$B$3:$B$146,MATCH(A48,'Inntektsramme 2016'!$A$3:$A$146,0))</f>
        <v>Oppdal Everk AS</v>
      </c>
      <c r="C48" s="249">
        <v>0.81734657287597656</v>
      </c>
      <c r="D48" s="123">
        <f>VLOOKUP(A48,IRData!$A$3:$AI$146,16,FALSE)</f>
        <v>93994.64</v>
      </c>
      <c r="E48" s="123">
        <f>VLOOKUP(A48,IRData!$A$3:$AI$146,35,FALSE)</f>
        <v>31355.258040035817</v>
      </c>
      <c r="F48" s="124">
        <f t="shared" si="4"/>
        <v>25628.112700665184</v>
      </c>
      <c r="G48" s="124">
        <f t="shared" si="5"/>
        <v>5250.3726327509812</v>
      </c>
      <c r="H48" s="124">
        <f t="shared" si="6"/>
        <v>30878.485333416167</v>
      </c>
      <c r="I48" s="125">
        <f t="shared" si="7"/>
        <v>0.98479448945976189</v>
      </c>
    </row>
    <row r="49" spans="1:9" s="55" customFormat="1" ht="12.75" customHeight="1" x14ac:dyDescent="0.2">
      <c r="A49">
        <v>1532014</v>
      </c>
      <c r="B49" t="str">
        <f>INDEX('Inntektsramme 2016'!$B$3:$B$146,MATCH(A49,'Inntektsramme 2016'!$A$3:$A$146,0))</f>
        <v>Orkdal Energi AS</v>
      </c>
      <c r="C49" s="249">
        <v>0.80654627084732056</v>
      </c>
      <c r="D49" s="123">
        <f>VLOOKUP(A49,IRData!$A$3:$AI$146,16,FALSE)</f>
        <v>109899.11</v>
      </c>
      <c r="E49" s="123">
        <f>VLOOKUP(A49,IRData!$A$3:$AI$146,35,FALSE)</f>
        <v>33514.58177543927</v>
      </c>
      <c r="F49" s="124">
        <f t="shared" si="4"/>
        <v>27031.060949988114</v>
      </c>
      <c r="G49" s="124">
        <f t="shared" si="5"/>
        <v>6138.7679074858925</v>
      </c>
      <c r="H49" s="124">
        <f t="shared" si="6"/>
        <v>33169.828857474007</v>
      </c>
      <c r="I49" s="125">
        <f t="shared" si="7"/>
        <v>0.98971334566323277</v>
      </c>
    </row>
    <row r="50" spans="1:9" s="55" customFormat="1" ht="12.75" customHeight="1" x14ac:dyDescent="0.2">
      <c r="A50">
        <v>1572014</v>
      </c>
      <c r="B50" t="str">
        <f>INDEX('Inntektsramme 2016'!$B$3:$B$146,MATCH(A50,'Inntektsramme 2016'!$A$3:$A$146,0))</f>
        <v>Rakkestad Energi AS</v>
      </c>
      <c r="C50" s="249">
        <v>0.77902984619140625</v>
      </c>
      <c r="D50" s="123">
        <f>VLOOKUP(A50,IRData!$A$3:$AI$146,16,FALSE)</f>
        <v>67693.23</v>
      </c>
      <c r="E50" s="123">
        <f>VLOOKUP(A50,IRData!$A$3:$AI$146,35,FALSE)</f>
        <v>26422.266636278553</v>
      </c>
      <c r="F50" s="124">
        <f t="shared" si="4"/>
        <v>20583.734313688405</v>
      </c>
      <c r="G50" s="124">
        <f t="shared" si="5"/>
        <v>3781.2228677562653</v>
      </c>
      <c r="H50" s="124">
        <f t="shared" si="6"/>
        <v>24364.957181444668</v>
      </c>
      <c r="I50" s="125">
        <f t="shared" si="7"/>
        <v>0.92213728355881708</v>
      </c>
    </row>
    <row r="51" spans="1:9" s="55" customFormat="1" ht="12.75" customHeight="1" x14ac:dyDescent="0.2">
      <c r="A51">
        <v>1612014</v>
      </c>
      <c r="B51" t="str">
        <f>INDEX('Inntektsramme 2016'!$B$3:$B$146,MATCH(A51,'Inntektsramme 2016'!$A$3:$A$146,0))</f>
        <v>Rauland Kraftforsyningslag SA</v>
      </c>
      <c r="C51" s="249">
        <v>0.8123900294303894</v>
      </c>
      <c r="D51" s="123">
        <f>VLOOKUP(A51,IRData!$A$3:$AI$146,16,FALSE)</f>
        <v>32239.200000000001</v>
      </c>
      <c r="E51" s="123">
        <f>VLOOKUP(A51,IRData!$A$3:$AI$146,35,FALSE)</f>
        <v>22438.650135984335</v>
      </c>
      <c r="F51" s="124">
        <f t="shared" si="4"/>
        <v>18228.935644350524</v>
      </c>
      <c r="G51" s="124">
        <f t="shared" si="5"/>
        <v>1800.8241042445129</v>
      </c>
      <c r="H51" s="124">
        <f t="shared" si="6"/>
        <v>20029.759748595035</v>
      </c>
      <c r="I51" s="125">
        <f t="shared" si="7"/>
        <v>0.89264548567802571</v>
      </c>
    </row>
    <row r="52" spans="1:9" ht="12.75" customHeight="1" x14ac:dyDescent="0.2">
      <c r="A52">
        <v>1622014</v>
      </c>
      <c r="B52" t="str">
        <f>INDEX('Inntektsramme 2016'!$B$3:$B$146,MATCH(A52,'Inntektsramme 2016'!$A$3:$A$146,0))</f>
        <v>Rauma Energi AS</v>
      </c>
      <c r="C52" s="249">
        <v>0.81394445896148682</v>
      </c>
      <c r="D52" s="123">
        <f>VLOOKUP(A52,IRData!$A$3:$AI$146,16,FALSE)</f>
        <v>88142.7</v>
      </c>
      <c r="E52" s="123">
        <f>VLOOKUP(A52,IRData!$A$3:$AI$146,35,FALSE)</f>
        <v>40203.255669513637</v>
      </c>
      <c r="F52" s="124">
        <f t="shared" si="4"/>
        <v>32723.217184412606</v>
      </c>
      <c r="G52" s="124">
        <f t="shared" si="5"/>
        <v>4923.4937210970747</v>
      </c>
      <c r="H52" s="124">
        <f t="shared" si="6"/>
        <v>37646.710905509681</v>
      </c>
      <c r="I52" s="125">
        <f t="shared" si="7"/>
        <v>0.9364095090949911</v>
      </c>
    </row>
    <row r="53" spans="1:9" s="55" customFormat="1" ht="12.75" customHeight="1" x14ac:dyDescent="0.2">
      <c r="A53">
        <v>1632014</v>
      </c>
      <c r="B53" t="str">
        <f>INDEX('Inntektsramme 2016'!$B$3:$B$146,MATCH(A53,'Inntektsramme 2016'!$A$3:$A$146,0))</f>
        <v>Kvikne-Rennebu Kraftlag AL</v>
      </c>
      <c r="C53" s="249">
        <v>0.76004290580749512</v>
      </c>
      <c r="D53" s="123">
        <f>VLOOKUP(A53,IRData!$A$3:$AI$146,16,FALSE)</f>
        <v>76415.59</v>
      </c>
      <c r="E53" s="123">
        <f>VLOOKUP(A53,IRData!$A$3:$AI$146,35,FALSE)</f>
        <v>28814.219964168471</v>
      </c>
      <c r="F53" s="124">
        <f t="shared" si="4"/>
        <v>21900.043470142944</v>
      </c>
      <c r="G53" s="124">
        <f t="shared" si="5"/>
        <v>4268.4383114986085</v>
      </c>
      <c r="H53" s="124">
        <f t="shared" si="6"/>
        <v>26168.481781641553</v>
      </c>
      <c r="I53" s="125">
        <f t="shared" si="7"/>
        <v>0.90817942717807421</v>
      </c>
    </row>
    <row r="54" spans="1:9" s="55" customFormat="1" ht="12.75" customHeight="1" x14ac:dyDescent="0.2">
      <c r="A54">
        <v>1642014</v>
      </c>
      <c r="B54" t="str">
        <f>INDEX('Inntektsramme 2016'!$B$3:$B$146,MATCH(A54,'Inntektsramme 2016'!$A$3:$A$146,0))</f>
        <v>Repvåg Kraftlag SA</v>
      </c>
      <c r="C54" s="249">
        <v>0.70128178596496582</v>
      </c>
      <c r="D54" s="123">
        <f>VLOOKUP(A54,IRData!$A$3:$AI$146,16,FALSE)</f>
        <v>133972.46</v>
      </c>
      <c r="E54" s="123">
        <f>VLOOKUP(A54,IRData!$A$3:$AI$146,35,FALSE)</f>
        <v>53043.579814147946</v>
      </c>
      <c r="F54" s="124">
        <f t="shared" si="4"/>
        <v>37198.496386040882</v>
      </c>
      <c r="G54" s="124">
        <f t="shared" si="5"/>
        <v>7483.4622221684722</v>
      </c>
      <c r="H54" s="124">
        <f t="shared" si="6"/>
        <v>44681.958608209352</v>
      </c>
      <c r="I54" s="125">
        <f t="shared" si="7"/>
        <v>0.84236318070470129</v>
      </c>
    </row>
    <row r="55" spans="1:9" s="55" customFormat="1" ht="12.75" customHeight="1" x14ac:dyDescent="0.2">
      <c r="A55">
        <v>1662014</v>
      </c>
      <c r="B55" t="str">
        <f>INDEX('Inntektsramme 2016'!$B$3:$B$146,MATCH(A55,'Inntektsramme 2016'!$A$3:$A$146,0))</f>
        <v>Rissa Kraftlag BA</v>
      </c>
      <c r="C55" s="249">
        <v>0.85119509696960449</v>
      </c>
      <c r="D55" s="123">
        <f>VLOOKUP(A55,IRData!$A$3:$AI$146,16,FALSE)</f>
        <v>48507.27</v>
      </c>
      <c r="E55" s="123">
        <f>VLOOKUP(A55,IRData!$A$3:$AI$146,35,FALSE)</f>
        <v>18309.863630335494</v>
      </c>
      <c r="F55" s="124">
        <f t="shared" si="4"/>
        <v>15585.266148323655</v>
      </c>
      <c r="G55" s="124">
        <f t="shared" si="5"/>
        <v>2709.529425267895</v>
      </c>
      <c r="H55" s="124">
        <f t="shared" si="6"/>
        <v>18294.795573591549</v>
      </c>
      <c r="I55" s="125">
        <f t="shared" si="7"/>
        <v>0.99917705248667277</v>
      </c>
    </row>
    <row r="56" spans="1:9" s="55" customFormat="1" ht="12.75" customHeight="1" x14ac:dyDescent="0.2">
      <c r="A56">
        <v>1682014</v>
      </c>
      <c r="B56" t="str">
        <f>INDEX('Inntektsramme 2016'!$B$3:$B$146,MATCH(A56,'Inntektsramme 2016'!$A$3:$A$146,0))</f>
        <v>Rollag Elektrisitetsverk SA</v>
      </c>
      <c r="C56" s="249">
        <v>0.87556231021881104</v>
      </c>
      <c r="D56" s="123">
        <f>VLOOKUP(A56,IRData!$A$3:$AI$146,16,FALSE)</f>
        <v>17508.349999999999</v>
      </c>
      <c r="E56" s="123">
        <f>VLOOKUP(A56,IRData!$A$3:$AI$146,35,FALSE)</f>
        <v>11431.71780696456</v>
      </c>
      <c r="F56" s="124">
        <f t="shared" si="4"/>
        <v>10009.181252835409</v>
      </c>
      <c r="G56" s="124">
        <f t="shared" si="5"/>
        <v>977.98514558517013</v>
      </c>
      <c r="H56" s="124">
        <f t="shared" si="6"/>
        <v>10987.166398420579</v>
      </c>
      <c r="I56" s="125">
        <f t="shared" si="7"/>
        <v>0.96111245780812171</v>
      </c>
    </row>
    <row r="57" spans="1:9" s="55" customFormat="1" ht="12.75" customHeight="1" x14ac:dyDescent="0.2">
      <c r="A57">
        <v>1712014</v>
      </c>
      <c r="B57" t="str">
        <f>INDEX('Inntektsramme 2016'!$B$3:$B$146,MATCH(A57,'Inntektsramme 2016'!$A$3:$A$146,0))</f>
        <v>Rødøy-Lurøy Kraftverk AS</v>
      </c>
      <c r="C57" s="249">
        <v>0.90903937816619873</v>
      </c>
      <c r="D57" s="123">
        <f>VLOOKUP(A57,IRData!$A$3:$AI$146,16,FALSE)</f>
        <v>115565.21</v>
      </c>
      <c r="E57" s="123">
        <f>VLOOKUP(A57,IRData!$A$3:$AI$146,35,FALSE)</f>
        <v>49280.987372719064</v>
      </c>
      <c r="F57" s="124">
        <f t="shared" si="4"/>
        <v>44798.358116712829</v>
      </c>
      <c r="G57" s="124">
        <f t="shared" si="5"/>
        <v>6455.266128814581</v>
      </c>
      <c r="H57" s="124">
        <f t="shared" si="6"/>
        <v>51253.624245527411</v>
      </c>
      <c r="I57" s="125">
        <f t="shared" si="7"/>
        <v>1.0400283553145764</v>
      </c>
    </row>
    <row r="58" spans="1:9" s="55" customFormat="1" ht="12.75" customHeight="1" x14ac:dyDescent="0.2">
      <c r="A58">
        <v>1732014</v>
      </c>
      <c r="B58" t="str">
        <f>INDEX('Inntektsramme 2016'!$B$3:$B$146,MATCH(A58,'Inntektsramme 2016'!$A$3:$A$146,0))</f>
        <v>Røros Elektrisitetsverk AS</v>
      </c>
      <c r="C58" s="249">
        <v>0.83901643753051758</v>
      </c>
      <c r="D58" s="123">
        <f>VLOOKUP(A58,IRData!$A$3:$AI$146,16,FALSE)</f>
        <v>59737.46</v>
      </c>
      <c r="E58" s="123">
        <f>VLOOKUP(A58,IRData!$A$3:$AI$146,35,FALSE)</f>
        <v>29698.976540480147</v>
      </c>
      <c r="F58" s="124">
        <f t="shared" si="4"/>
        <v>24917.92949529607</v>
      </c>
      <c r="G58" s="124">
        <f t="shared" si="5"/>
        <v>3336.8277716054499</v>
      </c>
      <c r="H58" s="124">
        <f t="shared" si="6"/>
        <v>28254.757266901521</v>
      </c>
      <c r="I58" s="125">
        <f t="shared" si="7"/>
        <v>0.95137141269463832</v>
      </c>
    </row>
    <row r="59" spans="1:9" s="55" customFormat="1" ht="12.75" customHeight="1" x14ac:dyDescent="0.2">
      <c r="A59">
        <v>1812014</v>
      </c>
      <c r="B59" t="str">
        <f>INDEX('Inntektsramme 2016'!$B$3:$B$146,MATCH(A59,'Inntektsramme 2016'!$A$3:$A$146,0))</f>
        <v>Sandøy Energi AS</v>
      </c>
      <c r="C59" s="249">
        <v>1.0613934993743896</v>
      </c>
      <c r="D59" s="123">
        <f>VLOOKUP(A59,IRData!$A$3:$AI$146,16,FALSE)</f>
        <v>21402.91</v>
      </c>
      <c r="E59" s="123">
        <f>VLOOKUP(A59,IRData!$A$3:$AI$146,35,FALSE)</f>
        <v>10076.422801783596</v>
      </c>
      <c r="F59" s="124">
        <f t="shared" si="4"/>
        <v>10695.049658760983</v>
      </c>
      <c r="G59" s="124">
        <f t="shared" si="5"/>
        <v>1195.5283080528029</v>
      </c>
      <c r="H59" s="124">
        <f t="shared" si="6"/>
        <v>11890.577966813786</v>
      </c>
      <c r="I59" s="125">
        <f t="shared" si="7"/>
        <v>1.1800396034105547</v>
      </c>
    </row>
    <row r="60" spans="1:9" s="55" customFormat="1" ht="12.75" customHeight="1" x14ac:dyDescent="0.2">
      <c r="A60">
        <v>1832014</v>
      </c>
      <c r="B60" t="str">
        <f>INDEX('Inntektsramme 2016'!$B$3:$B$146,MATCH(A60,'Inntektsramme 2016'!$A$3:$A$146,0))</f>
        <v>Hjartdal Elverk AS</v>
      </c>
      <c r="C60" s="249">
        <v>0.79289299249649048</v>
      </c>
      <c r="D60" s="123">
        <f>VLOOKUP(A60,IRData!$A$3:$AI$146,16,FALSE)</f>
        <v>40493.93</v>
      </c>
      <c r="E60" s="123">
        <f>VLOOKUP(A60,IRData!$A$3:$AI$146,35,FALSE)</f>
        <v>15177.280573205324</v>
      </c>
      <c r="F60" s="124">
        <f t="shared" si="4"/>
        <v>12033.95941164762</v>
      </c>
      <c r="G60" s="124">
        <f t="shared" si="5"/>
        <v>2261.9185717880719</v>
      </c>
      <c r="H60" s="124">
        <f t="shared" si="6"/>
        <v>14295.877983435692</v>
      </c>
      <c r="I60" s="125">
        <f t="shared" si="7"/>
        <v>0.94192618463378075</v>
      </c>
    </row>
    <row r="61" spans="1:9" s="55" customFormat="1" ht="12.75" customHeight="1" x14ac:dyDescent="0.2">
      <c r="A61">
        <v>1842014</v>
      </c>
      <c r="B61" t="str">
        <f>INDEX('Inntektsramme 2016'!$B$3:$B$146,MATCH(A61,'Inntektsramme 2016'!$A$3:$A$146,0))</f>
        <v>Selbu Energiverk AS</v>
      </c>
      <c r="C61" s="249">
        <v>0.76679074764251709</v>
      </c>
      <c r="D61" s="123">
        <f>VLOOKUP(A61,IRData!$A$3:$AI$146,16,FALSE)</f>
        <v>66646.87</v>
      </c>
      <c r="E61" s="123">
        <f>VLOOKUP(A61,IRData!$A$3:$AI$146,35,FALSE)</f>
        <v>22646.126352236137</v>
      </c>
      <c r="F61" s="124">
        <f t="shared" si="4"/>
        <v>17364.840156838054</v>
      </c>
      <c r="G61" s="124">
        <f t="shared" si="5"/>
        <v>3722.7750678816624</v>
      </c>
      <c r="H61" s="124">
        <f t="shared" si="6"/>
        <v>21087.615224719717</v>
      </c>
      <c r="I61" s="125">
        <f t="shared" si="7"/>
        <v>0.93117979193105893</v>
      </c>
    </row>
    <row r="62" spans="1:9" s="55" customFormat="1" ht="12.75" customHeight="1" x14ac:dyDescent="0.2">
      <c r="A62">
        <v>1942014</v>
      </c>
      <c r="B62" t="str">
        <f>INDEX('Inntektsramme 2016'!$B$3:$B$146,MATCH(A62,'Inntektsramme 2016'!$A$3:$A$146,0))</f>
        <v>Skjåk Energi KF</v>
      </c>
      <c r="C62" s="249">
        <v>0.70474576950073242</v>
      </c>
      <c r="D62" s="123">
        <f>VLOOKUP(A62,IRData!$A$3:$AI$146,16,FALSE)</f>
        <v>32589.670000000002</v>
      </c>
      <c r="E62" s="123">
        <f>VLOOKUP(A62,IRData!$A$3:$AI$146,35,FALSE)</f>
        <v>19208.990994257332</v>
      </c>
      <c r="F62" s="124">
        <f t="shared" si="4"/>
        <v>13537.455139580523</v>
      </c>
      <c r="G62" s="124">
        <f t="shared" si="5"/>
        <v>1820.40073219479</v>
      </c>
      <c r="H62" s="124">
        <f t="shared" si="6"/>
        <v>15357.855871775313</v>
      </c>
      <c r="I62" s="125">
        <f t="shared" si="7"/>
        <v>0.79951392951179245</v>
      </c>
    </row>
    <row r="63" spans="1:9" s="55" customFormat="1" ht="12.75" customHeight="1" x14ac:dyDescent="0.2">
      <c r="A63">
        <v>1962014</v>
      </c>
      <c r="B63" t="str">
        <f>INDEX('Inntektsramme 2016'!$B$3:$B$146,MATCH(A63,'Inntektsramme 2016'!$A$3:$A$146,0))</f>
        <v>Skånevik Ølen Kraftlag SA</v>
      </c>
      <c r="C63" s="249">
        <v>0.68977969884872437</v>
      </c>
      <c r="D63" s="123">
        <f>VLOOKUP(A63,IRData!$A$3:$AI$146,16,FALSE)</f>
        <v>102205.94</v>
      </c>
      <c r="E63" s="123">
        <f>VLOOKUP(A63,IRData!$A$3:$AI$146,35,FALSE)</f>
        <v>29950.84000687773</v>
      </c>
      <c r="F63" s="124">
        <f t="shared" si="4"/>
        <v>20659.481400210447</v>
      </c>
      <c r="G63" s="124">
        <f t="shared" si="5"/>
        <v>5709.0411780989743</v>
      </c>
      <c r="H63" s="124">
        <f t="shared" si="6"/>
        <v>26368.522578309421</v>
      </c>
      <c r="I63" s="125">
        <f t="shared" si="7"/>
        <v>0.88039342376555429</v>
      </c>
    </row>
    <row r="64" spans="1:9" s="55" customFormat="1" ht="12.75" customHeight="1" x14ac:dyDescent="0.2">
      <c r="A64">
        <v>1972014</v>
      </c>
      <c r="B64" t="str">
        <f>INDEX('Inntektsramme 2016'!$B$3:$B$146,MATCH(A64,'Inntektsramme 2016'!$A$3:$A$146,0))</f>
        <v>Sognekraft AS</v>
      </c>
      <c r="C64" s="249">
        <v>0.81172710657119751</v>
      </c>
      <c r="D64" s="123">
        <f>VLOOKUP(A64,IRData!$A$3:$AI$146,16,FALSE)</f>
        <v>175487.5</v>
      </c>
      <c r="E64" s="123">
        <f>VLOOKUP(A64,IRData!$A$3:$AI$146,35,FALSE)</f>
        <v>60223.51568502291</v>
      </c>
      <c r="F64" s="124">
        <f t="shared" si="4"/>
        <v>48885.060134548774</v>
      </c>
      <c r="G64" s="124">
        <f t="shared" si="5"/>
        <v>9802.4181739500036</v>
      </c>
      <c r="H64" s="124">
        <f t="shared" si="6"/>
        <v>58687.478308498779</v>
      </c>
      <c r="I64" s="125">
        <f t="shared" si="7"/>
        <v>0.97449439211490385</v>
      </c>
    </row>
    <row r="65" spans="1:9" s="55" customFormat="1" ht="12.75" customHeight="1" x14ac:dyDescent="0.2">
      <c r="A65">
        <v>2042014</v>
      </c>
      <c r="B65" t="str">
        <f>INDEX('Inntektsramme 2016'!$B$3:$B$146,MATCH(A65,'Inntektsramme 2016'!$A$3:$A$146,0))</f>
        <v>Stranda Energi AS</v>
      </c>
      <c r="C65" s="249">
        <v>0.93856459856033325</v>
      </c>
      <c r="D65" s="123">
        <f>VLOOKUP(A65,IRData!$A$3:$AI$146,16,FALSE)</f>
        <v>45745.93</v>
      </c>
      <c r="E65" s="123">
        <f>VLOOKUP(A65,IRData!$A$3:$AI$146,35,FALSE)</f>
        <v>21068.531953985876</v>
      </c>
      <c r="F65" s="124">
        <f t="shared" si="4"/>
        <v>19774.178235648305</v>
      </c>
      <c r="G65" s="124">
        <f t="shared" si="5"/>
        <v>2555.2859070659997</v>
      </c>
      <c r="H65" s="124">
        <f t="shared" si="6"/>
        <v>22329.464142714307</v>
      </c>
      <c r="I65" s="125">
        <f t="shared" si="7"/>
        <v>1.0598490768831135</v>
      </c>
    </row>
    <row r="66" spans="1:9" s="55" customFormat="1" ht="12.75" customHeight="1" x14ac:dyDescent="0.2">
      <c r="A66">
        <v>2052014</v>
      </c>
      <c r="B66" t="str">
        <f>INDEX('Inntektsramme 2016'!$B$3:$B$146,MATCH(A66,'Inntektsramme 2016'!$A$3:$A$146,0))</f>
        <v>Stryn Energi AS</v>
      </c>
      <c r="C66" s="249">
        <v>0.81809550523757935</v>
      </c>
      <c r="D66" s="123">
        <f>VLOOKUP(A66,IRData!$A$3:$AI$146,16,FALSE)</f>
        <v>83206.83</v>
      </c>
      <c r="E66" s="123">
        <f>VLOOKUP(A66,IRData!$A$3:$AI$146,35,FALSE)</f>
        <v>31151.034630853312</v>
      </c>
      <c r="F66" s="124">
        <f t="shared" si="4"/>
        <v>25484.521415001273</v>
      </c>
      <c r="G66" s="124">
        <f t="shared" si="5"/>
        <v>4647.7848427310691</v>
      </c>
      <c r="H66" s="124">
        <f t="shared" si="6"/>
        <v>30132.306257732344</v>
      </c>
      <c r="I66" s="125">
        <f t="shared" si="7"/>
        <v>0.96729712559492398</v>
      </c>
    </row>
    <row r="67" spans="1:9" s="55" customFormat="1" ht="12.75" customHeight="1" x14ac:dyDescent="0.2">
      <c r="A67">
        <v>2062014</v>
      </c>
      <c r="B67" t="str">
        <f>INDEX('Inntektsramme 2016'!$B$3:$B$146,MATCH(A67,'Inntektsramme 2016'!$A$3:$A$146,0))</f>
        <v>Suldal Elverk KF</v>
      </c>
      <c r="C67" s="249">
        <v>0.93269193172454834</v>
      </c>
      <c r="D67" s="123">
        <f>VLOOKUP(A67,IRData!$A$3:$AI$146,16,FALSE)</f>
        <v>79132.490000000005</v>
      </c>
      <c r="E67" s="123">
        <f>VLOOKUP(A67,IRData!$A$3:$AI$146,35,FALSE)</f>
        <v>30452.647969112426</v>
      </c>
      <c r="F67" s="124">
        <f t="shared" si="4"/>
        <v>28402.939060439112</v>
      </c>
      <c r="G67" s="124">
        <f t="shared" si="5"/>
        <v>4420.1994907096914</v>
      </c>
      <c r="H67" s="124">
        <f t="shared" si="6"/>
        <v>32823.138551148804</v>
      </c>
      <c r="I67" s="125">
        <f t="shared" si="7"/>
        <v>1.0778418541612778</v>
      </c>
    </row>
    <row r="68" spans="1:9" s="55" customFormat="1" ht="12.75" customHeight="1" x14ac:dyDescent="0.2">
      <c r="A68">
        <v>2102014</v>
      </c>
      <c r="B68" t="str">
        <f>INDEX('Inntektsramme 2016'!$B$3:$B$146,MATCH(A68,'Inntektsramme 2016'!$A$3:$A$146,0))</f>
        <v>SKL Nett AS</v>
      </c>
      <c r="C68" s="249">
        <v>0.77107810974121094</v>
      </c>
      <c r="D68" s="123">
        <f>VLOOKUP(A68,IRData!$A$3:$AI$146,16,FALSE)</f>
        <v>143703.81</v>
      </c>
      <c r="E68" s="123">
        <f>VLOOKUP(A68,IRData!$A$3:$AI$146,35,FALSE)</f>
        <v>46252.397744407506</v>
      </c>
      <c r="F68" s="124">
        <f t="shared" ref="F68:F99" si="8">C68*E68</f>
        <v>35664.211423756387</v>
      </c>
      <c r="G68" s="124">
        <f t="shared" ref="G68:G99" si="9">(D68/$D$3)*$I$2</f>
        <v>8027.0380443613267</v>
      </c>
      <c r="H68" s="124">
        <f t="shared" ref="H68:H99" si="10">F68+G68</f>
        <v>43691.249468117712</v>
      </c>
      <c r="I68" s="125">
        <f t="shared" ref="I68:I99" si="11">H68/E68</f>
        <v>0.94462669177838532</v>
      </c>
    </row>
    <row r="69" spans="1:9" s="55" customFormat="1" ht="12.75" customHeight="1" x14ac:dyDescent="0.2">
      <c r="A69">
        <v>2132014</v>
      </c>
      <c r="B69" t="str">
        <f>INDEX('Inntektsramme 2016'!$B$3:$B$146,MATCH(A69,'Inntektsramme 2016'!$A$3:$A$146,0))</f>
        <v>Sykkylven Energi AS</v>
      </c>
      <c r="C69" s="249">
        <v>0.91541421413421631</v>
      </c>
      <c r="D69" s="123">
        <f>VLOOKUP(A69,IRData!$A$3:$AI$146,16,FALSE)</f>
        <v>59871.79</v>
      </c>
      <c r="E69" s="123">
        <f>VLOOKUP(A69,IRData!$A$3:$AI$146,35,FALSE)</f>
        <v>21373.668237201662</v>
      </c>
      <c r="F69" s="124">
        <f t="shared" si="8"/>
        <v>19565.759712523421</v>
      </c>
      <c r="G69" s="124">
        <f t="shared" si="9"/>
        <v>3344.3312053731352</v>
      </c>
      <c r="H69" s="124">
        <f t="shared" si="10"/>
        <v>22910.090917896556</v>
      </c>
      <c r="I69" s="125">
        <f t="shared" si="11"/>
        <v>1.0718839023626601</v>
      </c>
    </row>
    <row r="70" spans="1:9" s="55" customFormat="1" ht="12.75" customHeight="1" x14ac:dyDescent="0.2">
      <c r="A70">
        <v>2142014</v>
      </c>
      <c r="B70" t="str">
        <f>INDEX('Inntektsramme 2016'!$B$3:$B$146,MATCH(A70,'Inntektsramme 2016'!$A$3:$A$146,0))</f>
        <v>Sør Aurdal Energi AS</v>
      </c>
      <c r="C70" s="249">
        <v>0.82333886623382568</v>
      </c>
      <c r="D70" s="123">
        <f>VLOOKUP(A70,IRData!$A$3:$AI$146,16,FALSE)</f>
        <v>79772.83</v>
      </c>
      <c r="E70" s="123">
        <f>VLOOKUP(A70,IRData!$A$3:$AI$146,35,FALSE)</f>
        <v>23929.569806939915</v>
      </c>
      <c r="F70" s="124">
        <f t="shared" si="8"/>
        <v>19702.144874309095</v>
      </c>
      <c r="G70" s="124">
        <f t="shared" si="9"/>
        <v>4455.9677388954997</v>
      </c>
      <c r="H70" s="124">
        <f t="shared" si="10"/>
        <v>24158.112613204594</v>
      </c>
      <c r="I70" s="125">
        <f t="shared" si="11"/>
        <v>1.0095506441657132</v>
      </c>
    </row>
    <row r="71" spans="1:9" s="55" customFormat="1" ht="12.75" customHeight="1" x14ac:dyDescent="0.2">
      <c r="A71">
        <v>2152014</v>
      </c>
      <c r="B71" t="str">
        <f>INDEX('Inntektsramme 2016'!$B$3:$B$146,MATCH(A71,'Inntektsramme 2016'!$A$3:$A$146,0))</f>
        <v>TrønderEnergi Nett AS</v>
      </c>
      <c r="C71" s="249">
        <v>0.91848272085189819</v>
      </c>
      <c r="D71" s="123">
        <f>VLOOKUP(A71,IRData!$A$3:$AI$146,16,FALSE)</f>
        <v>1192523.1599999999</v>
      </c>
      <c r="E71" s="123">
        <f>VLOOKUP(A71,IRData!$A$3:$AI$146,35,FALSE)</f>
        <v>458818.52851204429</v>
      </c>
      <c r="F71" s="124">
        <f t="shared" si="8"/>
        <v>421416.89044500666</v>
      </c>
      <c r="G71" s="124">
        <f t="shared" si="9"/>
        <v>66612.212815387349</v>
      </c>
      <c r="H71" s="124">
        <f t="shared" si="10"/>
        <v>488029.10326039401</v>
      </c>
      <c r="I71" s="125">
        <f t="shared" si="11"/>
        <v>1.0636647670770405</v>
      </c>
    </row>
    <row r="72" spans="1:9" s="55" customFormat="1" ht="12.75" customHeight="1" x14ac:dyDescent="0.2">
      <c r="A72">
        <v>2182014</v>
      </c>
      <c r="B72" t="str">
        <f>INDEX('Inntektsramme 2016'!$B$3:$B$146,MATCH(A72,'Inntektsramme 2016'!$A$3:$A$146,0))</f>
        <v>Sørfold Kraftlag SA</v>
      </c>
      <c r="C72" s="249">
        <v>0.46331393718719482</v>
      </c>
      <c r="D72" s="123">
        <f>VLOOKUP(A72,IRData!$A$3:$AI$146,16,FALSE)</f>
        <v>21171.62</v>
      </c>
      <c r="E72" s="123">
        <f>VLOOKUP(A72,IRData!$A$3:$AI$146,35,FALSE)</f>
        <v>19798.155300378447</v>
      </c>
      <c r="F72" s="124">
        <f t="shared" si="8"/>
        <v>9172.7612812618681</v>
      </c>
      <c r="G72" s="124">
        <f t="shared" si="9"/>
        <v>1182.608861941525</v>
      </c>
      <c r="H72" s="124">
        <f t="shared" si="10"/>
        <v>10355.370143203392</v>
      </c>
      <c r="I72" s="125">
        <f t="shared" si="11"/>
        <v>0.52304722263722458</v>
      </c>
    </row>
    <row r="73" spans="1:9" s="55" customFormat="1" ht="12.75" customHeight="1" x14ac:dyDescent="0.2">
      <c r="A73">
        <v>2232014</v>
      </c>
      <c r="B73" t="str">
        <f>INDEX('Inntektsramme 2016'!$B$3:$B$146,MATCH(A73,'Inntektsramme 2016'!$A$3:$A$146,0))</f>
        <v>Tinn Energi AS</v>
      </c>
      <c r="C73" s="249">
        <v>0.67318570613861084</v>
      </c>
      <c r="D73" s="123">
        <f>VLOOKUP(A73,IRData!$A$3:$AI$146,16,FALSE)</f>
        <v>153605.85</v>
      </c>
      <c r="E73" s="123">
        <f>VLOOKUP(A73,IRData!$A$3:$AI$146,35,FALSE)</f>
        <v>52735.635334582395</v>
      </c>
      <c r="F73" s="124">
        <f t="shared" si="8"/>
        <v>35500.875911379124</v>
      </c>
      <c r="G73" s="124">
        <f t="shared" si="9"/>
        <v>8580.1483049507115</v>
      </c>
      <c r="H73" s="124">
        <f t="shared" si="10"/>
        <v>44081.024216329839</v>
      </c>
      <c r="I73" s="125">
        <f t="shared" si="11"/>
        <v>0.83588685215711944</v>
      </c>
    </row>
    <row r="74" spans="1:9" s="55" customFormat="1" ht="12.75" customHeight="1" x14ac:dyDescent="0.2">
      <c r="A74">
        <v>2272014</v>
      </c>
      <c r="B74" t="str">
        <f>INDEX('Inntektsramme 2016'!$B$3:$B$146,MATCH(A74,'Inntektsramme 2016'!$A$3:$A$146,0))</f>
        <v>Troms Kraft Nett AS</v>
      </c>
      <c r="C74" s="249">
        <v>0.92400151491165161</v>
      </c>
      <c r="D74" s="123">
        <f>VLOOKUP(A74,IRData!$A$3:$AI$146,16,FALSE)</f>
        <v>1196285.4099999999</v>
      </c>
      <c r="E74" s="123">
        <f>VLOOKUP(A74,IRData!$A$3:$AI$146,35,FALSE)</f>
        <v>353098.76060984557</v>
      </c>
      <c r="F74" s="124">
        <f t="shared" si="8"/>
        <v>326263.7897169239</v>
      </c>
      <c r="G74" s="124">
        <f t="shared" si="9"/>
        <v>66822.365377677779</v>
      </c>
      <c r="H74" s="124">
        <f t="shared" si="10"/>
        <v>393086.15509460168</v>
      </c>
      <c r="I74" s="125">
        <f t="shared" si="11"/>
        <v>1.1132470542113853</v>
      </c>
    </row>
    <row r="75" spans="1:9" s="55" customFormat="1" ht="12.75" customHeight="1" x14ac:dyDescent="0.2">
      <c r="A75">
        <v>2312014</v>
      </c>
      <c r="B75" t="str">
        <f>INDEX('Inntektsramme 2016'!$B$3:$B$146,MATCH(A75,'Inntektsramme 2016'!$A$3:$A$146,0))</f>
        <v>Trøgstad Elverk AS</v>
      </c>
      <c r="C75" s="249">
        <v>1.0333752632141113</v>
      </c>
      <c r="D75" s="123">
        <f>VLOOKUP(A75,IRData!$A$3:$AI$146,16,FALSE)</f>
        <v>38982.97</v>
      </c>
      <c r="E75" s="123">
        <f>VLOOKUP(A75,IRData!$A$3:$AI$146,35,FALSE)</f>
        <v>17164.676324290322</v>
      </c>
      <c r="F75" s="124">
        <f t="shared" si="8"/>
        <v>17737.551914598534</v>
      </c>
      <c r="G75" s="124">
        <f t="shared" si="9"/>
        <v>2177.5190461004222</v>
      </c>
      <c r="H75" s="124">
        <f t="shared" si="10"/>
        <v>19915.070960698955</v>
      </c>
      <c r="I75" s="125">
        <f t="shared" si="11"/>
        <v>1.1602357413822277</v>
      </c>
    </row>
    <row r="76" spans="1:9" s="55" customFormat="1" ht="12.75" customHeight="1" x14ac:dyDescent="0.2">
      <c r="A76">
        <v>2342014</v>
      </c>
      <c r="B76" t="str">
        <f>INDEX('Inntektsramme 2016'!$B$3:$B$146,MATCH(A76,'Inntektsramme 2016'!$A$3:$A$146,0))</f>
        <v>Tysnes Kraftlag SA</v>
      </c>
      <c r="C76" s="249">
        <v>0.62602502107620239</v>
      </c>
      <c r="D76" s="123">
        <f>VLOOKUP(A76,IRData!$A$3:$AI$146,16,FALSE)</f>
        <v>70070.77</v>
      </c>
      <c r="E76" s="123">
        <f>VLOOKUP(A76,IRData!$A$3:$AI$146,35,FALSE)</f>
        <v>30557.47768332421</v>
      </c>
      <c r="F76" s="124">
        <f t="shared" si="8"/>
        <v>19129.745610738624</v>
      </c>
      <c r="G76" s="124">
        <f t="shared" si="9"/>
        <v>3914.028003764774</v>
      </c>
      <c r="H76" s="124">
        <f t="shared" si="10"/>
        <v>23043.7736145034</v>
      </c>
      <c r="I76" s="125">
        <f t="shared" si="11"/>
        <v>0.75411242555136737</v>
      </c>
    </row>
    <row r="77" spans="1:9" s="55" customFormat="1" ht="12.75" customHeight="1" x14ac:dyDescent="0.2">
      <c r="A77">
        <v>2382014</v>
      </c>
      <c r="B77" t="str">
        <f>INDEX('Inntektsramme 2016'!$B$3:$B$146,MATCH(A77,'Inntektsramme 2016'!$A$3:$A$146,0))</f>
        <v>Hardanger Energi AS</v>
      </c>
      <c r="C77" s="249">
        <v>0.85049253702163696</v>
      </c>
      <c r="D77" s="123">
        <f>VLOOKUP(A77,IRData!$A$3:$AI$146,16,FALSE)</f>
        <v>107310.48</v>
      </c>
      <c r="E77" s="123">
        <f>VLOOKUP(A77,IRData!$A$3:$AI$146,35,FALSE)</f>
        <v>51096.135358126565</v>
      </c>
      <c r="F77" s="124">
        <f t="shared" si="8"/>
        <v>43456.881792734028</v>
      </c>
      <c r="G77" s="124">
        <f t="shared" si="9"/>
        <v>5994.1716612710215</v>
      </c>
      <c r="H77" s="124">
        <f t="shared" si="10"/>
        <v>49451.05345400505</v>
      </c>
      <c r="I77" s="125">
        <f t="shared" si="11"/>
        <v>0.96780418142015368</v>
      </c>
    </row>
    <row r="78" spans="1:9" s="55" customFormat="1" ht="12.75" customHeight="1" x14ac:dyDescent="0.2">
      <c r="A78">
        <v>2422014</v>
      </c>
      <c r="B78" t="str">
        <f>INDEX('Inntektsramme 2016'!$B$3:$B$146,MATCH(A78,'Inntektsramme 2016'!$A$3:$A$146,0))</f>
        <v>Uvdal Kraftforsyning SA</v>
      </c>
      <c r="C78" s="249">
        <v>0.67132264375686646</v>
      </c>
      <c r="D78" s="123">
        <f>VLOOKUP(A78,IRData!$A$3:$AI$146,16,FALSE)</f>
        <v>36101.440000000002</v>
      </c>
      <c r="E78" s="123">
        <f>VLOOKUP(A78,IRData!$A$3:$AI$146,35,FALSE)</f>
        <v>12024.825793862792</v>
      </c>
      <c r="F78" s="124">
        <f t="shared" si="8"/>
        <v>8072.53784265173</v>
      </c>
      <c r="G78" s="124">
        <f t="shared" si="9"/>
        <v>2016.5619292642818</v>
      </c>
      <c r="H78" s="124">
        <f t="shared" si="10"/>
        <v>10089.099771916011</v>
      </c>
      <c r="I78" s="125">
        <f t="shared" si="11"/>
        <v>0.83902253095968071</v>
      </c>
    </row>
    <row r="79" spans="1:9" s="55" customFormat="1" ht="12.75" customHeight="1" x14ac:dyDescent="0.2">
      <c r="A79">
        <v>2482014</v>
      </c>
      <c r="B79" t="str">
        <f>INDEX('Inntektsramme 2016'!$B$3:$B$146,MATCH(A79,'Inntektsramme 2016'!$A$3:$A$146,0))</f>
        <v>Vang Energiverk KF</v>
      </c>
      <c r="C79" s="249">
        <v>0.74730277061462402</v>
      </c>
      <c r="D79" s="123">
        <f>VLOOKUP(A79,IRData!$A$3:$AI$146,16,FALSE)</f>
        <v>40769.660000000003</v>
      </c>
      <c r="E79" s="123">
        <f>VLOOKUP(A79,IRData!$A$3:$AI$146,35,FALSE)</f>
        <v>18099.485810859936</v>
      </c>
      <c r="F79" s="124">
        <f t="shared" si="8"/>
        <v>13525.795893155706</v>
      </c>
      <c r="G79" s="124">
        <f t="shared" si="9"/>
        <v>2277.3203568901631</v>
      </c>
      <c r="H79" s="124">
        <f t="shared" si="10"/>
        <v>15803.116250045869</v>
      </c>
      <c r="I79" s="125">
        <f t="shared" si="11"/>
        <v>0.87312514925500173</v>
      </c>
    </row>
    <row r="80" spans="1:9" s="55" customFormat="1" ht="12.75" customHeight="1" x14ac:dyDescent="0.2">
      <c r="A80">
        <v>2492014</v>
      </c>
      <c r="B80" t="str">
        <f>INDEX('Inntektsramme 2016'!$B$3:$B$146,MATCH(A80,'Inntektsramme 2016'!$A$3:$A$146,0))</f>
        <v>Varanger Kraftnett AS</v>
      </c>
      <c r="C80" s="249">
        <v>0.70238548517227173</v>
      </c>
      <c r="D80" s="123">
        <f>VLOOKUP(A80,IRData!$A$3:$AI$146,16,FALSE)</f>
        <v>387824.85</v>
      </c>
      <c r="E80" s="123">
        <f>VLOOKUP(A80,IRData!$A$3:$AI$146,35,FALSE)</f>
        <v>127414.56266359476</v>
      </c>
      <c r="F80" s="124">
        <f t="shared" si="8"/>
        <v>89494.139414481819</v>
      </c>
      <c r="G80" s="124">
        <f t="shared" si="9"/>
        <v>21663.203122441391</v>
      </c>
      <c r="H80" s="124">
        <f t="shared" si="10"/>
        <v>111157.34253692321</v>
      </c>
      <c r="I80" s="125">
        <f t="shared" si="11"/>
        <v>0.872406891435208</v>
      </c>
    </row>
    <row r="81" spans="1:9" s="55" customFormat="1" ht="12.75" customHeight="1" x14ac:dyDescent="0.2">
      <c r="A81">
        <v>2512014</v>
      </c>
      <c r="B81" t="str">
        <f>INDEX('Inntektsramme 2016'!$B$3:$B$146,MATCH(A81,'Inntektsramme 2016'!$A$3:$A$146,0))</f>
        <v>Vest-Telemark Kraftlag AS</v>
      </c>
      <c r="C81" s="249">
        <v>0.89904391765594482</v>
      </c>
      <c r="D81" s="123">
        <f>VLOOKUP(A81,IRData!$A$3:$AI$146,16,FALSE)</f>
        <v>257166.2</v>
      </c>
      <c r="E81" s="123">
        <f>VLOOKUP(A81,IRData!$A$3:$AI$146,35,FALSE)</f>
        <v>92308.927452092714</v>
      </c>
      <c r="F81" s="124">
        <f t="shared" si="8"/>
        <v>82989.77977114782</v>
      </c>
      <c r="G81" s="124">
        <f t="shared" si="9"/>
        <v>14364.844405474245</v>
      </c>
      <c r="H81" s="124">
        <f t="shared" si="10"/>
        <v>97354.624176622063</v>
      </c>
      <c r="I81" s="125">
        <f t="shared" si="11"/>
        <v>1.0546609831118232</v>
      </c>
    </row>
    <row r="82" spans="1:9" s="55" customFormat="1" ht="12.75" customHeight="1" x14ac:dyDescent="0.2">
      <c r="A82">
        <v>2572014</v>
      </c>
      <c r="B82" t="str">
        <f>INDEX('Inntektsramme 2016'!$B$3:$B$146,MATCH(A82,'Inntektsramme 2016'!$A$3:$A$146,0))</f>
        <v>Dalane energi IKS</v>
      </c>
      <c r="C82" s="249">
        <v>0.7943037748336792</v>
      </c>
      <c r="D82" s="123">
        <f>VLOOKUP(A82,IRData!$A$3:$AI$146,16,FALSE)</f>
        <v>275944.12</v>
      </c>
      <c r="E82" s="123">
        <f>VLOOKUP(A82,IRData!$A$3:$AI$146,35,FALSE)</f>
        <v>82563.401845600922</v>
      </c>
      <c r="F82" s="124">
        <f t="shared" si="8"/>
        <v>65580.421749070767</v>
      </c>
      <c r="G82" s="124">
        <f t="shared" si="9"/>
        <v>15413.745462683328</v>
      </c>
      <c r="H82" s="124">
        <f t="shared" si="10"/>
        <v>80994.167211754102</v>
      </c>
      <c r="I82" s="125">
        <f t="shared" si="11"/>
        <v>0.98099358070563281</v>
      </c>
    </row>
    <row r="83" spans="1:9" s="55" customFormat="1" ht="12.75" customHeight="1" x14ac:dyDescent="0.2">
      <c r="A83">
        <v>2622014</v>
      </c>
      <c r="B83" t="str">
        <f>INDEX('Inntektsramme 2016'!$B$3:$B$146,MATCH(A83,'Inntektsramme 2016'!$A$3:$A$146,0))</f>
        <v>Ørskog Energi AS</v>
      </c>
      <c r="C83" s="249">
        <v>1.0002132654190063</v>
      </c>
      <c r="D83" s="123">
        <f>VLOOKUP(A83,IRData!$A$3:$AI$146,16,FALSE)</f>
        <v>64700.6</v>
      </c>
      <c r="E83" s="123">
        <f>VLOOKUP(A83,IRData!$A$3:$AI$146,35,FALSE)</f>
        <v>21570.206751046131</v>
      </c>
      <c r="F83" s="124">
        <f t="shared" si="8"/>
        <v>21574.806930226947</v>
      </c>
      <c r="G83" s="124">
        <f t="shared" si="9"/>
        <v>3614.0599034430916</v>
      </c>
      <c r="H83" s="124">
        <f t="shared" si="10"/>
        <v>25188.866833670039</v>
      </c>
      <c r="I83" s="125">
        <f t="shared" si="11"/>
        <v>1.1677619563126536</v>
      </c>
    </row>
    <row r="84" spans="1:9" s="55" customFormat="1" ht="12.75" customHeight="1" x14ac:dyDescent="0.2">
      <c r="A84">
        <v>2642014</v>
      </c>
      <c r="B84" t="str">
        <f>INDEX('Inntektsramme 2016'!$B$3:$B$146,MATCH(A84,'Inntektsramme 2016'!$A$3:$A$146,0))</f>
        <v>Øvre Eiker Nett AS</v>
      </c>
      <c r="C84" s="249">
        <v>0.85146856307983398</v>
      </c>
      <c r="D84" s="123">
        <f>VLOOKUP(A84,IRData!$A$3:$AI$146,16,FALSE)</f>
        <v>138131.64000000001</v>
      </c>
      <c r="E84" s="123">
        <f>VLOOKUP(A84,IRData!$A$3:$AI$146,35,FALSE)</f>
        <v>45564.945756792549</v>
      </c>
      <c r="F84" s="124">
        <f t="shared" si="8"/>
        <v>38797.118890346734</v>
      </c>
      <c r="G84" s="124">
        <f t="shared" si="9"/>
        <v>7715.7865849904947</v>
      </c>
      <c r="H84" s="124">
        <f t="shared" si="10"/>
        <v>46512.905475337226</v>
      </c>
      <c r="I84" s="125">
        <f t="shared" si="11"/>
        <v>1.0208045834972461</v>
      </c>
    </row>
    <row r="85" spans="1:9" s="55" customFormat="1" ht="12.75" customHeight="1" x14ac:dyDescent="0.2">
      <c r="A85">
        <v>2672014</v>
      </c>
      <c r="B85" t="str">
        <f>INDEX('Inntektsramme 2016'!$B$3:$B$146,MATCH(A85,'Inntektsramme 2016'!$A$3:$A$146,0))</f>
        <v>Årdal Energi KF</v>
      </c>
      <c r="C85" s="249">
        <v>0.72626739740371704</v>
      </c>
      <c r="D85" s="123">
        <f>VLOOKUP(A85,IRData!$A$3:$AI$146,16,FALSE)</f>
        <v>60929.26</v>
      </c>
      <c r="E85" s="123">
        <f>VLOOKUP(A85,IRData!$A$3:$AI$146,35,FALSE)</f>
        <v>25003.174780381229</v>
      </c>
      <c r="F85" s="124">
        <f t="shared" si="8"/>
        <v>18158.99067457773</v>
      </c>
      <c r="G85" s="124">
        <f t="shared" si="9"/>
        <v>3403.3995899954411</v>
      </c>
      <c r="H85" s="124">
        <f t="shared" si="10"/>
        <v>21562.390264573172</v>
      </c>
      <c r="I85" s="125">
        <f t="shared" si="11"/>
        <v>0.862386095124693</v>
      </c>
    </row>
    <row r="86" spans="1:9" s="55" customFormat="1" ht="12.75" customHeight="1" x14ac:dyDescent="0.2">
      <c r="A86">
        <v>2692014</v>
      </c>
      <c r="B86" t="str">
        <f>INDEX('Inntektsramme 2016'!$B$3:$B$146,MATCH(A86,'Inntektsramme 2016'!$A$3:$A$146,0))</f>
        <v>SFE Nett AS</v>
      </c>
      <c r="C86" s="249">
        <v>0.71419996023178101</v>
      </c>
      <c r="D86" s="123">
        <f>VLOOKUP(A86,IRData!$A$3:$AI$146,16,FALSE)</f>
        <v>639597.65</v>
      </c>
      <c r="E86" s="123">
        <f>VLOOKUP(A86,IRData!$A$3:$AI$146,35,FALSE)</f>
        <v>204779.98169184072</v>
      </c>
      <c r="F86" s="124">
        <f t="shared" si="8"/>
        <v>146253.85478057747</v>
      </c>
      <c r="G86" s="124">
        <f t="shared" si="9"/>
        <v>35726.781841303309</v>
      </c>
      <c r="H86" s="124">
        <f t="shared" si="10"/>
        <v>181980.63662188078</v>
      </c>
      <c r="I86" s="125">
        <f t="shared" si="11"/>
        <v>0.88866419031002208</v>
      </c>
    </row>
    <row r="87" spans="1:9" s="55" customFormat="1" ht="12.75" customHeight="1" x14ac:dyDescent="0.2">
      <c r="A87">
        <v>2742014</v>
      </c>
      <c r="B87" t="str">
        <f>INDEX('Inntektsramme 2016'!$B$3:$B$146,MATCH(A87,'Inntektsramme 2016'!$A$3:$A$146,0))</f>
        <v>Svorka Energi AS</v>
      </c>
      <c r="C87" s="249">
        <v>0.87537896633148193</v>
      </c>
      <c r="D87" s="123">
        <f>VLOOKUP(A87,IRData!$A$3:$AI$146,16,FALSE)</f>
        <v>175701.62</v>
      </c>
      <c r="E87" s="123">
        <f>VLOOKUP(A87,IRData!$A$3:$AI$146,35,FALSE)</f>
        <v>50949.634531251133</v>
      </c>
      <c r="F87" s="124">
        <f t="shared" si="8"/>
        <v>44600.238410933394</v>
      </c>
      <c r="G87" s="124">
        <f t="shared" si="9"/>
        <v>9814.378534542102</v>
      </c>
      <c r="H87" s="124">
        <f t="shared" si="10"/>
        <v>54414.6169454755</v>
      </c>
      <c r="I87" s="125">
        <f t="shared" si="11"/>
        <v>1.0680079935038405</v>
      </c>
    </row>
    <row r="88" spans="1:9" s="55" customFormat="1" ht="12.75" customHeight="1" x14ac:dyDescent="0.2">
      <c r="A88">
        <v>2752014</v>
      </c>
      <c r="B88" t="str">
        <f>INDEX('Inntektsramme 2016'!$B$3:$B$146,MATCH(A88,'Inntektsramme 2016'!$A$3:$A$146,0))</f>
        <v>Hallingdal Kraftnett AS</v>
      </c>
      <c r="C88" s="249">
        <v>0.90304809808731079</v>
      </c>
      <c r="D88" s="123">
        <f>VLOOKUP(A88,IRData!$A$3:$AI$146,16,FALSE)</f>
        <v>219764.89</v>
      </c>
      <c r="E88" s="123">
        <f>VLOOKUP(A88,IRData!$A$3:$AI$146,35,FALSE)</f>
        <v>110660.38855599394</v>
      </c>
      <c r="F88" s="124">
        <f t="shared" si="8"/>
        <v>99931.653419093142</v>
      </c>
      <c r="G88" s="124">
        <f t="shared" si="9"/>
        <v>12275.674060728676</v>
      </c>
      <c r="H88" s="124">
        <f t="shared" si="10"/>
        <v>112207.32747982182</v>
      </c>
      <c r="I88" s="125">
        <f t="shared" si="11"/>
        <v>1.0139791568059164</v>
      </c>
    </row>
    <row r="89" spans="1:9" s="55" customFormat="1" ht="12.75" customHeight="1" x14ac:dyDescent="0.2">
      <c r="A89">
        <v>2952014</v>
      </c>
      <c r="B89" t="str">
        <f>INDEX('Inntektsramme 2016'!$B$3:$B$146,MATCH(A89,'Inntektsramme 2016'!$A$3:$A$146,0))</f>
        <v>Gudbrandsdal Energi AS</v>
      </c>
      <c r="C89" s="249">
        <v>0.89614158868789673</v>
      </c>
      <c r="D89" s="123">
        <f>VLOOKUP(A89,IRData!$A$3:$AI$146,16,FALSE)</f>
        <v>207294.42</v>
      </c>
      <c r="E89" s="123">
        <f>VLOOKUP(A89,IRData!$A$3:$AI$146,35,FALSE)</f>
        <v>79504.174652399975</v>
      </c>
      <c r="F89" s="124">
        <f t="shared" si="8"/>
        <v>71246.997380321729</v>
      </c>
      <c r="G89" s="124">
        <f t="shared" si="9"/>
        <v>11579.095889829334</v>
      </c>
      <c r="H89" s="124">
        <f t="shared" si="10"/>
        <v>82826.093270151061</v>
      </c>
      <c r="I89" s="125">
        <f t="shared" si="11"/>
        <v>1.0417829457669969</v>
      </c>
    </row>
    <row r="90" spans="1:9" s="55" customFormat="1" ht="12.75" customHeight="1" x14ac:dyDescent="0.2">
      <c r="A90">
        <v>3062014</v>
      </c>
      <c r="B90" t="str">
        <f>INDEX('Inntektsramme 2016'!$B$3:$B$146,MATCH(A90,'Inntektsramme 2016'!$A$3:$A$146,0))</f>
        <v>Valdres Energiverk AS</v>
      </c>
      <c r="C90" s="249">
        <v>0.84036338329315186</v>
      </c>
      <c r="D90" s="123">
        <f>VLOOKUP(A90,IRData!$A$3:$AI$146,16,FALSE)</f>
        <v>208071.11000000002</v>
      </c>
      <c r="E90" s="123">
        <f>VLOOKUP(A90,IRData!$A$3:$AI$146,35,FALSE)</f>
        <v>63488.686900342655</v>
      </c>
      <c r="F90" s="124">
        <f t="shared" si="8"/>
        <v>53353.567724411565</v>
      </c>
      <c r="G90" s="124">
        <f t="shared" si="9"/>
        <v>11622.480405373321</v>
      </c>
      <c r="H90" s="124">
        <f t="shared" si="10"/>
        <v>64976.048129784889</v>
      </c>
      <c r="I90" s="125">
        <f t="shared" si="11"/>
        <v>1.0234271852523416</v>
      </c>
    </row>
    <row r="91" spans="1:9" s="55" customFormat="1" ht="12.75" customHeight="1" x14ac:dyDescent="0.2">
      <c r="A91">
        <v>3112014</v>
      </c>
      <c r="B91" t="str">
        <f>INDEX('Inntektsramme 2016'!$B$3:$B$146,MATCH(A91,'Inntektsramme 2016'!$A$3:$A$146,0))</f>
        <v>Nordmøre Energiverk AS</v>
      </c>
      <c r="C91" s="249">
        <v>0.78211164474487305</v>
      </c>
      <c r="D91" s="123">
        <f>VLOOKUP(A91,IRData!$A$3:$AI$146,16,FALSE)</f>
        <v>391124.52</v>
      </c>
      <c r="E91" s="123">
        <f>VLOOKUP(A91,IRData!$A$3:$AI$146,35,FALSE)</f>
        <v>143009.30084567441</v>
      </c>
      <c r="F91" s="124">
        <f t="shared" si="8"/>
        <v>111849.23949822478</v>
      </c>
      <c r="G91" s="124">
        <f t="shared" si="9"/>
        <v>21847.516792509279</v>
      </c>
      <c r="H91" s="124">
        <f t="shared" si="10"/>
        <v>133696.75629073405</v>
      </c>
      <c r="I91" s="125">
        <f t="shared" si="11"/>
        <v>0.93488154616607899</v>
      </c>
    </row>
    <row r="92" spans="1:9" s="55" customFormat="1" ht="12.75" customHeight="1" x14ac:dyDescent="0.2">
      <c r="A92">
        <v>3432014</v>
      </c>
      <c r="B92" t="str">
        <f>INDEX('Inntektsramme 2016'!$B$3:$B$146,MATCH(A92,'Inntektsramme 2016'!$A$3:$A$146,0))</f>
        <v>Hemsedal Energi KF</v>
      </c>
      <c r="C92" s="249">
        <v>0.85881280899047852</v>
      </c>
      <c r="D92" s="123">
        <f>VLOOKUP(A92,IRData!$A$3:$AI$146,16,FALSE)</f>
        <v>80096.03</v>
      </c>
      <c r="E92" s="123">
        <f>VLOOKUP(A92,IRData!$A$3:$AI$146,35,FALSE)</f>
        <v>23863.907877671892</v>
      </c>
      <c r="F92" s="124">
        <f t="shared" si="8"/>
        <v>20494.629757913408</v>
      </c>
      <c r="G92" s="124">
        <f t="shared" si="9"/>
        <v>4474.0211133741423</v>
      </c>
      <c r="H92" s="124">
        <f t="shared" si="10"/>
        <v>24968.650871287551</v>
      </c>
      <c r="I92" s="125">
        <f t="shared" si="11"/>
        <v>1.0462934653988212</v>
      </c>
    </row>
    <row r="93" spans="1:9" s="55" customFormat="1" ht="12.75" customHeight="1" x14ac:dyDescent="0.2">
      <c r="A93">
        <v>3492014</v>
      </c>
      <c r="B93" t="str">
        <f>INDEX('Inntektsramme 2016'!$B$3:$B$146,MATCH(A93,'Inntektsramme 2016'!$A$3:$A$146,0))</f>
        <v>Notodden Energi AS</v>
      </c>
      <c r="C93" s="249">
        <v>0.67178225517272949</v>
      </c>
      <c r="D93" s="123">
        <f>VLOOKUP(A93,IRData!$A$3:$AI$146,16,FALSE)</f>
        <v>181553.56</v>
      </c>
      <c r="E93" s="123">
        <f>VLOOKUP(A93,IRData!$A$3:$AI$146,35,FALSE)</f>
        <v>55185.006291530182</v>
      </c>
      <c r="F93" s="124">
        <f t="shared" si="8"/>
        <v>37072.307978245408</v>
      </c>
      <c r="G93" s="124">
        <f t="shared" si="9"/>
        <v>10141.25744619601</v>
      </c>
      <c r="H93" s="124">
        <f t="shared" si="10"/>
        <v>47213.565424441418</v>
      </c>
      <c r="I93" s="125">
        <f t="shared" si="11"/>
        <v>0.85555060327478438</v>
      </c>
    </row>
    <row r="94" spans="1:9" s="55" customFormat="1" ht="12.75" customHeight="1" x14ac:dyDescent="0.2">
      <c r="A94">
        <v>3542014</v>
      </c>
      <c r="B94" t="str">
        <f>INDEX('Inntektsramme 2016'!$B$3:$B$146,MATCH(A94,'Inntektsramme 2016'!$A$3:$A$146,0))</f>
        <v>Lofotkraft AS</v>
      </c>
      <c r="C94" s="249">
        <v>0.67020416259765625</v>
      </c>
      <c r="D94" s="123">
        <f>VLOOKUP(A94,IRData!$A$3:$AI$146,16,FALSE)</f>
        <v>534510.18000000005</v>
      </c>
      <c r="E94" s="123">
        <f>VLOOKUP(A94,IRData!$A$3:$AI$146,35,FALSE)</f>
        <v>151220.47183821807</v>
      </c>
      <c r="F94" s="124">
        <f t="shared" si="8"/>
        <v>101348.58969595541</v>
      </c>
      <c r="G94" s="124">
        <f t="shared" si="9"/>
        <v>29856.783546368195</v>
      </c>
      <c r="H94" s="124">
        <f t="shared" si="10"/>
        <v>131205.37324232361</v>
      </c>
      <c r="I94" s="125">
        <f t="shared" si="11"/>
        <v>0.86764292987190617</v>
      </c>
    </row>
    <row r="95" spans="1:9" s="55" customFormat="1" ht="12.75" customHeight="1" x14ac:dyDescent="0.2">
      <c r="A95">
        <v>3732014</v>
      </c>
      <c r="B95" t="str">
        <f>INDEX('Inntektsramme 2016'!$B$3:$B$146,MATCH(A95,'Inntektsramme 2016'!$A$3:$A$146,0))</f>
        <v>Nore Energi AS</v>
      </c>
      <c r="C95" s="249">
        <v>0.81886708736419678</v>
      </c>
      <c r="D95" s="123">
        <f>VLOOKUP(A95,IRData!$A$3:$AI$146,16,FALSE)</f>
        <v>42060.44</v>
      </c>
      <c r="E95" s="123">
        <f>VLOOKUP(A95,IRData!$A$3:$AI$146,35,FALSE)</f>
        <v>16369.904938420827</v>
      </c>
      <c r="F95" s="124">
        <f t="shared" si="8"/>
        <v>13404.776377353443</v>
      </c>
      <c r="G95" s="124">
        <f t="shared" si="9"/>
        <v>2349.4210212142384</v>
      </c>
      <c r="H95" s="124">
        <f t="shared" si="10"/>
        <v>15754.197398567681</v>
      </c>
      <c r="I95" s="125">
        <f t="shared" si="11"/>
        <v>0.96238783657148463</v>
      </c>
    </row>
    <row r="96" spans="1:9" s="55" customFormat="1" ht="12.75" customHeight="1" x14ac:dyDescent="0.2">
      <c r="A96">
        <v>4182014</v>
      </c>
      <c r="B96" t="str">
        <f>INDEX('Inntektsramme 2016'!$B$3:$B$146,MATCH(A96,'Inntektsramme 2016'!$A$3:$A$146,0))</f>
        <v>Aurland Energiverk AS</v>
      </c>
      <c r="C96" s="249">
        <v>0.79249733686447144</v>
      </c>
      <c r="D96" s="123">
        <f>VLOOKUP(A96,IRData!$A$3:$AI$146,16,FALSE)</f>
        <v>41578.67</v>
      </c>
      <c r="E96" s="123">
        <f>VLOOKUP(A96,IRData!$A$3:$AI$146,35,FALSE)</f>
        <v>19829.2183239441</v>
      </c>
      <c r="F96" s="124">
        <f t="shared" si="8"/>
        <v>15714.602713829878</v>
      </c>
      <c r="G96" s="124">
        <f t="shared" si="9"/>
        <v>2322.510209882013</v>
      </c>
      <c r="H96" s="124">
        <f t="shared" si="10"/>
        <v>18037.112923711891</v>
      </c>
      <c r="I96" s="125">
        <f t="shared" si="11"/>
        <v>0.90962299315307793</v>
      </c>
    </row>
    <row r="97" spans="1:9" s="55" customFormat="1" ht="12.75" customHeight="1" x14ac:dyDescent="0.2">
      <c r="A97">
        <v>4332014</v>
      </c>
      <c r="B97" t="str">
        <f>INDEX('Inntektsramme 2016'!$B$3:$B$146,MATCH(A97,'Inntektsramme 2016'!$A$3:$A$146,0))</f>
        <v>Hålogaland Kraft AS</v>
      </c>
      <c r="C97" s="249">
        <v>0.84633946418762207</v>
      </c>
      <c r="D97" s="123">
        <f>VLOOKUP(A97,IRData!$A$3:$AI$146,16,FALSE)</f>
        <v>316870.33</v>
      </c>
      <c r="E97" s="123">
        <f>VLOOKUP(A97,IRData!$A$3:$AI$146,35,FALSE)</f>
        <v>121865.53321597027</v>
      </c>
      <c r="F97" s="124">
        <f t="shared" si="8"/>
        <v>103139.61008494314</v>
      </c>
      <c r="G97" s="124">
        <f t="shared" si="9"/>
        <v>17699.810422836585</v>
      </c>
      <c r="H97" s="124">
        <f t="shared" si="10"/>
        <v>120839.42050777972</v>
      </c>
      <c r="I97" s="125">
        <f t="shared" si="11"/>
        <v>0.9915799596398428</v>
      </c>
    </row>
    <row r="98" spans="1:9" s="55" customFormat="1" ht="12.75" customHeight="1" x14ac:dyDescent="0.2">
      <c r="A98">
        <v>4602014</v>
      </c>
      <c r="B98" t="str">
        <f>INDEX('Inntektsramme 2016'!$B$3:$B$146,MATCH(A98,'Inntektsramme 2016'!$A$3:$A$146,0))</f>
        <v>MØRENETT AS</v>
      </c>
      <c r="C98" s="249">
        <v>0.7149195671081543</v>
      </c>
      <c r="D98" s="123">
        <f>VLOOKUP(A98,IRData!$A$3:$AI$146,16,FALSE)</f>
        <v>869700.9</v>
      </c>
      <c r="E98" s="123">
        <f>VLOOKUP(A98,IRData!$A$3:$AI$146,35,FALSE)</f>
        <v>331547.46967795136</v>
      </c>
      <c r="F98" s="124">
        <f t="shared" si="8"/>
        <v>237029.7734979649</v>
      </c>
      <c r="G98" s="124">
        <f t="shared" si="9"/>
        <v>48579.938218167532</v>
      </c>
      <c r="H98" s="124">
        <f t="shared" si="10"/>
        <v>285609.71171613241</v>
      </c>
      <c r="I98" s="125">
        <f t="shared" si="11"/>
        <v>0.86144440189382054</v>
      </c>
    </row>
    <row r="99" spans="1:9" s="55" customFormat="1" ht="12.75" customHeight="1" x14ac:dyDescent="0.2">
      <c r="A99">
        <v>4642014</v>
      </c>
      <c r="B99" t="str">
        <f>INDEX('Inntektsramme 2016'!$B$3:$B$146,MATCH(A99,'Inntektsramme 2016'!$A$3:$A$146,0))</f>
        <v>Vesterålskraft Nett AS</v>
      </c>
      <c r="C99" s="249">
        <v>0.83481228351593018</v>
      </c>
      <c r="D99" s="123">
        <f>VLOOKUP(A99,IRData!$A$3:$AI$146,16,FALSE)</f>
        <v>164094.70000000001</v>
      </c>
      <c r="E99" s="123">
        <f>VLOOKUP(A99,IRData!$A$3:$AI$146,35,FALSE)</f>
        <v>74752.285512024318</v>
      </c>
      <c r="F99" s="124">
        <f t="shared" si="8"/>
        <v>62404.126166327806</v>
      </c>
      <c r="G99" s="124">
        <f t="shared" si="9"/>
        <v>9166.0367235778831</v>
      </c>
      <c r="H99" s="124">
        <f t="shared" si="10"/>
        <v>71570.162889905681</v>
      </c>
      <c r="I99" s="125">
        <f t="shared" si="11"/>
        <v>0.95743109925907521</v>
      </c>
    </row>
    <row r="100" spans="1:9" s="55" customFormat="1" ht="12.75" customHeight="1" x14ac:dyDescent="0.2">
      <c r="A100">
        <v>4952014</v>
      </c>
      <c r="B100" t="str">
        <f>INDEX('Inntektsramme 2016'!$B$3:$B$146,MATCH(A100,'Inntektsramme 2016'!$A$3:$A$146,0))</f>
        <v>Elverum Nett AS</v>
      </c>
      <c r="C100" s="249">
        <v>0.66119050979614258</v>
      </c>
      <c r="D100" s="123">
        <f>VLOOKUP(A100,IRData!$A$3:$AI$146,16,FALSE)</f>
        <v>249132.66</v>
      </c>
      <c r="E100" s="123">
        <f>VLOOKUP(A100,IRData!$A$3:$AI$146,35,FALSE)</f>
        <v>69306.421953753379</v>
      </c>
      <c r="F100" s="124">
        <f t="shared" ref="F100:F122" si="12">C100*E100</f>
        <v>45824.748463748765</v>
      </c>
      <c r="G100" s="124">
        <f t="shared" ref="G100:G122" si="13">(D100/$D$3)*$I$2</f>
        <v>13916.105216089505</v>
      </c>
      <c r="H100" s="124">
        <f t="shared" ref="H100:H122" si="14">F100+G100</f>
        <v>59740.85367983827</v>
      </c>
      <c r="I100" s="125">
        <f t="shared" ref="I100:I122" si="15">H100/E100</f>
        <v>0.86198150179650024</v>
      </c>
    </row>
    <row r="101" spans="1:9" s="55" customFormat="1" ht="12.75" customHeight="1" x14ac:dyDescent="0.2">
      <c r="A101">
        <v>5032014</v>
      </c>
      <c r="B101" t="str">
        <f>INDEX('Inntektsramme 2016'!$B$3:$B$146,MATCH(A101,'Inntektsramme 2016'!$A$3:$A$146,0))</f>
        <v>Haugaland Kraft AS</v>
      </c>
      <c r="C101" s="249">
        <v>0.75078940391540527</v>
      </c>
      <c r="D101" s="123">
        <f>VLOOKUP(A101,IRData!$A$3:$AI$146,16,FALSE)</f>
        <v>800529.03</v>
      </c>
      <c r="E101" s="123">
        <f>VLOOKUP(A101,IRData!$A$3:$AI$146,35,FALSE)</f>
        <v>273610.37051817728</v>
      </c>
      <c r="F101" s="124">
        <f t="shared" si="12"/>
        <v>205423.76698641549</v>
      </c>
      <c r="G101" s="124">
        <f t="shared" si="13"/>
        <v>44716.121162171483</v>
      </c>
      <c r="H101" s="124">
        <f t="shared" si="14"/>
        <v>250139.88814858696</v>
      </c>
      <c r="I101" s="125">
        <f t="shared" si="15"/>
        <v>0.91421932463619449</v>
      </c>
    </row>
    <row r="102" spans="1:9" s="55" customFormat="1" ht="12.75" customHeight="1" x14ac:dyDescent="0.2">
      <c r="A102">
        <v>5112014</v>
      </c>
      <c r="B102" t="str">
        <f>INDEX('Inntektsramme 2016'!$B$3:$B$146,MATCH(A102,'Inntektsramme 2016'!$A$3:$A$146,0))</f>
        <v>Lyse Elnett AS</v>
      </c>
      <c r="C102" s="249">
        <v>0.92700326442718506</v>
      </c>
      <c r="D102" s="123">
        <f>VLOOKUP(A102,IRData!$A$3:$AI$146,16,FALSE)</f>
        <v>1850500.79</v>
      </c>
      <c r="E102" s="123">
        <f>VLOOKUP(A102,IRData!$A$3:$AI$146,35,FALSE)</f>
        <v>466886.26614711049</v>
      </c>
      <c r="F102" s="124">
        <f t="shared" si="12"/>
        <v>432805.09283459099</v>
      </c>
      <c r="G102" s="124">
        <f t="shared" si="13"/>
        <v>103365.66749657292</v>
      </c>
      <c r="H102" s="124">
        <f t="shared" si="14"/>
        <v>536170.76033116388</v>
      </c>
      <c r="I102" s="125">
        <f t="shared" si="15"/>
        <v>1.1483969420557396</v>
      </c>
    </row>
    <row r="103" spans="1:9" s="55" customFormat="1" ht="12.75" customHeight="1" x14ac:dyDescent="0.2">
      <c r="A103">
        <v>5422014</v>
      </c>
      <c r="B103" t="str">
        <f>INDEX('Inntektsramme 2016'!$B$3:$B$146,MATCH(A103,'Inntektsramme 2016'!$A$3:$A$146,0))</f>
        <v>VOKKS Nett AS</v>
      </c>
      <c r="C103" s="249">
        <v>0.84976369142532349</v>
      </c>
      <c r="D103" s="123">
        <f>VLOOKUP(A103,IRData!$A$3:$AI$146,16,FALSE)</f>
        <v>207963.04</v>
      </c>
      <c r="E103" s="123">
        <f>VLOOKUP(A103,IRData!$A$3:$AI$146,35,FALSE)</f>
        <v>71827.527372959827</v>
      </c>
      <c r="F103" s="124">
        <f t="shared" si="12"/>
        <v>61036.424806399809</v>
      </c>
      <c r="G103" s="124">
        <f t="shared" si="13"/>
        <v>11616.443808282023</v>
      </c>
      <c r="H103" s="124">
        <f t="shared" si="14"/>
        <v>72652.868614681836</v>
      </c>
      <c r="I103" s="125">
        <f t="shared" si="15"/>
        <v>1.0114905979908855</v>
      </c>
    </row>
    <row r="104" spans="1:9" s="55" customFormat="1" ht="12.75" customHeight="1" x14ac:dyDescent="0.2">
      <c r="A104">
        <v>5662014</v>
      </c>
      <c r="B104" t="str">
        <f>INDEX('Inntektsramme 2016'!$B$3:$B$146,MATCH(A104,'Inntektsramme 2016'!$A$3:$A$146,0))</f>
        <v>BKK Nett AS</v>
      </c>
      <c r="C104" s="249">
        <v>0.77035260200500488</v>
      </c>
      <c r="D104" s="123">
        <f>VLOOKUP(A104,IRData!$A$3:$AI$146,16,FALSE)</f>
        <v>2587164.4900000002</v>
      </c>
      <c r="E104" s="123">
        <f>VLOOKUP(A104,IRData!$A$3:$AI$146,35,FALSE)</f>
        <v>851414.80680016859</v>
      </c>
      <c r="F104" s="124">
        <f t="shared" si="12"/>
        <v>655889.61180409836</v>
      </c>
      <c r="G104" s="124">
        <f t="shared" si="13"/>
        <v>144514.38544496958</v>
      </c>
      <c r="H104" s="124">
        <f t="shared" si="14"/>
        <v>800403.99724906799</v>
      </c>
      <c r="I104" s="125">
        <f t="shared" si="15"/>
        <v>0.94008700677544932</v>
      </c>
    </row>
    <row r="105" spans="1:9" s="55" customFormat="1" ht="12.75" customHeight="1" x14ac:dyDescent="0.2">
      <c r="A105">
        <v>5742014</v>
      </c>
      <c r="B105" t="str">
        <f>INDEX('Inntektsramme 2016'!$B$3:$B$146,MATCH(A105,'Inntektsramme 2016'!$A$3:$A$146,0))</f>
        <v>Eidsiva Nett AS</v>
      </c>
      <c r="C105" s="249">
        <v>0.84389817714691162</v>
      </c>
      <c r="D105" s="123">
        <f>VLOOKUP(A105,IRData!$A$3:$AI$146,16,FALSE)</f>
        <v>2531722.56</v>
      </c>
      <c r="E105" s="123">
        <f>VLOOKUP(A105,IRData!$A$3:$AI$146,35,FALSE)</f>
        <v>750423.59150940785</v>
      </c>
      <c r="F105" s="124">
        <f t="shared" si="12"/>
        <v>633281.10096282791</v>
      </c>
      <c r="G105" s="124">
        <f t="shared" si="13"/>
        <v>141417.4983035443</v>
      </c>
      <c r="H105" s="124">
        <f t="shared" si="14"/>
        <v>774698.59926637216</v>
      </c>
      <c r="I105" s="125">
        <f t="shared" si="15"/>
        <v>1.0323484069952242</v>
      </c>
    </row>
    <row r="106" spans="1:9" s="55" customFormat="1" ht="12.75" customHeight="1" x14ac:dyDescent="0.2">
      <c r="A106">
        <v>5782014</v>
      </c>
      <c r="B106" t="str">
        <f>INDEX('Inntektsramme 2016'!$B$3:$B$146,MATCH(A106,'Inntektsramme 2016'!$A$3:$A$146,0))</f>
        <v>Flesberg Elektrisitetsverk AS</v>
      </c>
      <c r="C106" s="249">
        <v>0.75893545150756836</v>
      </c>
      <c r="D106" s="123">
        <f>VLOOKUP(A106,IRData!$A$3:$AI$146,16,FALSE)</f>
        <v>72602.84</v>
      </c>
      <c r="E106" s="123">
        <f>VLOOKUP(A106,IRData!$A$3:$AI$146,35,FALSE)</f>
        <v>23343.591047818729</v>
      </c>
      <c r="F106" s="124">
        <f t="shared" si="12"/>
        <v>17716.278811684337</v>
      </c>
      <c r="G106" s="124">
        <f t="shared" si="13"/>
        <v>4055.4649094458823</v>
      </c>
      <c r="H106" s="124">
        <f t="shared" si="14"/>
        <v>21771.74372113022</v>
      </c>
      <c r="I106" s="125">
        <f t="shared" si="15"/>
        <v>0.93266471626115188</v>
      </c>
    </row>
    <row r="107" spans="1:9" s="55" customFormat="1" ht="12.75" customHeight="1" x14ac:dyDescent="0.2">
      <c r="A107">
        <v>5912014</v>
      </c>
      <c r="B107" t="str">
        <f>INDEX('Inntektsramme 2016'!$B$3:$B$146,MATCH(A107,'Inntektsramme 2016'!$A$3:$A$146,0))</f>
        <v>Midt Nett Buskerud AS</v>
      </c>
      <c r="C107" s="249">
        <v>0.80845606327056885</v>
      </c>
      <c r="D107" s="123">
        <f>VLOOKUP(A107,IRData!$A$3:$AI$146,16,FALSE)</f>
        <v>218280.19</v>
      </c>
      <c r="E107" s="123">
        <f>VLOOKUP(A107,IRData!$A$3:$AI$146,35,FALSE)</f>
        <v>68186.023087730966</v>
      </c>
      <c r="F107" s="124">
        <f t="shared" si="12"/>
        <v>55125.403795583094</v>
      </c>
      <c r="G107" s="124">
        <f t="shared" si="13"/>
        <v>12192.741371717415</v>
      </c>
      <c r="H107" s="124">
        <f t="shared" si="14"/>
        <v>67318.145167300507</v>
      </c>
      <c r="I107" s="125">
        <f t="shared" si="15"/>
        <v>0.98727190879993376</v>
      </c>
    </row>
    <row r="108" spans="1:9" s="55" customFormat="1" ht="12.75" customHeight="1" x14ac:dyDescent="0.2">
      <c r="A108">
        <v>5932014</v>
      </c>
      <c r="B108" t="str">
        <f>INDEX('Inntektsramme 2016'!$B$3:$B$146,MATCH(A108,'Inntektsramme 2016'!$A$3:$A$146,0))</f>
        <v>Nesset Kraft AS</v>
      </c>
      <c r="C108" s="249">
        <v>0.77970397472381592</v>
      </c>
      <c r="D108" s="123">
        <f>VLOOKUP(A108,IRData!$A$3:$AI$146,16,FALSE)</f>
        <v>28730.46</v>
      </c>
      <c r="E108" s="123">
        <f>VLOOKUP(A108,IRData!$A$3:$AI$146,35,FALSE)</f>
        <v>20480.538275321982</v>
      </c>
      <c r="F108" s="124">
        <f t="shared" si="12"/>
        <v>15968.757097751795</v>
      </c>
      <c r="G108" s="124">
        <f t="shared" si="13"/>
        <v>1604.8321575607583</v>
      </c>
      <c r="H108" s="124">
        <f t="shared" si="14"/>
        <v>17573.589255312552</v>
      </c>
      <c r="I108" s="125">
        <f t="shared" si="15"/>
        <v>0.85806286041260171</v>
      </c>
    </row>
    <row r="109" spans="1:9" s="55" customFormat="1" ht="12.75" customHeight="1" x14ac:dyDescent="0.2">
      <c r="A109">
        <v>5992014</v>
      </c>
      <c r="B109" t="str">
        <f>INDEX('Inntektsramme 2016'!$B$3:$B$146,MATCH(A109,'Inntektsramme 2016'!$A$3:$A$146,0))</f>
        <v>Sunndal Energi KF</v>
      </c>
      <c r="C109" s="249">
        <v>0.74424433708190918</v>
      </c>
      <c r="D109" s="123">
        <f>VLOOKUP(A109,IRData!$A$3:$AI$146,16,FALSE)</f>
        <v>76676.17</v>
      </c>
      <c r="E109" s="123">
        <f>VLOOKUP(A109,IRData!$A$3:$AI$146,35,FALSE)</f>
        <v>32740.277472741913</v>
      </c>
      <c r="F109" s="124">
        <f t="shared" si="12"/>
        <v>24366.766103578571</v>
      </c>
      <c r="G109" s="124">
        <f t="shared" si="13"/>
        <v>4282.9938446720143</v>
      </c>
      <c r="H109" s="124">
        <f t="shared" si="14"/>
        <v>28649.759948250587</v>
      </c>
      <c r="I109" s="125">
        <f t="shared" si="15"/>
        <v>0.87506161095009327</v>
      </c>
    </row>
    <row r="110" spans="1:9" s="55" customFormat="1" ht="12.75" customHeight="1" x14ac:dyDescent="0.2">
      <c r="A110">
        <v>6112014</v>
      </c>
      <c r="B110" t="str">
        <f>INDEX('Inntektsramme 2016'!$B$3:$B$146,MATCH(A110,'Inntektsramme 2016'!$A$3:$A$146,0))</f>
        <v>Skagerak Nett AS</v>
      </c>
      <c r="C110" s="249">
        <v>0.90043580532073975</v>
      </c>
      <c r="D110" s="123">
        <f>VLOOKUP(A110,IRData!$A$3:$AI$146,16,FALSE)</f>
        <v>2057839.65</v>
      </c>
      <c r="E110" s="123">
        <f>VLOOKUP(A110,IRData!$A$3:$AI$146,35,FALSE)</f>
        <v>707745.1932338482</v>
      </c>
      <c r="F110" s="124">
        <f t="shared" si="12"/>
        <v>637279.1130314027</v>
      </c>
      <c r="G110" s="124">
        <f t="shared" si="13"/>
        <v>114947.24572539305</v>
      </c>
      <c r="H110" s="124">
        <f t="shared" si="14"/>
        <v>752226.35875679576</v>
      </c>
      <c r="I110" s="125">
        <f t="shared" si="15"/>
        <v>1.0628491241596472</v>
      </c>
    </row>
    <row r="111" spans="1:9" s="55" customFormat="1" ht="12.75" customHeight="1" x14ac:dyDescent="0.2">
      <c r="A111">
        <v>6132014</v>
      </c>
      <c r="B111" t="str">
        <f>INDEX('Inntektsramme 2016'!$B$3:$B$146,MATCH(A111,'Inntektsramme 2016'!$A$3:$A$146,0))</f>
        <v>Nordvest Nett AS</v>
      </c>
      <c r="C111" s="249">
        <v>0.9009978175163269</v>
      </c>
      <c r="D111" s="123">
        <f>VLOOKUP(A111,IRData!$A$3:$AI$146,16,FALSE)</f>
        <v>122604.91</v>
      </c>
      <c r="E111" s="123">
        <f>VLOOKUP(A111,IRData!$A$3:$AI$146,35,FALSE)</f>
        <v>46094.486802021936</v>
      </c>
      <c r="F111" s="124">
        <f t="shared" si="12"/>
        <v>41531.032008156901</v>
      </c>
      <c r="G111" s="124">
        <f t="shared" si="13"/>
        <v>6848.4911916774954</v>
      </c>
      <c r="H111" s="124">
        <f t="shared" si="14"/>
        <v>48379.523199834395</v>
      </c>
      <c r="I111" s="125">
        <f t="shared" si="15"/>
        <v>1.0495728785879925</v>
      </c>
    </row>
    <row r="112" spans="1:9" ht="12.75" customHeight="1" x14ac:dyDescent="0.2">
      <c r="A112">
        <v>6142014</v>
      </c>
      <c r="B112" t="str">
        <f>INDEX('Inntektsramme 2016'!$B$3:$B$146,MATCH(A112,'Inntektsramme 2016'!$A$3:$A$146,0))</f>
        <v>Energi 1 Follo Røyken AS</v>
      </c>
      <c r="C112" s="249">
        <v>0.93939828872680664</v>
      </c>
      <c r="D112" s="123">
        <f>VLOOKUP(A112,IRData!$A$3:$AI$146,16,FALSE)</f>
        <v>343615.13</v>
      </c>
      <c r="E112" s="123">
        <f>VLOOKUP(A112,IRData!$A$3:$AI$146,35,FALSE)</f>
        <v>113174.96489382852</v>
      </c>
      <c r="F112" s="124">
        <f t="shared" si="12"/>
        <v>106316.36834797893</v>
      </c>
      <c r="G112" s="124">
        <f t="shared" si="13"/>
        <v>19193.727160944189</v>
      </c>
      <c r="H112" s="124">
        <f t="shared" si="14"/>
        <v>125510.09550892311</v>
      </c>
      <c r="I112" s="125">
        <f t="shared" si="15"/>
        <v>1.1089916893428364</v>
      </c>
    </row>
    <row r="113" spans="1:9" ht="12.75" customHeight="1" x14ac:dyDescent="0.2">
      <c r="A113">
        <v>6152014</v>
      </c>
      <c r="B113" t="str">
        <f>INDEX('Inntektsramme 2016'!$B$3:$B$146,MATCH(A113,'Inntektsramme 2016'!$A$3:$A$146,0))</f>
        <v>EB Nett AS</v>
      </c>
      <c r="C113" s="249">
        <v>0.92974948883056641</v>
      </c>
      <c r="D113" s="123">
        <f>VLOOKUP(A113,IRData!$A$3:$AI$146,16,FALSE)</f>
        <v>523833.47000000003</v>
      </c>
      <c r="E113" s="123">
        <f>VLOOKUP(A113,IRData!$A$3:$AI$146,35,FALSE)</f>
        <v>182953.9635857011</v>
      </c>
      <c r="F113" s="124">
        <f t="shared" si="12"/>
        <v>170101.35412333166</v>
      </c>
      <c r="G113" s="124">
        <f t="shared" si="13"/>
        <v>29260.401603825314</v>
      </c>
      <c r="H113" s="124">
        <f t="shared" si="14"/>
        <v>199361.75572715697</v>
      </c>
      <c r="I113" s="125">
        <f t="shared" si="15"/>
        <v>1.0896826273663647</v>
      </c>
    </row>
    <row r="114" spans="1:9" s="55" customFormat="1" ht="12.75" customHeight="1" x14ac:dyDescent="0.2">
      <c r="A114">
        <v>6242014</v>
      </c>
      <c r="B114" t="str">
        <f>INDEX('Inntektsramme 2016'!$B$3:$B$146,MATCH(A114,'Inntektsramme 2016'!$A$3:$A$146,0))</f>
        <v>Agder Energi Nett AS</v>
      </c>
      <c r="C114" s="249">
        <v>0.80668902397155762</v>
      </c>
      <c r="D114" s="123">
        <f>VLOOKUP(A114,IRData!$A$3:$AI$146,16,FALSE)</f>
        <v>2519357.13</v>
      </c>
      <c r="E114" s="123">
        <f>VLOOKUP(A114,IRData!$A$3:$AI$146,35,FALSE)</f>
        <v>770194.84100411937</v>
      </c>
      <c r="F114" s="124">
        <f t="shared" si="12"/>
        <v>621307.72455754201</v>
      </c>
      <c r="G114" s="124">
        <f t="shared" si="13"/>
        <v>140726.78747935049</v>
      </c>
      <c r="H114" s="124">
        <f t="shared" si="14"/>
        <v>762034.51203689247</v>
      </c>
      <c r="I114" s="125">
        <f t="shared" si="15"/>
        <v>0.98940485117170074</v>
      </c>
    </row>
    <row r="115" spans="1:9" s="55" customFormat="1" ht="12.75" customHeight="1" x14ac:dyDescent="0.2">
      <c r="A115">
        <v>6252014</v>
      </c>
      <c r="B115" t="str">
        <f>INDEX('Inntektsramme 2016'!$B$3:$B$146,MATCH(A115,'Inntektsramme 2016'!$A$3:$A$146,0))</f>
        <v>Voss Energi AS</v>
      </c>
      <c r="C115" s="249">
        <v>0.68688285350799561</v>
      </c>
      <c r="D115" s="123">
        <f>VLOOKUP(A115,IRData!$A$3:$AI$146,16,FALSE)</f>
        <v>197910.51</v>
      </c>
      <c r="E115" s="123">
        <f>VLOOKUP(A115,IRData!$A$3:$AI$146,35,FALSE)</f>
        <v>70992.702870266978</v>
      </c>
      <c r="F115" s="124">
        <f t="shared" si="12"/>
        <v>48763.670325774248</v>
      </c>
      <c r="G115" s="124">
        <f t="shared" si="13"/>
        <v>11054.92744520102</v>
      </c>
      <c r="H115" s="124">
        <f t="shared" si="14"/>
        <v>59818.59777097527</v>
      </c>
      <c r="I115" s="125">
        <f t="shared" si="15"/>
        <v>0.84260206123280845</v>
      </c>
    </row>
    <row r="116" spans="1:9" ht="12.75" customHeight="1" x14ac:dyDescent="0.2">
      <c r="A116">
        <v>6372014</v>
      </c>
      <c r="B116" t="str">
        <f>INDEX('Inntektsramme 2016'!$B$3:$B$146,MATCH(A116,'Inntektsramme 2016'!$A$3:$A$146,0))</f>
        <v>Nordkraft Nett AS</v>
      </c>
      <c r="C116" s="249">
        <v>0.59156501293182373</v>
      </c>
      <c r="D116" s="123">
        <f>VLOOKUP(A116,IRData!$A$3:$AI$146,16,FALSE)</f>
        <v>135808.64000000001</v>
      </c>
      <c r="E116" s="123">
        <f>VLOOKUP(A116,IRData!$A$3:$AI$146,35,FALSE)</f>
        <v>69608.388571768359</v>
      </c>
      <c r="F116" s="124">
        <f t="shared" si="12"/>
        <v>41177.88728562156</v>
      </c>
      <c r="G116" s="124">
        <f t="shared" si="13"/>
        <v>7586.0279559252567</v>
      </c>
      <c r="H116" s="124">
        <f t="shared" si="14"/>
        <v>48763.91524154682</v>
      </c>
      <c r="I116" s="125">
        <f t="shared" si="15"/>
        <v>0.70054653242359932</v>
      </c>
    </row>
    <row r="117" spans="1:9" ht="12.75" customHeight="1" x14ac:dyDescent="0.2">
      <c r="A117">
        <v>6592014</v>
      </c>
      <c r="B117" t="str">
        <f>INDEX('Inntektsramme 2016'!$B$3:$B$146,MATCH(A117,'Inntektsramme 2016'!$A$3:$A$146,0))</f>
        <v>Midt-Telemark Energi AS</v>
      </c>
      <c r="C117" s="249">
        <v>0.84189349412918091</v>
      </c>
      <c r="D117" s="123">
        <f>VLOOKUP(A117,IRData!$A$3:$AI$146,16,FALSE)</f>
        <v>179861.81</v>
      </c>
      <c r="E117" s="123">
        <f>VLOOKUP(A117,IRData!$A$3:$AI$146,35,FALSE)</f>
        <v>55864.016163994631</v>
      </c>
      <c r="F117" s="124">
        <f t="shared" si="12"/>
        <v>47031.551764394484</v>
      </c>
      <c r="G117" s="124">
        <f t="shared" si="13"/>
        <v>10046.75931415937</v>
      </c>
      <c r="H117" s="124">
        <f t="shared" si="14"/>
        <v>57078.311078553852</v>
      </c>
      <c r="I117" s="125">
        <f t="shared" si="15"/>
        <v>1.0217366204211766</v>
      </c>
    </row>
    <row r="118" spans="1:9" ht="12.75" customHeight="1" x14ac:dyDescent="0.2">
      <c r="A118">
        <v>6692014</v>
      </c>
      <c r="B118" t="str">
        <f>INDEX('Inntektsramme 2016'!$B$3:$B$146,MATCH(A118,'Inntektsramme 2016'!$A$3:$A$146,0))</f>
        <v>Stange Energi Nett AS</v>
      </c>
      <c r="C118" s="249">
        <v>0.73419952392578125</v>
      </c>
      <c r="D118" s="123">
        <f>VLOOKUP(A118,IRData!$A$3:$AI$146,16,FALSE)</f>
        <v>264748.27</v>
      </c>
      <c r="E118" s="123">
        <f>VLOOKUP(A118,IRData!$A$3:$AI$146,35,FALSE)</f>
        <v>64439.712043932013</v>
      </c>
      <c r="F118" s="124">
        <f t="shared" si="12"/>
        <v>47311.605904569318</v>
      </c>
      <c r="G118" s="124">
        <f t="shared" si="13"/>
        <v>14788.365287384131</v>
      </c>
      <c r="H118" s="124">
        <f t="shared" si="14"/>
        <v>62099.971191953446</v>
      </c>
      <c r="I118" s="125">
        <f t="shared" si="15"/>
        <v>0.96369101012767655</v>
      </c>
    </row>
    <row r="119" spans="1:9" ht="12.75" customHeight="1" x14ac:dyDescent="0.2">
      <c r="A119">
        <v>6752014</v>
      </c>
      <c r="B119" t="str">
        <f>INDEX('Inntektsramme 2016'!$B$3:$B$146,MATCH(A119,'Inntektsramme 2016'!$A$3:$A$146,0))</f>
        <v>Hafslund Nett AS</v>
      </c>
      <c r="C119" s="249">
        <v>0.90123194456100464</v>
      </c>
      <c r="D119" s="123">
        <f>VLOOKUP(A119,IRData!$A$3:$AI$146,16,FALSE)</f>
        <v>4876544.62</v>
      </c>
      <c r="E119" s="123">
        <f>VLOOKUP(A119,IRData!$A$3:$AI$146,35,FALSE)</f>
        <v>2081854.092816365</v>
      </c>
      <c r="F119" s="124">
        <f t="shared" si="12"/>
        <v>1876233.4123611788</v>
      </c>
      <c r="G119" s="124">
        <f t="shared" si="13"/>
        <v>272395.06864686153</v>
      </c>
      <c r="H119" s="124">
        <f t="shared" si="14"/>
        <v>2148628.4810080403</v>
      </c>
      <c r="I119" s="125">
        <f t="shared" si="15"/>
        <v>1.0320744803500335</v>
      </c>
    </row>
    <row r="120" spans="1:9" ht="12.75" customHeight="1" x14ac:dyDescent="0.2">
      <c r="A120">
        <v>6932014</v>
      </c>
      <c r="B120" t="str">
        <f>INDEX('Inntektsramme 2016'!$B$3:$B$146,MATCH(A120,'Inntektsramme 2016'!$A$3:$A$146,0))</f>
        <v>Ringeriks-Kraft Nett AS</v>
      </c>
      <c r="C120" s="249">
        <v>0.76218259334564209</v>
      </c>
      <c r="D120" s="123">
        <f>VLOOKUP(A120,IRData!$A$3:$AI$146,16,FALSE)</f>
        <v>384856.46</v>
      </c>
      <c r="E120" s="123">
        <f>VLOOKUP(A120,IRData!$A$3:$AI$146,35,FALSE)</f>
        <v>122205.88962253382</v>
      </c>
      <c r="F120" s="124">
        <f t="shared" si="12"/>
        <v>93143.201874614126</v>
      </c>
      <c r="G120" s="124">
        <f t="shared" si="13"/>
        <v>21497.394161214121</v>
      </c>
      <c r="H120" s="124">
        <f t="shared" si="14"/>
        <v>114640.59603582825</v>
      </c>
      <c r="I120" s="125">
        <f t="shared" si="15"/>
        <v>0.93809387084310714</v>
      </c>
    </row>
    <row r="121" spans="1:9" ht="12.75" customHeight="1" x14ac:dyDescent="0.2">
      <c r="A121">
        <v>6992014</v>
      </c>
      <c r="B121" t="str">
        <f>INDEX('Inntektsramme 2016'!$B$3:$B$146,MATCH(A121,'Inntektsramme 2016'!$A$3:$A$146,0))</f>
        <v>NTE Nett AS</v>
      </c>
      <c r="C121" s="249">
        <v>1.0263843536376953</v>
      </c>
      <c r="D121" s="123">
        <f>VLOOKUP(A121,IRData!$A$3:$AI$146,16,FALSE)</f>
        <v>1277285.3899999999</v>
      </c>
      <c r="E121" s="123">
        <f>VLOOKUP(A121,IRData!$A$3:$AI$146,35,FALSE)</f>
        <v>412825.76585288474</v>
      </c>
      <c r="F121" s="124">
        <f t="shared" si="12"/>
        <v>423717.90684989968</v>
      </c>
      <c r="G121" s="124">
        <f t="shared" si="13"/>
        <v>71346.87952279688</v>
      </c>
      <c r="H121" s="124">
        <f t="shared" si="14"/>
        <v>495064.78637269657</v>
      </c>
      <c r="I121" s="125">
        <f t="shared" si="15"/>
        <v>1.1992099992836172</v>
      </c>
    </row>
    <row r="122" spans="1:9" ht="12.75" customHeight="1" x14ac:dyDescent="0.2">
      <c r="A122">
        <v>7262014</v>
      </c>
      <c r="B122" t="str">
        <f>INDEX('Inntektsramme 2016'!$B$3:$B$146,MATCH(A122,'Inntektsramme 2016'!$A$3:$A$146,0))</f>
        <v>Nordlandsnett AS</v>
      </c>
      <c r="C122" s="249">
        <v>0.80190384387969971</v>
      </c>
      <c r="D122" s="124">
        <f>VLOOKUP(A122,IRData!$A$3:$AI$146,16,FALSE)</f>
        <v>487176.53</v>
      </c>
      <c r="E122" s="152">
        <f>VLOOKUP(A122,IRData!$A$3:$AI$146,35,FALSE)</f>
        <v>161752.18777292062</v>
      </c>
      <c r="F122" s="124">
        <f t="shared" si="12"/>
        <v>129709.701131056</v>
      </c>
      <c r="G122" s="124">
        <f t="shared" si="13"/>
        <v>27212.810437175864</v>
      </c>
      <c r="H122" s="153">
        <f t="shared" si="14"/>
        <v>156922.51156823186</v>
      </c>
      <c r="I122" s="154">
        <f t="shared" si="15"/>
        <v>0.97014150923591214</v>
      </c>
    </row>
    <row r="123" spans="1:9" ht="12.75" customHeight="1" x14ac:dyDescent="0.2">
      <c r="A123" s="155">
        <v>102014</v>
      </c>
      <c r="B123" s="159" t="str">
        <f>INDEX('Inntektsramme 2016'!$B$3:$B$146,MATCH(A123,'Inntektsramme 2016'!$A$3:$A$146,0))</f>
        <v>Arendals Fossekompani ASA</v>
      </c>
      <c r="C123" s="160">
        <f>VLOOKUP(A123,'D-Alt'!$A$3:$L$17,12,FALSE)</f>
        <v>2.0426318645477295</v>
      </c>
      <c r="D123" s="159"/>
      <c r="E123" s="156">
        <f>VLOOKUP(A123,IRData!$A$3:$AI$146,35,FALSE)</f>
        <v>262.11826483152851</v>
      </c>
      <c r="F123" s="159"/>
      <c r="G123" s="159"/>
      <c r="H123" s="156">
        <f>C123*E123</f>
        <v>535.41112002484067</v>
      </c>
      <c r="I123" s="160" t="s">
        <v>8</v>
      </c>
    </row>
    <row r="124" spans="1:9" ht="12.75" customHeight="1" x14ac:dyDescent="0.2">
      <c r="A124" s="157">
        <v>1082014</v>
      </c>
      <c r="B124" s="159" t="str">
        <f>INDEX('Inntektsramme 2016'!$B$3:$B$146,MATCH(A124,'Inntektsramme 2016'!$A$3:$A$146,0))</f>
        <v>Løvenskiold Fossum Kraft</v>
      </c>
      <c r="C124" s="160">
        <f>VLOOKUP(A124,'D-Alt'!$A$3:$L$17,12,FALSE)</f>
        <v>0.92469817399978638</v>
      </c>
      <c r="D124" s="159"/>
      <c r="E124" s="156">
        <f>VLOOKUP(A124,IRData!$A$3:$AI$146,35,FALSE)</f>
        <v>4306.3120682652543</v>
      </c>
      <c r="F124" s="159"/>
      <c r="G124" s="159"/>
      <c r="H124" s="156">
        <f t="shared" ref="H124:H130" si="16">C124*E124</f>
        <v>3982.0389061981241</v>
      </c>
      <c r="I124" s="160" t="s">
        <v>8</v>
      </c>
    </row>
    <row r="125" spans="1:9" ht="12.75" customHeight="1" x14ac:dyDescent="0.2">
      <c r="A125" s="157">
        <v>1212014</v>
      </c>
      <c r="B125" s="159" t="str">
        <f>INDEX('Inntektsramme 2016'!$B$3:$B$146,MATCH(A125,'Inntektsramme 2016'!$A$3:$A$146,0))</f>
        <v>Modalen Kraftlag BA</v>
      </c>
      <c r="C125" s="160">
        <f>VLOOKUP(A125,'D-Alt'!$A$3:$L$17,12,FALSE)</f>
        <v>1.0064487457275391</v>
      </c>
      <c r="D125" s="159"/>
      <c r="E125" s="156">
        <f>VLOOKUP(A125,IRData!$A$3:$AI$146,35,FALSE)</f>
        <v>3232.799800558063</v>
      </c>
      <c r="F125" s="159"/>
      <c r="G125" s="159"/>
      <c r="H125" s="156">
        <f t="shared" si="16"/>
        <v>3253.6473044599011</v>
      </c>
      <c r="I125" s="160" t="s">
        <v>8</v>
      </c>
    </row>
    <row r="126" spans="1:9" ht="12.75" customHeight="1" x14ac:dyDescent="0.2">
      <c r="A126" s="157">
        <v>1672014</v>
      </c>
      <c r="B126" s="159" t="str">
        <f>INDEX('Inntektsramme 2016'!$B$3:$B$146,MATCH(A126,'Inntektsramme 2016'!$A$3:$A$146,0))</f>
        <v>Hydro Energi AS</v>
      </c>
      <c r="C126" s="160">
        <f>VLOOKUP(A126,'D-Alt'!$A$3:$L$17,12,FALSE)</f>
        <v>0.66558581590652466</v>
      </c>
      <c r="D126" s="159"/>
      <c r="E126" s="156">
        <f>VLOOKUP(A126,IRData!$A$3:$AI$146,35,FALSE)</f>
        <v>1463.714665040211</v>
      </c>
      <c r="F126" s="159"/>
      <c r="G126" s="160"/>
      <c r="H126" s="156">
        <f t="shared" si="16"/>
        <v>974.22771958513431</v>
      </c>
      <c r="I126" s="160" t="s">
        <v>8</v>
      </c>
    </row>
    <row r="127" spans="1:9" s="55" customFormat="1" ht="12.75" customHeight="1" x14ac:dyDescent="0.2">
      <c r="A127" s="157">
        <v>2222014</v>
      </c>
      <c r="B127" s="159" t="str">
        <f>INDEX('Inntektsramme 2016'!$B$3:$B$146,MATCH(A127,'Inntektsramme 2016'!$A$3:$A$146,0))</f>
        <v>Tinfos AS</v>
      </c>
      <c r="C127" s="160">
        <f>VLOOKUP(A127,'D-Alt'!$A$3:$L$17,12,FALSE)</f>
        <v>1.0801531076431274</v>
      </c>
      <c r="D127" s="159"/>
      <c r="E127" s="156">
        <f>VLOOKUP(A127,IRData!$A$3:$AI$146,35,FALSE)</f>
        <v>901.21074764413197</v>
      </c>
      <c r="F127" s="159"/>
      <c r="G127" s="159"/>
      <c r="H127" s="156">
        <f t="shared" si="16"/>
        <v>973.44558970919547</v>
      </c>
      <c r="I127" s="160" t="s">
        <v>8</v>
      </c>
    </row>
    <row r="128" spans="1:9" ht="12.75" customHeight="1" x14ac:dyDescent="0.2">
      <c r="A128" s="157">
        <v>5122014</v>
      </c>
      <c r="B128" s="159" t="str">
        <f>INDEX('Inntektsramme 2016'!$B$3:$B$146,MATCH(A128,'Inntektsramme 2016'!$A$3:$A$146,0))</f>
        <v>Lyse Produksjon AS</v>
      </c>
      <c r="C128" s="160">
        <f>VLOOKUP(A128,'D-Alt'!$A$3:$L$17,12,FALSE)</f>
        <v>1.2841806411743164</v>
      </c>
      <c r="D128" s="159"/>
      <c r="E128" s="156">
        <f>VLOOKUP(A128,IRData!$A$3:$AI$146,35,FALSE)</f>
        <v>1438.2885410405729</v>
      </c>
      <c r="F128" s="161"/>
      <c r="G128" s="161"/>
      <c r="H128" s="156">
        <f t="shared" si="16"/>
        <v>1847.022300827155</v>
      </c>
      <c r="I128" s="160" t="s">
        <v>8</v>
      </c>
    </row>
    <row r="129" spans="1:9" ht="12.75" customHeight="1" x14ac:dyDescent="0.2">
      <c r="A129" s="157">
        <v>6862014</v>
      </c>
      <c r="B129" s="159" t="str">
        <f>INDEX('Inntektsramme 2016'!$B$3:$B$146,MATCH(A129,'Inntektsramme 2016'!$A$3:$A$146,0))</f>
        <v>Yara Norge AS</v>
      </c>
      <c r="C129" s="160">
        <f>VLOOKUP(A129,'D-Alt'!$A$3:$L$17,12,FALSE)</f>
        <v>0.96893155574798584</v>
      </c>
      <c r="D129" s="159"/>
      <c r="E129" s="156">
        <f>VLOOKUP(A129,IRData!$A$3:$AI$146,35,FALSE)</f>
        <v>15594.796263187112</v>
      </c>
      <c r="F129" s="161"/>
      <c r="G129" s="161"/>
      <c r="H129" s="156">
        <f t="shared" si="16"/>
        <v>15110.290204862766</v>
      </c>
      <c r="I129" s="160" t="s">
        <v>8</v>
      </c>
    </row>
    <row r="130" spans="1:9" s="55" customFormat="1" ht="12.75" customHeight="1" x14ac:dyDescent="0.2">
      <c r="A130" s="157">
        <v>7432014</v>
      </c>
      <c r="B130" s="159" t="str">
        <f>INDEX('Inntektsramme 2016'!$B$3:$B$146,MATCH(A130,'Inntektsramme 2016'!$A$3:$A$146,0))</f>
        <v>Mo Industripark AS</v>
      </c>
      <c r="C130" s="160">
        <f>VLOOKUP(A130,'D-Alt'!$A$3:$L$17,12,FALSE)</f>
        <v>1.1998260021209717</v>
      </c>
      <c r="D130" s="159"/>
      <c r="E130" s="156">
        <f>VLOOKUP(A130,IRData!$A$3:$AI$146,35,FALSE)</f>
        <v>17568.242923105314</v>
      </c>
      <c r="F130" s="162"/>
      <c r="G130" s="162"/>
      <c r="H130" s="156">
        <f t="shared" si="16"/>
        <v>21078.834670719501</v>
      </c>
      <c r="I130" s="160" t="s">
        <v>8</v>
      </c>
    </row>
    <row r="131" spans="1:9" ht="12.75" customHeight="1" x14ac:dyDescent="0.2">
      <c r="A131" s="163">
        <v>1872014</v>
      </c>
      <c r="B131" s="164" t="str">
        <f>INDEX('Inntektsramme 2016'!$B$3:$B$146,MATCH(A131,'Inntektsramme 2016'!$A$3:$A$146,0))</f>
        <v>Sira Kvina Kraftselskap</v>
      </c>
      <c r="C131" s="164"/>
      <c r="D131" s="164"/>
      <c r="E131" s="165">
        <f>VLOOKUP(A131,IRData!$A$3:$AI$146,35,FALSE)</f>
        <v>3047.8063749036232</v>
      </c>
      <c r="F131" s="164"/>
      <c r="G131" s="164"/>
      <c r="H131" s="166">
        <f>E131</f>
        <v>3047.8063749036232</v>
      </c>
      <c r="I131" s="167" t="s">
        <v>9</v>
      </c>
    </row>
    <row r="132" spans="1:9" ht="13.5" customHeight="1" x14ac:dyDescent="0.2">
      <c r="A132" s="163">
        <v>2942014</v>
      </c>
      <c r="B132" s="168" t="str">
        <f>INDEX('Inntektsramme 2016'!$B$3:$B$146,MATCH(A132,'Inntektsramme 2016'!$A$3:$A$146,0))</f>
        <v>Hydro Aluminium AS</v>
      </c>
      <c r="C132" s="168"/>
      <c r="D132" s="168"/>
      <c r="E132" s="165">
        <f>VLOOKUP(A132,IRData!$A$3:$AI$146,35,FALSE)</f>
        <v>21300.124434349753</v>
      </c>
      <c r="F132" s="168"/>
      <c r="G132" s="168"/>
      <c r="H132" s="166">
        <f t="shared" ref="H132:H134" si="17">E132</f>
        <v>21300.124434349753</v>
      </c>
      <c r="I132" s="167" t="s">
        <v>9</v>
      </c>
    </row>
    <row r="133" spans="1:9" x14ac:dyDescent="0.2">
      <c r="A133" s="163">
        <v>6522014</v>
      </c>
      <c r="B133" s="168" t="str">
        <f>INDEX('Inntektsramme 2016'!$B$3:$B$146,MATCH(A133,'Inntektsramme 2016'!$A$3:$A$146,0))</f>
        <v>Svorka Produksjon AS</v>
      </c>
      <c r="C133" s="168"/>
      <c r="D133" s="168"/>
      <c r="E133" s="165">
        <f>VLOOKUP(A133,IRData!$A$3:$AI$146,35,FALSE)</f>
        <v>772.05293382964237</v>
      </c>
      <c r="F133" s="168"/>
      <c r="G133" s="168"/>
      <c r="H133" s="166">
        <f t="shared" si="17"/>
        <v>772.05293382964237</v>
      </c>
      <c r="I133" s="167" t="s">
        <v>9</v>
      </c>
    </row>
    <row r="134" spans="1:9" x14ac:dyDescent="0.2">
      <c r="A134" s="163">
        <v>8522014</v>
      </c>
      <c r="B134" s="169" t="str">
        <f>INDEX('Inntektsramme 2016'!$B$3:$B$146,MATCH(A134,'Inntektsramme 2016'!$A$3:$A$146,0))</f>
        <v>Herøya Nett AS</v>
      </c>
      <c r="C134" s="169"/>
      <c r="D134" s="169"/>
      <c r="E134" s="165">
        <f>VLOOKUP(A134,IRData!$A$3:$AI$146,35,FALSE)</f>
        <v>37122.618259138668</v>
      </c>
      <c r="F134" s="169"/>
      <c r="G134" s="169"/>
      <c r="H134" s="166">
        <f t="shared" si="17"/>
        <v>37122.618259138668</v>
      </c>
      <c r="I134" s="167" t="s">
        <v>9</v>
      </c>
    </row>
    <row r="135" spans="1:9" x14ac:dyDescent="0.2">
      <c r="I135" s="55"/>
    </row>
    <row r="136" spans="1:9" x14ac:dyDescent="0.2">
      <c r="I136" s="55"/>
    </row>
    <row r="137" spans="1:9" x14ac:dyDescent="0.2">
      <c r="I137" s="55"/>
    </row>
    <row r="138" spans="1:9" x14ac:dyDescent="0.2">
      <c r="I138" s="55"/>
    </row>
    <row r="139" spans="1:9" x14ac:dyDescent="0.2">
      <c r="I139" s="55"/>
    </row>
    <row r="140" spans="1:9" x14ac:dyDescent="0.2">
      <c r="I140" s="55"/>
    </row>
    <row r="141" spans="1:9" x14ac:dyDescent="0.2">
      <c r="I141" s="55"/>
    </row>
    <row r="142" spans="1:9" x14ac:dyDescent="0.2">
      <c r="I142" s="55"/>
    </row>
    <row r="143" spans="1:9" x14ac:dyDescent="0.2">
      <c r="I143" s="55"/>
    </row>
    <row r="144" spans="1:9" x14ac:dyDescent="0.2">
      <c r="I144" s="55"/>
    </row>
    <row r="145" spans="9:9" x14ac:dyDescent="0.2">
      <c r="I145" s="55"/>
    </row>
    <row r="146" spans="9:9" x14ac:dyDescent="0.2">
      <c r="I146" s="55"/>
    </row>
    <row r="147" spans="9:9" x14ac:dyDescent="0.2">
      <c r="I147" s="55"/>
    </row>
    <row r="148" spans="9:9" x14ac:dyDescent="0.2">
      <c r="I148" s="55"/>
    </row>
    <row r="149" spans="9:9" x14ac:dyDescent="0.2">
      <c r="I149" s="55"/>
    </row>
  </sheetData>
  <autoFilter ref="A3:I134"/>
  <mergeCells count="1">
    <mergeCell ref="A1:H1"/>
  </mergeCells>
  <phoneticPr fontId="0" type="noConversion"/>
  <pageMargins left="0.78740157499999996" right="0.78740157499999996" top="0.984251969" bottom="0.984251969" header="0.5" footer="0.5"/>
  <pageSetup paperSize="9" orientation="portrait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I91"/>
  <sheetViews>
    <sheetView workbookViewId="0">
      <pane xSplit="2" ySplit="3" topLeftCell="C52" activePane="bottomRight" state="frozen"/>
      <selection activeCell="C21" sqref="C21"/>
      <selection pane="topRight" activeCell="C21" sqref="C21"/>
      <selection pane="bottomLeft" activeCell="C21" sqref="C21"/>
      <selection pane="bottomRight" activeCell="C61" sqref="C61"/>
    </sheetView>
  </sheetViews>
  <sheetFormatPr baseColWidth="10" defaultColWidth="10.85546875" defaultRowHeight="12.75" x14ac:dyDescent="0.2"/>
  <cols>
    <col min="1" max="1" width="11.85546875" style="66" customWidth="1"/>
    <col min="2" max="2" width="32.140625" style="66" customWidth="1"/>
    <col min="3" max="3" width="11.140625" style="66" customWidth="1"/>
    <col min="4" max="5" width="17.42578125" style="66" customWidth="1"/>
    <col min="6" max="6" width="11.7109375" style="66" customWidth="1"/>
    <col min="7" max="7" width="14.28515625" style="66" bestFit="1" customWidth="1"/>
    <col min="8" max="8" width="12.140625" style="66" bestFit="1" customWidth="1"/>
    <col min="9" max="9" width="26.5703125" style="66" bestFit="1" customWidth="1"/>
    <col min="10" max="16384" width="10.85546875" style="66"/>
  </cols>
  <sheetData>
    <row r="1" spans="1:9" ht="45.75" customHeight="1" thickBot="1" x14ac:dyDescent="0.25">
      <c r="A1" s="357" t="s">
        <v>253</v>
      </c>
      <c r="B1" s="358"/>
      <c r="C1" s="358"/>
      <c r="D1" s="358"/>
      <c r="E1" s="358"/>
      <c r="F1" s="358"/>
      <c r="G1" s="358"/>
      <c r="H1" s="359"/>
      <c r="I1" s="104" t="s">
        <v>20</v>
      </c>
    </row>
    <row r="2" spans="1:9" s="70" customFormat="1" ht="57.75" customHeight="1" x14ac:dyDescent="0.2">
      <c r="A2" s="112" t="s">
        <v>73</v>
      </c>
      <c r="B2" s="103" t="s">
        <v>74</v>
      </c>
      <c r="C2" s="100" t="s">
        <v>104</v>
      </c>
      <c r="D2" s="187" t="s">
        <v>251</v>
      </c>
      <c r="E2" s="187" t="s">
        <v>252</v>
      </c>
      <c r="F2" s="100" t="s">
        <v>28</v>
      </c>
      <c r="G2" s="100" t="s">
        <v>220</v>
      </c>
      <c r="H2" s="100" t="s">
        <v>18</v>
      </c>
      <c r="I2" s="113">
        <f>E3-F3</f>
        <v>635241.01065906882</v>
      </c>
    </row>
    <row r="3" spans="1:9" s="70" customFormat="1" ht="13.5" thickBot="1" x14ac:dyDescent="0.25">
      <c r="A3" s="111"/>
      <c r="B3" s="111"/>
      <c r="C3" s="114" t="s">
        <v>67</v>
      </c>
      <c r="D3" s="115">
        <f>SUM(D4:D54)</f>
        <v>13265610.679999998</v>
      </c>
      <c r="E3" s="115">
        <f>SUM(E4:E54)</f>
        <v>3293404.0106590688</v>
      </c>
      <c r="F3" s="115">
        <f>SUM(F4:F54)</f>
        <v>2658163</v>
      </c>
      <c r="G3" s="115"/>
      <c r="H3" s="115">
        <f>SUM(H4:H54)</f>
        <v>3293404.0106590693</v>
      </c>
      <c r="I3" s="111" t="s">
        <v>7</v>
      </c>
    </row>
    <row r="4" spans="1:9" s="70" customFormat="1" x14ac:dyDescent="0.2">
      <c r="A4">
        <v>72014</v>
      </c>
      <c r="B4" t="str">
        <f>INDEX('Inntektsramme 2016'!$B$3:$B$146,MATCH(A4,'Inntektsramme 2016'!$A$3:$A$146,0))</f>
        <v>Alta Kraftlag SA</v>
      </c>
      <c r="C4" s="249">
        <v>1.1781246662139893</v>
      </c>
      <c r="D4" s="117">
        <f>VLOOKUP(A4,IRData!$A$3:$AN$146,22,FALSE)</f>
        <v>14572.28</v>
      </c>
      <c r="E4" s="118">
        <f>VLOOKUP(A4,IRData!$A$3:$AN$146,39,FALSE)</f>
        <v>5565.7311040630502</v>
      </c>
      <c r="F4" s="118">
        <f t="shared" ref="F4:F35" si="0">ROUND((C4*E4),0)</f>
        <v>6557</v>
      </c>
      <c r="G4" s="118">
        <f t="shared" ref="G4:G35" si="1">D4/$D$3*$I$2</f>
        <v>697.81256951579235</v>
      </c>
      <c r="H4" s="118">
        <f t="shared" ref="H4:H35" si="2">F4+G4</f>
        <v>7254.8125695157923</v>
      </c>
      <c r="I4" s="116">
        <f t="shared" ref="I4:I35" si="3">H4/E4</f>
        <v>1.3034788123737584</v>
      </c>
    </row>
    <row r="5" spans="1:9" x14ac:dyDescent="0.2">
      <c r="A5">
        <v>92014</v>
      </c>
      <c r="B5" t="str">
        <f>INDEX('Inntektsramme 2016'!$B$3:$B$146,MATCH(A5,'Inntektsramme 2016'!$A$3:$A$146,0))</f>
        <v>Andøy Energi AS</v>
      </c>
      <c r="C5" s="249">
        <v>0.85331016778945923</v>
      </c>
      <c r="D5" s="117">
        <f>VLOOKUP(A5,IRData!$A$3:$AN$146,22,FALSE)</f>
        <v>61028.24</v>
      </c>
      <c r="E5" s="118">
        <f>VLOOKUP(A5,IRData!$A$3:$AN$146,39,FALSE)</f>
        <v>11057.267750929233</v>
      </c>
      <c r="F5" s="120">
        <f t="shared" si="0"/>
        <v>9435</v>
      </c>
      <c r="G5" s="120">
        <f t="shared" si="1"/>
        <v>2922.4165996965785</v>
      </c>
      <c r="H5" s="120">
        <f t="shared" si="2"/>
        <v>12357.416599696578</v>
      </c>
      <c r="I5" s="116">
        <f t="shared" si="3"/>
        <v>1.1175831930684759</v>
      </c>
    </row>
    <row r="6" spans="1:9" x14ac:dyDescent="0.2">
      <c r="A6">
        <v>142014</v>
      </c>
      <c r="B6" t="str">
        <f>INDEX('Inntektsramme 2016'!$B$3:$B$146,MATCH(A6,'Inntektsramme 2016'!$A$3:$A$146,0))</f>
        <v>Askøy Energi AS</v>
      </c>
      <c r="C6" s="249">
        <v>0.5473175048828125</v>
      </c>
      <c r="D6" s="117">
        <f>VLOOKUP(A6,IRData!$A$3:$AN$146,22,FALSE)</f>
        <v>35442.92</v>
      </c>
      <c r="E6" s="118">
        <f>VLOOKUP(A6,IRData!$A$3:$AN$146,39,FALSE)</f>
        <v>11379.989471965115</v>
      </c>
      <c r="F6" s="120">
        <f t="shared" si="0"/>
        <v>6228</v>
      </c>
      <c r="G6" s="120">
        <f t="shared" si="1"/>
        <v>1697.2302945278752</v>
      </c>
      <c r="H6" s="120">
        <f t="shared" si="2"/>
        <v>7925.2302945278752</v>
      </c>
      <c r="I6" s="116">
        <f t="shared" si="3"/>
        <v>0.69641806910734638</v>
      </c>
    </row>
    <row r="7" spans="1:9" x14ac:dyDescent="0.2">
      <c r="A7">
        <v>372014</v>
      </c>
      <c r="B7" t="str">
        <f>INDEX('Inntektsramme 2016'!$B$3:$B$146,MATCH(A7,'Inntektsramme 2016'!$A$3:$A$146,0))</f>
        <v>AS Eidefoss</v>
      </c>
      <c r="C7" s="249">
        <v>1.432530403137207</v>
      </c>
      <c r="D7" s="117">
        <f>VLOOKUP(A7,IRData!$A$3:$AN$146,22,FALSE)</f>
        <v>32208.9</v>
      </c>
      <c r="E7" s="118">
        <f>VLOOKUP(A7,IRData!$A$3:$AN$146,39,FALSE)</f>
        <v>8346.5736373955515</v>
      </c>
      <c r="F7" s="120">
        <f t="shared" si="0"/>
        <v>11957</v>
      </c>
      <c r="G7" s="120">
        <f t="shared" si="1"/>
        <v>1542.3650431008191</v>
      </c>
      <c r="H7" s="120">
        <f t="shared" si="2"/>
        <v>13499.365043100819</v>
      </c>
      <c r="I7" s="116">
        <f t="shared" si="3"/>
        <v>1.6173540939744389</v>
      </c>
    </row>
    <row r="8" spans="1:9" x14ac:dyDescent="0.2">
      <c r="A8">
        <v>562014</v>
      </c>
      <c r="B8" t="str">
        <f>INDEX('Inntektsramme 2016'!$B$3:$B$146,MATCH(A8,'Inntektsramme 2016'!$A$3:$A$146,0))</f>
        <v>Sunnfjord Energi AS</v>
      </c>
      <c r="C8" s="249">
        <v>0.66986662149429321</v>
      </c>
      <c r="D8" s="117">
        <f>VLOOKUP(A8,IRData!$A$3:$AN$146,22,FALSE)</f>
        <v>107214.53</v>
      </c>
      <c r="E8" s="118">
        <f>VLOOKUP(A8,IRData!$A$3:$AN$146,39,FALSE)</f>
        <v>26757.428740623171</v>
      </c>
      <c r="F8" s="120">
        <f t="shared" si="0"/>
        <v>17924</v>
      </c>
      <c r="G8" s="120">
        <f t="shared" si="1"/>
        <v>5134.1071313979692</v>
      </c>
      <c r="H8" s="120">
        <f t="shared" si="2"/>
        <v>23058.10713139797</v>
      </c>
      <c r="I8" s="116">
        <f t="shared" si="3"/>
        <v>0.8617459979026727</v>
      </c>
    </row>
    <row r="9" spans="1:9" x14ac:dyDescent="0.2">
      <c r="A9">
        <v>622014</v>
      </c>
      <c r="B9" t="str">
        <f>INDEX('Inntektsramme 2016'!$B$3:$B$146,MATCH(A9,'Inntektsramme 2016'!$A$3:$A$146,0))</f>
        <v>Hadeland Energinett AS</v>
      </c>
      <c r="C9" s="251">
        <v>0.99045252799987793</v>
      </c>
      <c r="D9" s="117">
        <f>VLOOKUP(A9,IRData!$A$3:$AN$146,22,FALSE)</f>
        <v>33024.980000000003</v>
      </c>
      <c r="E9" s="118">
        <f>VLOOKUP(A9,IRData!$A$3:$AN$146,39,FALSE)</f>
        <v>7717.2947264534614</v>
      </c>
      <c r="F9" s="120">
        <f t="shared" si="0"/>
        <v>7644</v>
      </c>
      <c r="G9" s="120">
        <f t="shared" si="1"/>
        <v>1581.4440946789146</v>
      </c>
      <c r="H9" s="120">
        <f t="shared" si="2"/>
        <v>9225.4440946789146</v>
      </c>
      <c r="I9" s="116">
        <f t="shared" si="3"/>
        <v>1.1954246172633263</v>
      </c>
    </row>
    <row r="10" spans="1:9" x14ac:dyDescent="0.2">
      <c r="A10">
        <v>632014</v>
      </c>
      <c r="B10" t="str">
        <f>INDEX('Inntektsramme 2016'!$B$3:$B$146,MATCH(A10,'Inntektsramme 2016'!$A$3:$A$146,0))</f>
        <v>Trollfjord Kraft AS</v>
      </c>
      <c r="C10" s="249">
        <v>0.62807327508926392</v>
      </c>
      <c r="D10" s="117">
        <f>VLOOKUP(A10,IRData!$A$3:$AN$146,22,FALSE)</f>
        <v>84587.5</v>
      </c>
      <c r="E10" s="118">
        <f>VLOOKUP(A10,IRData!$A$3:$AN$146,39,FALSE)</f>
        <v>17358.638759557358</v>
      </c>
      <c r="F10" s="120">
        <f t="shared" si="0"/>
        <v>10902</v>
      </c>
      <c r="G10" s="120">
        <f t="shared" si="1"/>
        <v>4050.5823881998617</v>
      </c>
      <c r="H10" s="120">
        <f t="shared" si="2"/>
        <v>14952.582388199862</v>
      </c>
      <c r="I10" s="116">
        <f t="shared" si="3"/>
        <v>0.86139141411461406</v>
      </c>
    </row>
    <row r="11" spans="1:9" x14ac:dyDescent="0.2">
      <c r="A11">
        <v>652014</v>
      </c>
      <c r="B11" t="str">
        <f>INDEX('Inntektsramme 2016'!$B$3:$B$146,MATCH(A11,'Inntektsramme 2016'!$A$3:$A$146,0))</f>
        <v>Hammerfest Energi Nett AS</v>
      </c>
      <c r="C11" s="249">
        <v>0.86114615201950073</v>
      </c>
      <c r="D11" s="117">
        <f>VLOOKUP(A11,IRData!$A$3:$AN$146,22,FALSE)</f>
        <v>72610.92</v>
      </c>
      <c r="E11" s="118">
        <f>VLOOKUP(A11,IRData!$A$3:$AN$146,39,FALSE)</f>
        <v>16732.625170103038</v>
      </c>
      <c r="F11" s="120">
        <f t="shared" si="0"/>
        <v>14409</v>
      </c>
      <c r="G11" s="120">
        <f t="shared" si="1"/>
        <v>3477.0682871936056</v>
      </c>
      <c r="H11" s="120">
        <f t="shared" si="2"/>
        <v>17886.068287193604</v>
      </c>
      <c r="I11" s="116">
        <f t="shared" si="3"/>
        <v>1.0689337808840347</v>
      </c>
    </row>
    <row r="12" spans="1:9" x14ac:dyDescent="0.2">
      <c r="A12">
        <v>712014</v>
      </c>
      <c r="B12" t="str">
        <f>INDEX('Inntektsramme 2016'!$B$3:$B$146,MATCH(A12,'Inntektsramme 2016'!$A$3:$A$146,0))</f>
        <v>HelgelandsKraft AS</v>
      </c>
      <c r="C12" s="249">
        <v>0.5026862621307373</v>
      </c>
      <c r="D12" s="117">
        <f>VLOOKUP(A12,IRData!$A$3:$AN$146,22,FALSE)</f>
        <v>444992.87</v>
      </c>
      <c r="E12" s="118">
        <f>VLOOKUP(A12,IRData!$A$3:$AN$146,39,FALSE)</f>
        <v>127515.01193549464</v>
      </c>
      <c r="F12" s="120">
        <f t="shared" si="0"/>
        <v>64100</v>
      </c>
      <c r="G12" s="120">
        <f t="shared" si="1"/>
        <v>21309.062002027611</v>
      </c>
      <c r="H12" s="120">
        <f t="shared" si="2"/>
        <v>85409.062002027611</v>
      </c>
      <c r="I12" s="116">
        <f t="shared" si="3"/>
        <v>0.66979613384840564</v>
      </c>
    </row>
    <row r="13" spans="1:9" x14ac:dyDescent="0.2">
      <c r="A13">
        <v>862014</v>
      </c>
      <c r="B13" t="str">
        <f>INDEX('Inntektsramme 2016'!$B$3:$B$146,MATCH(A13,'Inntektsramme 2016'!$A$3:$A$146,0))</f>
        <v>Istad Nett AS</v>
      </c>
      <c r="C13" s="249">
        <v>0.9261125922203064</v>
      </c>
      <c r="D13" s="117">
        <f>VLOOKUP(A13,IRData!$A$3:$AN$146,22,FALSE)</f>
        <v>80423.27</v>
      </c>
      <c r="E13" s="118">
        <f>VLOOKUP(A13,IRData!$A$3:$AN$146,39,FALSE)</f>
        <v>19333.910032596541</v>
      </c>
      <c r="F13" s="120">
        <f t="shared" si="0"/>
        <v>17905</v>
      </c>
      <c r="G13" s="120">
        <f t="shared" si="1"/>
        <v>3851.1728217933182</v>
      </c>
      <c r="H13" s="120">
        <f t="shared" si="2"/>
        <v>21756.17282179332</v>
      </c>
      <c r="I13" s="116">
        <f t="shared" si="3"/>
        <v>1.125285717431854</v>
      </c>
    </row>
    <row r="14" spans="1:9" x14ac:dyDescent="0.2">
      <c r="A14">
        <v>932014</v>
      </c>
      <c r="B14" t="str">
        <f>INDEX('Inntektsramme 2016'!$B$3:$B$146,MATCH(A14,'Inntektsramme 2016'!$A$3:$A$146,0))</f>
        <v>Kragerø Energi AS</v>
      </c>
      <c r="C14" s="249">
        <v>0.96865850687026978</v>
      </c>
      <c r="D14" s="117">
        <f>VLOOKUP(A14,IRData!$A$3:$AN$146,22,FALSE)</f>
        <v>19464.72</v>
      </c>
      <c r="E14" s="118">
        <f>VLOOKUP(A14,IRData!$A$3:$AN$146,39,FALSE)</f>
        <v>6262.7802083379538</v>
      </c>
      <c r="F14" s="120">
        <f t="shared" si="0"/>
        <v>6066</v>
      </c>
      <c r="G14" s="120">
        <f t="shared" si="1"/>
        <v>932.09341833298788</v>
      </c>
      <c r="H14" s="120">
        <f t="shared" si="2"/>
        <v>6998.0934183329882</v>
      </c>
      <c r="I14" s="116">
        <f t="shared" si="3"/>
        <v>1.1174100296568088</v>
      </c>
    </row>
    <row r="15" spans="1:9" x14ac:dyDescent="0.2">
      <c r="A15">
        <v>1032014</v>
      </c>
      <c r="B15" t="str">
        <f>INDEX('Inntektsramme 2016'!$B$3:$B$146,MATCH(A15,'Inntektsramme 2016'!$A$3:$A$146,0))</f>
        <v>Luostejok Kraftlag SA</v>
      </c>
      <c r="C15" s="249">
        <v>0.89159667491912842</v>
      </c>
      <c r="D15" s="117">
        <f>VLOOKUP(A15,IRData!$A$3:$AN$146,22,FALSE)</f>
        <v>51585.75</v>
      </c>
      <c r="E15" s="118">
        <f>VLOOKUP(A15,IRData!$A$3:$AN$146,39,FALSE)</f>
        <v>5510.4212229823779</v>
      </c>
      <c r="F15" s="120">
        <f t="shared" si="0"/>
        <v>4913</v>
      </c>
      <c r="G15" s="120">
        <f t="shared" si="1"/>
        <v>2470.2506922663633</v>
      </c>
      <c r="H15" s="120">
        <f t="shared" si="2"/>
        <v>7383.2506922663633</v>
      </c>
      <c r="I15" s="116">
        <f t="shared" si="3"/>
        <v>1.339870473326604</v>
      </c>
    </row>
    <row r="16" spans="1:9" x14ac:dyDescent="0.2">
      <c r="A16">
        <v>1322014</v>
      </c>
      <c r="B16" t="str">
        <f>INDEX('Inntektsramme 2016'!$B$3:$B$146,MATCH(A16,'Inntektsramme 2016'!$A$3:$A$146,0))</f>
        <v>Nord-Salten Kraft AS</v>
      </c>
      <c r="C16" s="249">
        <v>0.84800827503204346</v>
      </c>
      <c r="D16" s="117">
        <f>VLOOKUP(A16,IRData!$A$3:$AN$146,22,FALSE)</f>
        <v>89104.22</v>
      </c>
      <c r="E16" s="118">
        <f>VLOOKUP(A16,IRData!$A$3:$AN$146,39,FALSE)</f>
        <v>22938.235680561291</v>
      </c>
      <c r="F16" s="120">
        <f t="shared" si="0"/>
        <v>19452</v>
      </c>
      <c r="G16" s="120">
        <f t="shared" si="1"/>
        <v>4266.8713964390236</v>
      </c>
      <c r="H16" s="120">
        <f t="shared" si="2"/>
        <v>23718.871396439023</v>
      </c>
      <c r="I16" s="116">
        <f t="shared" si="3"/>
        <v>1.0340320732051451</v>
      </c>
    </row>
    <row r="17" spans="1:9" x14ac:dyDescent="0.2">
      <c r="A17">
        <v>1332014</v>
      </c>
      <c r="B17" t="str">
        <f>INDEX('Inntektsramme 2016'!$B$3:$B$146,MATCH(A17,'Inntektsramme 2016'!$A$3:$A$146,0))</f>
        <v>Ymber AS</v>
      </c>
      <c r="C17" s="249">
        <v>1.0975656509399414</v>
      </c>
      <c r="D17" s="117">
        <f>VLOOKUP(A17,IRData!$A$3:$AN$146,22,FALSE)</f>
        <v>71271.66</v>
      </c>
      <c r="E17" s="118">
        <f>VLOOKUP(A17,IRData!$A$3:$AN$146,39,FALSE)</f>
        <v>17161.587124926613</v>
      </c>
      <c r="F17" s="120">
        <f t="shared" si="0"/>
        <v>18836</v>
      </c>
      <c r="G17" s="120">
        <f t="shared" si="1"/>
        <v>3412.9360812622263</v>
      </c>
      <c r="H17" s="120">
        <f t="shared" si="2"/>
        <v>22248.936081262225</v>
      </c>
      <c r="I17" s="116">
        <f t="shared" si="3"/>
        <v>1.2964381393925049</v>
      </c>
    </row>
    <row r="18" spans="1:9" x14ac:dyDescent="0.2">
      <c r="A18">
        <v>1382014</v>
      </c>
      <c r="B18" t="str">
        <f>INDEX('Inntektsramme 2016'!$B$3:$B$146,MATCH(A18,'Inntektsramme 2016'!$A$3:$A$146,0))</f>
        <v>Nordkyn Kraftlag AL</v>
      </c>
      <c r="C18" s="249">
        <v>1.2057197093963623</v>
      </c>
      <c r="D18" s="117">
        <f>VLOOKUP(A18,IRData!$A$3:$AN$146,22,FALSE)</f>
        <v>21649.35</v>
      </c>
      <c r="E18" s="118">
        <f>VLOOKUP(A18,IRData!$A$3:$AN$146,39,FALSE)</f>
        <v>4319.5965565784736</v>
      </c>
      <c r="F18" s="120">
        <f t="shared" si="0"/>
        <v>5208</v>
      </c>
      <c r="G18" s="120">
        <f t="shared" si="1"/>
        <v>1036.7072655649438</v>
      </c>
      <c r="H18" s="120">
        <f t="shared" si="2"/>
        <v>6244.7072655649436</v>
      </c>
      <c r="I18" s="116">
        <f t="shared" si="3"/>
        <v>1.4456690998270769</v>
      </c>
    </row>
    <row r="19" spans="1:9" x14ac:dyDescent="0.2">
      <c r="A19">
        <v>1462014</v>
      </c>
      <c r="B19" t="str">
        <f>INDEX('Inntektsramme 2016'!$B$3:$B$146,MATCH(A19,'Inntektsramme 2016'!$A$3:$A$146,0))</f>
        <v>Odda Energi AS</v>
      </c>
      <c r="C19" s="249">
        <v>1.0191665887832642</v>
      </c>
      <c r="D19" s="117">
        <f>VLOOKUP(A19,IRData!$A$3:$AN$146,22,FALSE)</f>
        <v>63245.19</v>
      </c>
      <c r="E19" s="118">
        <f>VLOOKUP(A19,IRData!$A$3:$AN$146,39,FALSE)</f>
        <v>12945.692487509528</v>
      </c>
      <c r="F19" s="120">
        <f t="shared" si="0"/>
        <v>13194</v>
      </c>
      <c r="G19" s="120">
        <f t="shared" si="1"/>
        <v>3028.5781321395484</v>
      </c>
      <c r="H19" s="120">
        <f t="shared" si="2"/>
        <v>16222.578132139548</v>
      </c>
      <c r="I19" s="116">
        <f t="shared" si="3"/>
        <v>1.2531255587749885</v>
      </c>
    </row>
    <row r="20" spans="1:9" x14ac:dyDescent="0.2">
      <c r="A20">
        <v>1522014</v>
      </c>
      <c r="B20" t="str">
        <f>INDEX('Inntektsramme 2016'!$B$3:$B$146,MATCH(A20,'Inntektsramme 2016'!$A$3:$A$146,0))</f>
        <v>Opplandskraft DA</v>
      </c>
      <c r="C20" s="249">
        <v>0.64571952819824219</v>
      </c>
      <c r="D20" s="117">
        <f>VLOOKUP(A20,IRData!$A$3:$AN$146,22,FALSE)</f>
        <v>14756.1</v>
      </c>
      <c r="E20" s="118">
        <f>VLOOKUP(A20,IRData!$A$3:$AN$146,39,FALSE)</f>
        <v>3390.9645176133649</v>
      </c>
      <c r="F20" s="120">
        <f t="shared" si="0"/>
        <v>2190</v>
      </c>
      <c r="G20" s="120">
        <f t="shared" si="1"/>
        <v>706.6150291534326</v>
      </c>
      <c r="H20" s="120">
        <f t="shared" si="2"/>
        <v>2896.6150291534327</v>
      </c>
      <c r="I20" s="116">
        <f t="shared" si="3"/>
        <v>0.85421567052908409</v>
      </c>
    </row>
    <row r="21" spans="1:9" x14ac:dyDescent="0.2">
      <c r="A21">
        <v>1642014</v>
      </c>
      <c r="B21" t="str">
        <f>INDEX('Inntektsramme 2016'!$B$3:$B$146,MATCH(A21,'Inntektsramme 2016'!$A$3:$A$146,0))</f>
        <v>Repvåg Kraftlag SA</v>
      </c>
      <c r="C21" s="249">
        <v>1.0512841939926147</v>
      </c>
      <c r="D21" s="117">
        <f>VLOOKUP(A21,IRData!$A$3:$AN$146,22,FALSE)</f>
        <v>39081.949999999997</v>
      </c>
      <c r="E21" s="118">
        <f>VLOOKUP(A21,IRData!$A$3:$AN$146,39,FALSE)</f>
        <v>9194.0946628352085</v>
      </c>
      <c r="F21" s="120">
        <f t="shared" si="0"/>
        <v>9666</v>
      </c>
      <c r="G21" s="120">
        <f t="shared" si="1"/>
        <v>1871.4899762554467</v>
      </c>
      <c r="H21" s="120">
        <f t="shared" si="2"/>
        <v>11537.489976255447</v>
      </c>
      <c r="I21" s="116">
        <f t="shared" si="3"/>
        <v>1.2548804857201241</v>
      </c>
    </row>
    <row r="22" spans="1:9" x14ac:dyDescent="0.2">
      <c r="A22">
        <v>1972014</v>
      </c>
      <c r="B22" t="str">
        <f>INDEX('Inntektsramme 2016'!$B$3:$B$146,MATCH(A22,'Inntektsramme 2016'!$A$3:$A$146,0))</f>
        <v>Sognekraft AS</v>
      </c>
      <c r="C22" s="249">
        <v>0.8639061450958252</v>
      </c>
      <c r="D22" s="117">
        <f>VLOOKUP(A22,IRData!$A$3:$AN$146,22,FALSE)</f>
        <v>31323.13</v>
      </c>
      <c r="E22" s="118">
        <f>VLOOKUP(A22,IRData!$A$3:$AN$146,39,FALSE)</f>
        <v>13518.832728704114</v>
      </c>
      <c r="F22" s="120">
        <f t="shared" si="0"/>
        <v>11679</v>
      </c>
      <c r="G22" s="120">
        <f t="shared" si="1"/>
        <v>1499.9487952864754</v>
      </c>
      <c r="H22" s="120">
        <f t="shared" si="2"/>
        <v>13178.948795286475</v>
      </c>
      <c r="I22" s="116">
        <f t="shared" si="3"/>
        <v>0.97485848517853368</v>
      </c>
    </row>
    <row r="23" spans="1:9" x14ac:dyDescent="0.2">
      <c r="A23">
        <v>2062014</v>
      </c>
      <c r="B23" t="str">
        <f>INDEX('Inntektsramme 2016'!$B$3:$B$146,MATCH(A23,'Inntektsramme 2016'!$A$3:$A$146,0))</f>
        <v>Suldal Elverk KF</v>
      </c>
      <c r="C23" s="249">
        <v>1.2244042158126831</v>
      </c>
      <c r="D23" s="117">
        <f>VLOOKUP(A23,IRData!$A$3:$AN$146,22,FALSE)</f>
        <v>8541.57</v>
      </c>
      <c r="E23" s="118">
        <f>VLOOKUP(A23,IRData!$A$3:$AN$146,39,FALSE)</f>
        <v>2676.1162714221587</v>
      </c>
      <c r="F23" s="120">
        <f t="shared" si="0"/>
        <v>3277</v>
      </c>
      <c r="G23" s="120">
        <f t="shared" si="1"/>
        <v>409.02418217320871</v>
      </c>
      <c r="H23" s="120">
        <f t="shared" si="2"/>
        <v>3686.0241821732088</v>
      </c>
      <c r="I23" s="116">
        <f t="shared" si="3"/>
        <v>1.3773781885098582</v>
      </c>
    </row>
    <row r="24" spans="1:9" x14ac:dyDescent="0.2">
      <c r="A24">
        <v>2102014</v>
      </c>
      <c r="B24" t="str">
        <f>INDEX('Inntektsramme 2016'!$B$3:$B$146,MATCH(A24,'Inntektsramme 2016'!$A$3:$A$146,0))</f>
        <v>SKL Nett AS</v>
      </c>
      <c r="C24" s="249">
        <v>0.70511484146118164</v>
      </c>
      <c r="D24" s="117">
        <f>VLOOKUP(A24,IRData!$A$3:$AN$146,22,FALSE)</f>
        <v>327644</v>
      </c>
      <c r="E24" s="118">
        <f>VLOOKUP(A24,IRData!$A$3:$AN$146,39,FALSE)</f>
        <v>70042.863109264959</v>
      </c>
      <c r="F24" s="120">
        <f t="shared" si="0"/>
        <v>49388</v>
      </c>
      <c r="G24" s="120">
        <f t="shared" si="1"/>
        <v>15689.658826651166</v>
      </c>
      <c r="H24" s="120">
        <f t="shared" si="2"/>
        <v>65077.658826651168</v>
      </c>
      <c r="I24" s="116">
        <f t="shared" si="3"/>
        <v>0.92911191715752384</v>
      </c>
    </row>
    <row r="25" spans="1:9" x14ac:dyDescent="0.2">
      <c r="A25">
        <v>2152014</v>
      </c>
      <c r="B25" t="str">
        <f>INDEX('Inntektsramme 2016'!$B$3:$B$146,MATCH(A25,'Inntektsramme 2016'!$A$3:$A$146,0))</f>
        <v>TrønderEnergi Nett AS</v>
      </c>
      <c r="C25" s="249">
        <v>0.97609454393386841</v>
      </c>
      <c r="D25" s="117">
        <f>VLOOKUP(A25,IRData!$A$3:$AN$146,22,FALSE)</f>
        <v>515224.23</v>
      </c>
      <c r="E25" s="118">
        <f>VLOOKUP(A25,IRData!$A$3:$AN$146,39,FALSE)</f>
        <v>119240.42804603928</v>
      </c>
      <c r="F25" s="120">
        <f t="shared" si="0"/>
        <v>116390</v>
      </c>
      <c r="G25" s="120">
        <f t="shared" si="1"/>
        <v>24672.181965560336</v>
      </c>
      <c r="H25" s="120">
        <f t="shared" si="2"/>
        <v>141062.18196556033</v>
      </c>
      <c r="I25" s="116">
        <f t="shared" si="3"/>
        <v>1.1830063366687644</v>
      </c>
    </row>
    <row r="26" spans="1:9" x14ac:dyDescent="0.2">
      <c r="A26">
        <v>2272014</v>
      </c>
      <c r="B26" t="str">
        <f>INDEX('Inntektsramme 2016'!$B$3:$B$146,MATCH(A26,'Inntektsramme 2016'!$A$3:$A$146,0))</f>
        <v>Troms Kraft Nett AS</v>
      </c>
      <c r="C26" s="249">
        <v>0.72096049785614014</v>
      </c>
      <c r="D26" s="117">
        <f>VLOOKUP(A26,IRData!$A$3:$AN$146,22,FALSE)</f>
        <v>315807.81</v>
      </c>
      <c r="E26" s="118">
        <f>VLOOKUP(A26,IRData!$A$3:$AN$146,39,FALSE)</f>
        <v>74140.976566859492</v>
      </c>
      <c r="F26" s="120">
        <f t="shared" si="0"/>
        <v>53453</v>
      </c>
      <c r="G26" s="120">
        <f t="shared" si="1"/>
        <v>15122.86748328025</v>
      </c>
      <c r="H26" s="120">
        <f t="shared" si="2"/>
        <v>68575.86748328025</v>
      </c>
      <c r="I26" s="116">
        <f t="shared" si="3"/>
        <v>0.92493882140113581</v>
      </c>
    </row>
    <row r="27" spans="1:9" x14ac:dyDescent="0.2">
      <c r="A27">
        <v>2492014</v>
      </c>
      <c r="B27" t="str">
        <f>INDEX('Inntektsramme 2016'!$B$3:$B$146,MATCH(A27,'Inntektsramme 2016'!$A$3:$A$146,0))</f>
        <v>Varanger Kraftnett AS</v>
      </c>
      <c r="C27" s="249">
        <v>0.58584988117218018</v>
      </c>
      <c r="D27" s="117">
        <f>VLOOKUP(A27,IRData!$A$3:$AN$146,22,FALSE)</f>
        <v>264919.97000000003</v>
      </c>
      <c r="E27" s="118">
        <f>VLOOKUP(A27,IRData!$A$3:$AN$146,39,FALSE)</f>
        <v>43107.395652981402</v>
      </c>
      <c r="F27" s="120">
        <f t="shared" si="0"/>
        <v>25254</v>
      </c>
      <c r="G27" s="120">
        <f t="shared" si="1"/>
        <v>12686.037118539216</v>
      </c>
      <c r="H27" s="120">
        <f t="shared" si="2"/>
        <v>37940.037118539214</v>
      </c>
      <c r="I27" s="116">
        <f t="shared" si="3"/>
        <v>0.88012825975292241</v>
      </c>
    </row>
    <row r="28" spans="1:9" x14ac:dyDescent="0.2">
      <c r="A28">
        <v>2512014</v>
      </c>
      <c r="B28" t="str">
        <f>INDEX('Inntektsramme 2016'!$B$3:$B$146,MATCH(A28,'Inntektsramme 2016'!$A$3:$A$146,0))</f>
        <v>Vest-Telemark Kraftlag AS</v>
      </c>
      <c r="C28" s="249">
        <v>0.67453795671463013</v>
      </c>
      <c r="D28" s="117">
        <f>VLOOKUP(A28,IRData!$A$3:$AN$146,22,FALSE)</f>
        <v>68302.259999999995</v>
      </c>
      <c r="E28" s="118">
        <f>VLOOKUP(A28,IRData!$A$3:$AN$146,39,FALSE)</f>
        <v>14120.072216043602</v>
      </c>
      <c r="F28" s="120">
        <f t="shared" si="0"/>
        <v>9525</v>
      </c>
      <c r="G28" s="120">
        <f t="shared" si="1"/>
        <v>3270.742502500344</v>
      </c>
      <c r="H28" s="120">
        <f t="shared" si="2"/>
        <v>12795.742502500343</v>
      </c>
      <c r="I28" s="116">
        <f t="shared" si="3"/>
        <v>0.90620942348733036</v>
      </c>
    </row>
    <row r="29" spans="1:9" x14ac:dyDescent="0.2">
      <c r="A29">
        <v>2572014</v>
      </c>
      <c r="B29" t="str">
        <f>INDEX('Inntektsramme 2016'!$B$3:$B$146,MATCH(A29,'Inntektsramme 2016'!$A$3:$A$146,0))</f>
        <v>Dalane energi IKS</v>
      </c>
      <c r="C29" s="249">
        <v>0.56952118873596191</v>
      </c>
      <c r="D29" s="117">
        <f>VLOOKUP(A29,IRData!$A$3:$AN$146,22,FALSE)</f>
        <v>19634.400000000001</v>
      </c>
      <c r="E29" s="118">
        <f>VLOOKUP(A29,IRData!$A$3:$AN$146,39,FALSE)</f>
        <v>13358.156197244532</v>
      </c>
      <c r="F29" s="120">
        <f t="shared" si="0"/>
        <v>7608</v>
      </c>
      <c r="G29" s="120">
        <f t="shared" si="1"/>
        <v>940.21876569080973</v>
      </c>
      <c r="H29" s="120">
        <f t="shared" si="2"/>
        <v>8548.21876569081</v>
      </c>
      <c r="I29" s="116">
        <f t="shared" si="3"/>
        <v>0.63992504949553608</v>
      </c>
    </row>
    <row r="30" spans="1:9" x14ac:dyDescent="0.2">
      <c r="A30">
        <v>2692014</v>
      </c>
      <c r="B30" t="str">
        <f>INDEX('Inntektsramme 2016'!$B$3:$B$146,MATCH(A30,'Inntektsramme 2016'!$A$3:$A$146,0))</f>
        <v>SFE Nett AS</v>
      </c>
      <c r="C30" s="249">
        <v>0.84981906414031982</v>
      </c>
      <c r="D30" s="117">
        <f>VLOOKUP(A30,IRData!$A$3:$AN$146,22,FALSE)</f>
        <v>229447.76</v>
      </c>
      <c r="E30" s="118">
        <f>VLOOKUP(A30,IRData!$A$3:$AN$146,39,FALSE)</f>
        <v>49332.231277489671</v>
      </c>
      <c r="F30" s="120">
        <f t="shared" si="0"/>
        <v>41923</v>
      </c>
      <c r="G30" s="120">
        <f t="shared" si="1"/>
        <v>10987.404234288859</v>
      </c>
      <c r="H30" s="120">
        <f t="shared" si="2"/>
        <v>52910.404234288857</v>
      </c>
      <c r="I30" s="116">
        <f t="shared" si="3"/>
        <v>1.0725321532016718</v>
      </c>
    </row>
    <row r="31" spans="1:9" x14ac:dyDescent="0.2">
      <c r="A31">
        <v>2712014</v>
      </c>
      <c r="B31" t="str">
        <f>INDEX('Inntektsramme 2016'!$B$3:$B$146,MATCH(A31,'Inntektsramme 2016'!$A$3:$A$146,0))</f>
        <v>Driva Kraftverk</v>
      </c>
      <c r="C31" s="249">
        <v>0.91619318723678589</v>
      </c>
      <c r="D31" s="117">
        <f>VLOOKUP(A31,IRData!$A$3:$AN$146,22,FALSE)</f>
        <v>547.41999999999996</v>
      </c>
      <c r="E31" s="118">
        <f>VLOOKUP(A31,IRData!$A$3:$AN$146,39,FALSE)</f>
        <v>1476.2637084386927</v>
      </c>
      <c r="F31" s="120">
        <f t="shared" si="0"/>
        <v>1353</v>
      </c>
      <c r="G31" s="120">
        <f t="shared" si="1"/>
        <v>26.21391826154418</v>
      </c>
      <c r="H31" s="120">
        <f t="shared" si="2"/>
        <v>1379.2139182615442</v>
      </c>
      <c r="I31" s="116">
        <f t="shared" si="3"/>
        <v>0.93425985505002418</v>
      </c>
    </row>
    <row r="32" spans="1:9" x14ac:dyDescent="0.2">
      <c r="A32">
        <v>2752014</v>
      </c>
      <c r="B32" t="str">
        <f>INDEX('Inntektsramme 2016'!$B$3:$B$146,MATCH(A32,'Inntektsramme 2016'!$A$3:$A$146,0))</f>
        <v>Hallingdal Kraftnett AS</v>
      </c>
      <c r="C32" s="249">
        <v>0.71525305509567261</v>
      </c>
      <c r="D32" s="117">
        <f>VLOOKUP(A32,IRData!$A$3:$AN$146,22,FALSE)</f>
        <v>59944.51</v>
      </c>
      <c r="E32" s="118">
        <f>VLOOKUP(A32,IRData!$A$3:$AN$146,39,FALSE)</f>
        <v>15464.954630806451</v>
      </c>
      <c r="F32" s="120">
        <f t="shared" si="0"/>
        <v>11061</v>
      </c>
      <c r="G32" s="120">
        <f t="shared" si="1"/>
        <v>2870.5207799647765</v>
      </c>
      <c r="H32" s="120">
        <f t="shared" si="2"/>
        <v>13931.520779964776</v>
      </c>
      <c r="I32" s="116">
        <f t="shared" si="3"/>
        <v>0.90084459428112074</v>
      </c>
    </row>
    <row r="33" spans="1:9" x14ac:dyDescent="0.2">
      <c r="A33">
        <v>2882014</v>
      </c>
      <c r="B33" t="str">
        <f>INDEX('Inntektsramme 2016'!$B$3:$B$146,MATCH(A33,'Inntektsramme 2016'!$A$3:$A$146,0))</f>
        <v>Kraftverkene i Orkla DA</v>
      </c>
      <c r="C33" s="249">
        <v>1.3650120496749878</v>
      </c>
      <c r="D33" s="117">
        <f>VLOOKUP(A33,IRData!$A$3:$AN$146,22,FALSE)</f>
        <v>21154.45</v>
      </c>
      <c r="E33" s="118">
        <f>VLOOKUP(A33,IRData!$A$3:$AN$146,39,FALSE)</f>
        <v>7093.1734148457654</v>
      </c>
      <c r="F33" s="120">
        <f t="shared" si="0"/>
        <v>9682</v>
      </c>
      <c r="G33" s="120">
        <f t="shared" si="1"/>
        <v>1013.0083357712967</v>
      </c>
      <c r="H33" s="120">
        <f t="shared" si="2"/>
        <v>10695.008335771297</v>
      </c>
      <c r="I33" s="116">
        <f t="shared" si="3"/>
        <v>1.5077889275041574</v>
      </c>
    </row>
    <row r="34" spans="1:9" x14ac:dyDescent="0.2">
      <c r="A34">
        <v>2952014</v>
      </c>
      <c r="B34" t="str">
        <f>INDEX('Inntektsramme 2016'!$B$3:$B$146,MATCH(A34,'Inntektsramme 2016'!$A$3:$A$146,0))</f>
        <v>Gudbrandsdal Energi AS</v>
      </c>
      <c r="C34" s="249">
        <v>0.8671267032623291</v>
      </c>
      <c r="D34" s="117">
        <f>VLOOKUP(A34,IRData!$A$3:$AN$146,22,FALSE)</f>
        <v>25943.87</v>
      </c>
      <c r="E34" s="118">
        <f>VLOOKUP(A34,IRData!$A$3:$AN$146,39,FALSE)</f>
        <v>10673.578475427634</v>
      </c>
      <c r="F34" s="120">
        <f t="shared" si="0"/>
        <v>9255</v>
      </c>
      <c r="G34" s="120">
        <f t="shared" si="1"/>
        <v>1242.3559379783862</v>
      </c>
      <c r="H34" s="120">
        <f t="shared" si="2"/>
        <v>10497.355937978386</v>
      </c>
      <c r="I34" s="116">
        <f t="shared" si="3"/>
        <v>0.98348983540478552</v>
      </c>
    </row>
    <row r="35" spans="1:9" x14ac:dyDescent="0.2">
      <c r="A35">
        <v>3112014</v>
      </c>
      <c r="B35" t="str">
        <f>INDEX('Inntektsramme 2016'!$B$3:$B$146,MATCH(A35,'Inntektsramme 2016'!$A$3:$A$146,0))</f>
        <v>Nordmøre Energiverk AS</v>
      </c>
      <c r="C35" s="249">
        <v>1.0201957225799561</v>
      </c>
      <c r="D35" s="117">
        <f>VLOOKUP(A35,IRData!$A$3:$AN$146,22,FALSE)</f>
        <v>343591.9</v>
      </c>
      <c r="E35" s="118">
        <f>VLOOKUP(A35,IRData!$A$3:$AN$146,39,FALSE)</f>
        <v>49641.170696572532</v>
      </c>
      <c r="F35" s="120">
        <f t="shared" si="0"/>
        <v>50644</v>
      </c>
      <c r="G35" s="120">
        <f t="shared" si="1"/>
        <v>16453.344747960731</v>
      </c>
      <c r="H35" s="120">
        <f t="shared" si="2"/>
        <v>67097.344747960728</v>
      </c>
      <c r="I35" s="116">
        <f t="shared" si="3"/>
        <v>1.3516471067551485</v>
      </c>
    </row>
    <row r="36" spans="1:9" x14ac:dyDescent="0.2">
      <c r="A36">
        <v>3542014</v>
      </c>
      <c r="B36" t="str">
        <f>INDEX('Inntektsramme 2016'!$B$3:$B$146,MATCH(A36,'Inntektsramme 2016'!$A$3:$A$146,0))</f>
        <v>Lofotkraft AS</v>
      </c>
      <c r="C36" s="249">
        <v>0.55901074409484863</v>
      </c>
      <c r="D36" s="117">
        <f>VLOOKUP(A36,IRData!$A$3:$AN$146,22,FALSE)</f>
        <v>349496.36</v>
      </c>
      <c r="E36" s="118">
        <f>VLOOKUP(A36,IRData!$A$3:$AN$146,39,FALSE)</f>
        <v>52124.182223812139</v>
      </c>
      <c r="F36" s="120">
        <f t="shared" ref="F36:F54" si="4">ROUND((C36*E36),0)</f>
        <v>29138</v>
      </c>
      <c r="G36" s="120">
        <f t="shared" ref="G36:G54" si="5">D36/$D$3*$I$2</f>
        <v>16736.087489947789</v>
      </c>
      <c r="H36" s="120">
        <f t="shared" ref="H36:H54" si="6">F36+G36</f>
        <v>45874.087489947793</v>
      </c>
      <c r="I36" s="116">
        <f t="shared" ref="I36:I54" si="7">H36/E36</f>
        <v>0.88009222462181702</v>
      </c>
    </row>
    <row r="37" spans="1:9" x14ac:dyDescent="0.2">
      <c r="A37">
        <v>4332014</v>
      </c>
      <c r="B37" t="str">
        <f>INDEX('Inntektsramme 2016'!$B$3:$B$146,MATCH(A37,'Inntektsramme 2016'!$A$3:$A$146,0))</f>
        <v>Hålogaland Kraft AS</v>
      </c>
      <c r="C37" s="249">
        <v>0.98145991563796997</v>
      </c>
      <c r="D37" s="117">
        <f>VLOOKUP(A37,IRData!$A$3:$AN$146,22,FALSE)</f>
        <v>71586.78</v>
      </c>
      <c r="E37" s="118">
        <f>VLOOKUP(A37,IRData!$A$3:$AN$146,39,FALSE)</f>
        <v>17236.194615380111</v>
      </c>
      <c r="F37" s="120">
        <f t="shared" si="4"/>
        <v>16917</v>
      </c>
      <c r="G37" s="120">
        <f t="shared" si="5"/>
        <v>3428.0260120696094</v>
      </c>
      <c r="H37" s="120">
        <f t="shared" si="6"/>
        <v>20345.026012069611</v>
      </c>
      <c r="I37" s="116">
        <f t="shared" si="7"/>
        <v>1.1803664594222814</v>
      </c>
    </row>
    <row r="38" spans="1:9" x14ac:dyDescent="0.2">
      <c r="A38">
        <v>4602014</v>
      </c>
      <c r="B38" t="str">
        <f>INDEX('Inntektsramme 2016'!$B$3:$B$146,MATCH(A38,'Inntektsramme 2016'!$A$3:$A$146,0))</f>
        <v>MØRENETT AS</v>
      </c>
      <c r="C38" s="249">
        <v>0.78816097974777222</v>
      </c>
      <c r="D38" s="117">
        <f>VLOOKUP(A38,IRData!$A$3:$AN$146,22,FALSE)</f>
        <v>626155.56000000006</v>
      </c>
      <c r="E38" s="118">
        <f>VLOOKUP(A38,IRData!$A$3:$AN$146,39,FALSE)</f>
        <v>113120.41569436225</v>
      </c>
      <c r="F38" s="120">
        <f t="shared" si="4"/>
        <v>89157</v>
      </c>
      <c r="G38" s="120">
        <f t="shared" si="5"/>
        <v>29984.27289622488</v>
      </c>
      <c r="H38" s="120">
        <f t="shared" si="6"/>
        <v>119141.27289622488</v>
      </c>
      <c r="I38" s="116">
        <f t="shared" si="7"/>
        <v>1.0532252039996941</v>
      </c>
    </row>
    <row r="39" spans="1:9" x14ac:dyDescent="0.2">
      <c r="A39">
        <v>4642014</v>
      </c>
      <c r="B39" t="str">
        <f>INDEX('Inntektsramme 2016'!$B$3:$B$146,MATCH(A39,'Inntektsramme 2016'!$A$3:$A$146,0))</f>
        <v>Vesterålskraft Nett AS</v>
      </c>
      <c r="C39" s="249">
        <v>0.44251355528831482</v>
      </c>
      <c r="D39" s="117">
        <f>VLOOKUP(A39,IRData!$A$3:$AN$146,22,FALSE)</f>
        <v>53930.97</v>
      </c>
      <c r="E39" s="118">
        <f>VLOOKUP(A39,IRData!$A$3:$AN$146,39,FALSE)</f>
        <v>18302.037033712142</v>
      </c>
      <c r="F39" s="120">
        <f t="shared" si="4"/>
        <v>8099</v>
      </c>
      <c r="G39" s="120">
        <f t="shared" si="5"/>
        <v>2582.5546003905438</v>
      </c>
      <c r="H39" s="120">
        <f t="shared" si="6"/>
        <v>10681.554600390544</v>
      </c>
      <c r="I39" s="116">
        <f t="shared" si="7"/>
        <v>0.58362654281134074</v>
      </c>
    </row>
    <row r="40" spans="1:9" x14ac:dyDescent="0.2">
      <c r="A40">
        <v>5032014</v>
      </c>
      <c r="B40" t="str">
        <f>INDEX('Inntektsramme 2016'!$B$3:$B$146,MATCH(A40,'Inntektsramme 2016'!$A$3:$A$146,0))</f>
        <v>Haugaland Kraft AS</v>
      </c>
      <c r="C40" s="249">
        <v>1.0916699171066284</v>
      </c>
      <c r="D40" s="117">
        <f>VLOOKUP(A40,IRData!$A$3:$AN$146,22,FALSE)</f>
        <v>138656.84</v>
      </c>
      <c r="E40" s="118">
        <f>VLOOKUP(A40,IRData!$A$3:$AN$146,39,FALSE)</f>
        <v>42002.439880466132</v>
      </c>
      <c r="F40" s="120">
        <f t="shared" si="4"/>
        <v>45853</v>
      </c>
      <c r="G40" s="120">
        <f t="shared" si="5"/>
        <v>6639.7630159000573</v>
      </c>
      <c r="H40" s="120">
        <f t="shared" si="6"/>
        <v>52492.763015900055</v>
      </c>
      <c r="I40" s="116">
        <f t="shared" si="7"/>
        <v>1.2497550895921312</v>
      </c>
    </row>
    <row r="41" spans="1:9" x14ac:dyDescent="0.2">
      <c r="A41">
        <v>5112014</v>
      </c>
      <c r="B41" t="str">
        <f>INDEX('Inntektsramme 2016'!$B$3:$B$146,MATCH(A41,'Inntektsramme 2016'!$A$3:$A$146,0))</f>
        <v>Lyse Elnett AS</v>
      </c>
      <c r="C41" s="249">
        <v>0.85711604356765747</v>
      </c>
      <c r="D41" s="117">
        <f>VLOOKUP(A41,IRData!$A$3:$AN$146,22,FALSE)</f>
        <v>631910.54</v>
      </c>
      <c r="E41" s="118">
        <f>VLOOKUP(A41,IRData!$A$3:$AN$146,39,FALSE)</f>
        <v>196911.57322507564</v>
      </c>
      <c r="F41" s="120">
        <f t="shared" si="4"/>
        <v>168776</v>
      </c>
      <c r="G41" s="120">
        <f t="shared" si="5"/>
        <v>30259.857594111003</v>
      </c>
      <c r="H41" s="120">
        <f t="shared" si="6"/>
        <v>199035.857594111</v>
      </c>
      <c r="I41" s="116">
        <f t="shared" si="7"/>
        <v>1.0107880117671257</v>
      </c>
    </row>
    <row r="42" spans="1:9" x14ac:dyDescent="0.2">
      <c r="A42">
        <v>5662014</v>
      </c>
      <c r="B42" t="str">
        <f>INDEX('Inntektsramme 2016'!$B$3:$B$146,MATCH(A42,'Inntektsramme 2016'!$A$3:$A$146,0))</f>
        <v>BKK Nett AS</v>
      </c>
      <c r="C42" s="249">
        <v>0.66616427898406982</v>
      </c>
      <c r="D42" s="117">
        <f>VLOOKUP(A42,IRData!$A$3:$AN$146,22,FALSE)</f>
        <v>976908.36</v>
      </c>
      <c r="E42" s="118">
        <f>VLOOKUP(A42,IRData!$A$3:$AN$146,39,FALSE)</f>
        <v>284092.89458373521</v>
      </c>
      <c r="F42" s="120">
        <f t="shared" si="4"/>
        <v>189253</v>
      </c>
      <c r="G42" s="120">
        <f t="shared" si="5"/>
        <v>46780.52664875082</v>
      </c>
      <c r="H42" s="120">
        <f t="shared" si="6"/>
        <v>236033.52664875082</v>
      </c>
      <c r="I42" s="116">
        <f t="shared" si="7"/>
        <v>0.83083220717152051</v>
      </c>
    </row>
    <row r="43" spans="1:9" x14ac:dyDescent="0.2">
      <c r="A43">
        <v>5742014</v>
      </c>
      <c r="B43" t="str">
        <f>INDEX('Inntektsramme 2016'!$B$3:$B$146,MATCH(A43,'Inntektsramme 2016'!$A$3:$A$146,0))</f>
        <v>Eidsiva Nett AS</v>
      </c>
      <c r="C43" s="249">
        <v>0.7876160740852356</v>
      </c>
      <c r="D43" s="117">
        <f>VLOOKUP(A43,IRData!$A$3:$AN$146,22,FALSE)</f>
        <v>559627.87</v>
      </c>
      <c r="E43" s="118">
        <f>VLOOKUP(A43,IRData!$A$3:$AN$146,39,FALSE)</f>
        <v>211153.62650182526</v>
      </c>
      <c r="F43" s="120">
        <f t="shared" si="4"/>
        <v>166308</v>
      </c>
      <c r="G43" s="120">
        <f t="shared" si="5"/>
        <v>26798.507984841752</v>
      </c>
      <c r="H43" s="120">
        <f t="shared" si="6"/>
        <v>193106.50798484177</v>
      </c>
      <c r="I43" s="116">
        <f t="shared" si="7"/>
        <v>0.91453086164813047</v>
      </c>
    </row>
    <row r="44" spans="1:9" x14ac:dyDescent="0.2">
      <c r="A44">
        <v>5912014</v>
      </c>
      <c r="B44" t="str">
        <f>INDEX('Inntektsramme 2016'!$B$3:$B$146,MATCH(A44,'Inntektsramme 2016'!$A$3:$A$146,0))</f>
        <v>Midt Nett Buskerud AS</v>
      </c>
      <c r="C44" s="249">
        <v>0.70819807052612305</v>
      </c>
      <c r="D44" s="117">
        <f>VLOOKUP(A44,IRData!$A$3:$AN$146,22,FALSE)</f>
        <v>50658.57</v>
      </c>
      <c r="E44" s="118">
        <f>VLOOKUP(A44,IRData!$A$3:$AN$146,39,FALSE)</f>
        <v>6687.8510974658011</v>
      </c>
      <c r="F44" s="120">
        <f t="shared" si="4"/>
        <v>4736</v>
      </c>
      <c r="G44" s="120">
        <f t="shared" si="5"/>
        <v>2425.8514727754086</v>
      </c>
      <c r="H44" s="120">
        <f t="shared" si="6"/>
        <v>7161.8514727754082</v>
      </c>
      <c r="I44" s="116">
        <f t="shared" si="7"/>
        <v>1.0708748398254886</v>
      </c>
    </row>
    <row r="45" spans="1:9" x14ac:dyDescent="0.2">
      <c r="A45">
        <v>6112014</v>
      </c>
      <c r="B45" t="str">
        <f>INDEX('Inntektsramme 2016'!$B$3:$B$146,MATCH(A45,'Inntektsramme 2016'!$A$3:$A$146,0))</f>
        <v>Skagerak Nett AS</v>
      </c>
      <c r="C45" s="249">
        <v>0.95650738477706909</v>
      </c>
      <c r="D45" s="117">
        <f>VLOOKUP(A45,IRData!$A$3:$AN$146,22,FALSE)</f>
        <v>886521.44000000006</v>
      </c>
      <c r="E45" s="118">
        <f>VLOOKUP(A45,IRData!$A$3:$AN$146,39,FALSE)</f>
        <v>238342.99454994078</v>
      </c>
      <c r="F45" s="120">
        <f t="shared" si="4"/>
        <v>227977</v>
      </c>
      <c r="G45" s="120">
        <f t="shared" si="5"/>
        <v>42452.231495499705</v>
      </c>
      <c r="H45" s="120">
        <f t="shared" si="6"/>
        <v>270429.23149549973</v>
      </c>
      <c r="I45" s="116">
        <f t="shared" si="7"/>
        <v>1.1346221104847107</v>
      </c>
    </row>
    <row r="46" spans="1:9" x14ac:dyDescent="0.2">
      <c r="A46">
        <v>6152014</v>
      </c>
      <c r="B46" t="str">
        <f>INDEX('Inntektsramme 2016'!$B$3:$B$146,MATCH(A46,'Inntektsramme 2016'!$A$3:$A$146,0))</f>
        <v>EB Nett AS</v>
      </c>
      <c r="C46" s="249">
        <v>1.0233721733093262</v>
      </c>
      <c r="D46" s="117">
        <f>VLOOKUP(A46,IRData!$A$3:$AN$146,22,FALSE)</f>
        <v>534232.43000000005</v>
      </c>
      <c r="E46" s="118">
        <f>VLOOKUP(A46,IRData!$A$3:$AN$146,39,FALSE)</f>
        <v>129330.47706897148</v>
      </c>
      <c r="F46" s="120">
        <f t="shared" si="4"/>
        <v>132353</v>
      </c>
      <c r="G46" s="120">
        <f t="shared" si="5"/>
        <v>25582.41433028776</v>
      </c>
      <c r="H46" s="120">
        <f t="shared" si="6"/>
        <v>157935.41433028775</v>
      </c>
      <c r="I46" s="116">
        <f t="shared" si="7"/>
        <v>1.221177079908716</v>
      </c>
    </row>
    <row r="47" spans="1:9" x14ac:dyDescent="0.2">
      <c r="A47">
        <v>6242014</v>
      </c>
      <c r="B47" t="str">
        <f>INDEX('Inntektsramme 2016'!$B$3:$B$146,MATCH(A47,'Inntektsramme 2016'!$A$3:$A$146,0))</f>
        <v>Agder Energi Nett AS</v>
      </c>
      <c r="C47" s="249">
        <v>0.7448890209197998</v>
      </c>
      <c r="D47" s="117">
        <f>VLOOKUP(A47,IRData!$A$3:$AN$146,22,FALSE)</f>
        <v>1222582.78</v>
      </c>
      <c r="E47" s="118">
        <f>VLOOKUP(A47,IRData!$A$3:$AN$146,39,FALSE)</f>
        <v>227566.82925122743</v>
      </c>
      <c r="F47" s="120">
        <f t="shared" si="4"/>
        <v>169512</v>
      </c>
      <c r="G47" s="120">
        <f t="shared" si="5"/>
        <v>58544.965589294239</v>
      </c>
      <c r="H47" s="120">
        <f t="shared" si="6"/>
        <v>228056.96558929424</v>
      </c>
      <c r="I47" s="116">
        <f t="shared" si="7"/>
        <v>1.0021538127488945</v>
      </c>
    </row>
    <row r="48" spans="1:9" x14ac:dyDescent="0.2">
      <c r="A48">
        <v>6252014</v>
      </c>
      <c r="B48" t="str">
        <f>INDEX('Inntektsramme 2016'!$B$3:$B$146,MATCH(A48,'Inntektsramme 2016'!$A$3:$A$146,0))</f>
        <v>Voss Energi AS</v>
      </c>
      <c r="C48" s="249">
        <v>0.93095993995666504</v>
      </c>
      <c r="D48" s="117">
        <f>VLOOKUP(A48,IRData!$A$3:$AN$146,22,FALSE)</f>
        <v>59876.840000000004</v>
      </c>
      <c r="E48" s="118">
        <f>VLOOKUP(A48,IRData!$A$3:$AN$146,39,FALSE)</f>
        <v>8109.8591608417746</v>
      </c>
      <c r="F48" s="119">
        <f t="shared" si="4"/>
        <v>7550</v>
      </c>
      <c r="G48" s="119">
        <f t="shared" si="5"/>
        <v>2867.2803140542164</v>
      </c>
      <c r="H48" s="119">
        <f t="shared" si="6"/>
        <v>10417.280314054216</v>
      </c>
      <c r="I48" s="116">
        <f t="shared" si="7"/>
        <v>1.2845204962810894</v>
      </c>
    </row>
    <row r="49" spans="1:9" x14ac:dyDescent="0.2">
      <c r="A49">
        <v>6372014</v>
      </c>
      <c r="B49" t="str">
        <f>INDEX('Inntektsramme 2016'!$B$3:$B$146,MATCH(A49,'Inntektsramme 2016'!$A$3:$A$146,0))</f>
        <v>Nordkraft Nett AS</v>
      </c>
      <c r="C49" s="249">
        <v>0.50548422336578369</v>
      </c>
      <c r="D49" s="117">
        <f>VLOOKUP(A49,IRData!$A$3:$AN$146,22,FALSE)</f>
        <v>70000.070000000007</v>
      </c>
      <c r="E49" s="118">
        <f>VLOOKUP(A49,IRData!$A$3:$AN$146,39,FALSE)</f>
        <v>20742.137352556339</v>
      </c>
      <c r="F49" s="120">
        <f t="shared" si="4"/>
        <v>10485</v>
      </c>
      <c r="G49" s="120">
        <f t="shared" si="5"/>
        <v>3352.044341241407</v>
      </c>
      <c r="H49" s="120">
        <f t="shared" si="6"/>
        <v>13837.044341241406</v>
      </c>
      <c r="I49" s="116">
        <f t="shared" si="7"/>
        <v>0.66709828915177227</v>
      </c>
    </row>
    <row r="50" spans="1:9" x14ac:dyDescent="0.2">
      <c r="A50">
        <v>6692014</v>
      </c>
      <c r="B50" t="str">
        <f>INDEX('Inntektsramme 2016'!$B$3:$B$146,MATCH(A50,'Inntektsramme 2016'!$A$3:$A$146,0))</f>
        <v>Stange Energi Nett AS</v>
      </c>
      <c r="C50" s="249">
        <v>1.0334298610687256</v>
      </c>
      <c r="D50" s="117">
        <f>VLOOKUP(A50,IRData!$A$3:$AN$146,22,FALSE)</f>
        <v>18340.59</v>
      </c>
      <c r="E50" s="118">
        <f>VLOOKUP(A50,IRData!$A$3:$AN$146,39,FALSE)</f>
        <v>4524.0377748824358</v>
      </c>
      <c r="F50" s="120">
        <f t="shared" si="4"/>
        <v>4675</v>
      </c>
      <c r="G50" s="120">
        <f t="shared" si="5"/>
        <v>878.26299208741841</v>
      </c>
      <c r="H50" s="120">
        <f t="shared" si="6"/>
        <v>5553.2629920874188</v>
      </c>
      <c r="I50" s="116">
        <f t="shared" si="7"/>
        <v>1.2275014640503812</v>
      </c>
    </row>
    <row r="51" spans="1:9" x14ac:dyDescent="0.2">
      <c r="A51">
        <v>6752014</v>
      </c>
      <c r="B51" t="str">
        <f>INDEX('Inntektsramme 2016'!$B$3:$B$146,MATCH(A51,'Inntektsramme 2016'!$A$3:$A$146,0))</f>
        <v>Hafslund Nett AS</v>
      </c>
      <c r="C51" s="249">
        <v>0.83748233318328857</v>
      </c>
      <c r="D51" s="117">
        <f>VLOOKUP(A51,IRData!$A$3:$AN$146,22,FALSE)</f>
        <v>2677237.2999999998</v>
      </c>
      <c r="E51" s="118">
        <f>VLOOKUP(A51,IRData!$A$3:$AN$146,39,FALSE)</f>
        <v>693840.3297029105</v>
      </c>
      <c r="F51" s="120">
        <f t="shared" si="4"/>
        <v>581079</v>
      </c>
      <c r="G51" s="120">
        <f t="shared" si="5"/>
        <v>128202.98810594648</v>
      </c>
      <c r="H51" s="120">
        <f t="shared" si="6"/>
        <v>709281.98810594645</v>
      </c>
      <c r="I51" s="116">
        <f t="shared" si="7"/>
        <v>1.0222553485895636</v>
      </c>
    </row>
    <row r="52" spans="1:9" x14ac:dyDescent="0.2">
      <c r="A52">
        <v>6992014</v>
      </c>
      <c r="B52" t="str">
        <f>INDEX('Inntektsramme 2016'!$B$3:$B$146,MATCH(A52,'Inntektsramme 2016'!$A$3:$A$146,0))</f>
        <v>NTE Nett AS</v>
      </c>
      <c r="C52" s="249">
        <v>0.71514922380447388</v>
      </c>
      <c r="D52" s="117">
        <f>VLOOKUP(A52,IRData!$A$3:$AN$146,22,FALSE)</f>
        <v>521657.93</v>
      </c>
      <c r="E52" s="118">
        <f>VLOOKUP(A52,IRData!$A$3:$AN$146,39,FALSE)</f>
        <v>115150.26317563422</v>
      </c>
      <c r="F52" s="120">
        <f t="shared" si="4"/>
        <v>82350</v>
      </c>
      <c r="G52" s="120">
        <f t="shared" si="5"/>
        <v>24980.268052877746</v>
      </c>
      <c r="H52" s="120">
        <f t="shared" si="6"/>
        <v>107330.26805287774</v>
      </c>
      <c r="I52" s="116">
        <f t="shared" si="7"/>
        <v>0.93208877767974407</v>
      </c>
    </row>
    <row r="53" spans="1:9" x14ac:dyDescent="0.2">
      <c r="A53">
        <v>7262014</v>
      </c>
      <c r="B53" t="str">
        <f>INDEX('Inntektsramme 2016'!$B$3:$B$146,MATCH(A53,'Inntektsramme 2016'!$A$3:$A$146,0))</f>
        <v>Nordlandsnett AS</v>
      </c>
      <c r="C53" s="249">
        <v>0.97263103723526001</v>
      </c>
      <c r="D53" s="119">
        <f>VLOOKUP(A53,IRData!$A$3:$AN$146,22,FALSE)</f>
        <v>190935.45</v>
      </c>
      <c r="E53" s="120">
        <f>VLOOKUP(A53,IRData!$A$3:$AN$146,39,FALSE)</f>
        <v>59317.699442153375</v>
      </c>
      <c r="F53" s="120">
        <f t="shared" si="4"/>
        <v>57694</v>
      </c>
      <c r="G53" s="120">
        <f t="shared" si="5"/>
        <v>9143.1922098775267</v>
      </c>
      <c r="H53" s="120">
        <f t="shared" si="6"/>
        <v>66837.192209877525</v>
      </c>
      <c r="I53" s="170">
        <f t="shared" si="7"/>
        <v>1.1267664261837591</v>
      </c>
    </row>
    <row r="54" spans="1:9" x14ac:dyDescent="0.2">
      <c r="A54">
        <v>7532014</v>
      </c>
      <c r="B54" t="str">
        <f>INDEX('Inntektsramme 2016'!$B$3:$B$146,MATCH(A54,'Inntektsramme 2016'!$A$3:$A$146,0))</f>
        <v>Aktieselskabet Saudefaldene</v>
      </c>
      <c r="C54" s="249">
        <v>0.51163887977600098</v>
      </c>
      <c r="D54" s="119">
        <f>VLOOKUP(A54,IRData!$A$3:$AN$146,22,FALSE)</f>
        <v>57001.37</v>
      </c>
      <c r="E54" s="120">
        <f>VLOOKUP(A54,IRData!$A$3:$AN$146,39,FALSE)</f>
        <v>37474.111541450191</v>
      </c>
      <c r="F54" s="120">
        <f t="shared" si="4"/>
        <v>19173</v>
      </c>
      <c r="G54" s="120">
        <f t="shared" si="5"/>
        <v>2729.584695436843</v>
      </c>
      <c r="H54" s="120">
        <f t="shared" si="6"/>
        <v>21902.584695436843</v>
      </c>
      <c r="I54" s="170">
        <f t="shared" si="7"/>
        <v>0.58447242094613372</v>
      </c>
    </row>
    <row r="55" spans="1:9" x14ac:dyDescent="0.2">
      <c r="A55" s="157">
        <v>102014</v>
      </c>
      <c r="B55" t="str">
        <f>INDEX('Inntektsramme 2016'!$B$3:$B$146,MATCH(A55,'Inntektsramme 2016'!$A$3:$A$146,0))</f>
        <v>Arendals Fossekompani ASA</v>
      </c>
      <c r="C55" s="160">
        <f>VLOOKUP(A55,'R-Alt'!$A$2:$L$57,12,FALSE)</f>
        <v>0.53975725173950195</v>
      </c>
      <c r="D55" s="171"/>
      <c r="E55" s="156">
        <f>VLOOKUP(A55,IRData!$A$3:$AN$146,39,FALSE)</f>
        <v>1263.1201957003607</v>
      </c>
      <c r="F55" s="159"/>
      <c r="G55" s="159"/>
      <c r="H55" s="156">
        <f>C55*E55</f>
        <v>681.77828544788861</v>
      </c>
      <c r="I55" s="160" t="s">
        <v>8</v>
      </c>
    </row>
    <row r="56" spans="1:9" x14ac:dyDescent="0.2">
      <c r="A56" s="157">
        <v>182014</v>
      </c>
      <c r="B56" t="str">
        <f>INDEX('Inntektsramme 2016'!$B$3:$B$146,MATCH(A56,'Inntektsramme 2016'!$A$3:$A$146,0))</f>
        <v>Ballangen Energi AS</v>
      </c>
      <c r="C56" s="160">
        <f>VLOOKUP(A56,'R-Alt'!$A$2:$L$57,12,FALSE)</f>
        <v>1.3437038660049438</v>
      </c>
      <c r="D56" s="171"/>
      <c r="E56" s="156">
        <f>VLOOKUP(A56,IRData!$A$3:$AN$146,39,FALSE)</f>
        <v>798.7087112432946</v>
      </c>
      <c r="F56" s="159"/>
      <c r="G56" s="159"/>
      <c r="H56" s="156">
        <f>C56*E56</f>
        <v>1073.2279831094413</v>
      </c>
      <c r="I56" s="160" t="s">
        <v>8</v>
      </c>
    </row>
    <row r="57" spans="1:9" x14ac:dyDescent="0.2">
      <c r="A57" s="157">
        <v>352014</v>
      </c>
      <c r="B57" t="str">
        <f>INDEX('Inntektsramme 2016'!$B$3:$B$146,MATCH(A57,'Inntektsramme 2016'!$A$3:$A$146,0))</f>
        <v>Drangedal Everk KF</v>
      </c>
      <c r="C57" s="160">
        <f>VLOOKUP(A57,'R-Alt'!$A$2:$L$57,12,FALSE)</f>
        <v>1.250883936882019</v>
      </c>
      <c r="D57" s="161"/>
      <c r="E57" s="156">
        <f>VLOOKUP(A57,IRData!$A$3:$AN$146,39,FALSE)</f>
        <v>511.85809600000005</v>
      </c>
      <c r="F57" s="161"/>
      <c r="G57" s="161"/>
      <c r="H57" s="158">
        <f t="shared" ref="H57:H82" si="8">E57*C57</f>
        <v>640.27507024941451</v>
      </c>
      <c r="I57" s="160" t="s">
        <v>8</v>
      </c>
    </row>
    <row r="58" spans="1:9" x14ac:dyDescent="0.2">
      <c r="A58" s="157">
        <v>412014</v>
      </c>
      <c r="B58" t="str">
        <f>INDEX('Inntektsramme 2016'!$B$3:$B$146,MATCH(A58,'Inntektsramme 2016'!$A$3:$A$146,0))</f>
        <v>Etne Elektrisitetslag SA</v>
      </c>
      <c r="C58" s="160">
        <f>VLOOKUP(A58,'R-Alt'!$A$2:$L$57,12,FALSE)</f>
        <v>1.1394039392471313</v>
      </c>
      <c r="D58" s="162"/>
      <c r="E58" s="158">
        <f>VLOOKUP(A58,IRData!$A$3:$AN$146,39,FALSE)</f>
        <v>140.08812650687847</v>
      </c>
      <c r="F58" s="162"/>
      <c r="G58" s="162"/>
      <c r="H58" s="156">
        <f t="shared" si="8"/>
        <v>159.6169631836878</v>
      </c>
      <c r="I58" s="160" t="s">
        <v>8</v>
      </c>
    </row>
    <row r="59" spans="1:9" x14ac:dyDescent="0.2">
      <c r="A59" s="157">
        <v>882014</v>
      </c>
      <c r="B59" t="str">
        <f>INDEX('Inntektsramme 2016'!$B$3:$B$146,MATCH(A59,'Inntektsramme 2016'!$A$3:$A$146,0))</f>
        <v>Jæren Everk Kommunalt foretak i Hå</v>
      </c>
      <c r="C59" s="160">
        <f>VLOOKUP(A59,'R-Alt'!$A$2:$L$57,12,FALSE)</f>
        <v>1.0888912677764893</v>
      </c>
      <c r="D59" s="161"/>
      <c r="E59" s="158">
        <f>VLOOKUP(A59,IRData!$A$3:$AN$146,39,FALSE)</f>
        <v>3614.7579107817046</v>
      </c>
      <c r="F59" s="161"/>
      <c r="G59" s="161"/>
      <c r="H59" s="156">
        <f t="shared" si="8"/>
        <v>3936.0783241761837</v>
      </c>
      <c r="I59" s="160" t="s">
        <v>8</v>
      </c>
    </row>
    <row r="60" spans="1:9" x14ac:dyDescent="0.2">
      <c r="A60" s="157">
        <v>982014</v>
      </c>
      <c r="B60" t="str">
        <f>INDEX('Inntektsramme 2016'!$B$3:$B$146,MATCH(A60,'Inntektsramme 2016'!$A$3:$A$146,0))</f>
        <v>Kvænangen Kraftverk AS</v>
      </c>
      <c r="C60" s="160">
        <f>VLOOKUP(A60,'R-Alt'!$A$2:$L$57,12,FALSE)</f>
        <v>1.0684702396392822</v>
      </c>
      <c r="D60" s="161"/>
      <c r="E60" s="158">
        <f>VLOOKUP(A60,IRData!$A$3:$AN$146,39,FALSE)</f>
        <v>1618.8600150262816</v>
      </c>
      <c r="F60" s="161"/>
      <c r="G60" s="161"/>
      <c r="H60" s="156">
        <f t="shared" si="8"/>
        <v>1729.7037481975831</v>
      </c>
      <c r="I60" s="160" t="s">
        <v>8</v>
      </c>
    </row>
    <row r="61" spans="1:9" x14ac:dyDescent="0.2">
      <c r="A61" s="157">
        <v>1062014</v>
      </c>
      <c r="B61" t="str">
        <f>INDEX('Inntektsramme 2016'!$B$3:$B$146,MATCH(A61,'Inntektsramme 2016'!$A$3:$A$146,0))</f>
        <v>Lærdal Energi AS</v>
      </c>
      <c r="C61" s="160">
        <f>VLOOKUP(A61,'R-Alt'!$A$2:$L$57,12,FALSE)</f>
        <v>1.0750471353530884</v>
      </c>
      <c r="D61" s="161"/>
      <c r="E61" s="158">
        <f>VLOOKUP(A61,IRData!$A$3:$AN$146,39,FALSE)</f>
        <v>2484.4414065469309</v>
      </c>
      <c r="F61" s="161"/>
      <c r="G61" s="161"/>
      <c r="H61" s="156">
        <f t="shared" si="8"/>
        <v>2670.8916170608759</v>
      </c>
      <c r="I61" s="160" t="s">
        <v>8</v>
      </c>
    </row>
    <row r="62" spans="1:9" x14ac:dyDescent="0.2">
      <c r="A62" s="157">
        <v>1352014</v>
      </c>
      <c r="B62" t="str">
        <f>INDEX('Inntektsramme 2016'!$B$3:$B$146,MATCH(A62,'Inntektsramme 2016'!$A$3:$A$146,0))</f>
        <v>Nord-Østerdal Kraftlag SA</v>
      </c>
      <c r="C62" s="160">
        <f>VLOOKUP(A62,'R-Alt'!$A$2:$L$57,12,FALSE)</f>
        <v>1.0335884094238281</v>
      </c>
      <c r="D62" s="171"/>
      <c r="E62" s="158">
        <f>VLOOKUP(A62,IRData!$A$3:$AN$146,39,FALSE)</f>
        <v>109.724504</v>
      </c>
      <c r="F62" s="159"/>
      <c r="G62" s="159"/>
      <c r="H62" s="156">
        <f t="shared" si="8"/>
        <v>113.40997556417847</v>
      </c>
      <c r="I62" s="160" t="s">
        <v>8</v>
      </c>
    </row>
    <row r="63" spans="1:9" x14ac:dyDescent="0.2">
      <c r="A63" s="157">
        <v>1472014</v>
      </c>
      <c r="B63" t="str">
        <f>INDEX('Inntektsramme 2016'!$B$3:$B$146,MATCH(A63,'Inntektsramme 2016'!$A$3:$A$146,0))</f>
        <v>Evenes Kraftforsyning AS</v>
      </c>
      <c r="C63" s="160">
        <f>VLOOKUP(A63,'R-Alt'!$A$2:$L$57,12,FALSE)</f>
        <v>1.1111873388290405</v>
      </c>
      <c r="D63" s="161"/>
      <c r="E63" s="158">
        <f>VLOOKUP(A63,IRData!$A$3:$AN$146,39,FALSE)</f>
        <v>757.16813321467134</v>
      </c>
      <c r="F63" s="161"/>
      <c r="G63" s="161"/>
      <c r="H63" s="156">
        <f t="shared" si="8"/>
        <v>841.35564299296311</v>
      </c>
      <c r="I63" s="160" t="s">
        <v>8</v>
      </c>
    </row>
    <row r="64" spans="1:9" x14ac:dyDescent="0.2">
      <c r="A64" s="157">
        <v>1562014</v>
      </c>
      <c r="B64" t="str">
        <f>INDEX('Inntektsramme 2016'!$B$3:$B$146,MATCH(A64,'Inntektsramme 2016'!$A$3:$A$146,0))</f>
        <v>Porsa Kraftlag AS</v>
      </c>
      <c r="C64" s="160">
        <f>VLOOKUP(A64,'R-Alt'!$A$2:$L$57,12,FALSE)</f>
        <v>0.98224014043807983</v>
      </c>
      <c r="D64" s="161"/>
      <c r="E64" s="158">
        <f>VLOOKUP(A64,IRData!$A$3:$AN$146,39,FALSE)</f>
        <v>581.69468451771775</v>
      </c>
      <c r="F64" s="161"/>
      <c r="G64" s="161"/>
      <c r="H64" s="156">
        <f t="shared" si="8"/>
        <v>571.36386861276765</v>
      </c>
      <c r="I64" s="160" t="s">
        <v>8</v>
      </c>
    </row>
    <row r="65" spans="1:9" x14ac:dyDescent="0.2">
      <c r="A65" s="157">
        <v>1612014</v>
      </c>
      <c r="B65" t="str">
        <f>INDEX('Inntektsramme 2016'!$B$3:$B$146,MATCH(A65,'Inntektsramme 2016'!$A$3:$A$146,0))</f>
        <v>Rauland Kraftforsyningslag SA</v>
      </c>
      <c r="C65" s="160">
        <f>VLOOKUP(A65,'R-Alt'!$A$2:$L$57,12,FALSE)</f>
        <v>0.88114750385284424</v>
      </c>
      <c r="D65" s="161"/>
      <c r="E65" s="158">
        <f>VLOOKUP(A65,IRData!$A$3:$AN$146,39,FALSE)</f>
        <v>2262.9910779280372</v>
      </c>
      <c r="F65" s="161"/>
      <c r="G65" s="161"/>
      <c r="H65" s="156">
        <f t="shared" si="8"/>
        <v>1994.0289395575473</v>
      </c>
      <c r="I65" s="160" t="s">
        <v>8</v>
      </c>
    </row>
    <row r="66" spans="1:9" x14ac:dyDescent="0.2">
      <c r="A66" s="157">
        <v>1622014</v>
      </c>
      <c r="B66" t="str">
        <f>INDEX('Inntektsramme 2016'!$B$3:$B$146,MATCH(A66,'Inntektsramme 2016'!$A$3:$A$146,0))</f>
        <v>Rauma Energi AS</v>
      </c>
      <c r="C66" s="160">
        <f>VLOOKUP(A66,'R-Alt'!$A$2:$L$57,12,FALSE)</f>
        <v>0.78984296321868896</v>
      </c>
      <c r="D66" s="162"/>
      <c r="E66" s="158">
        <f>VLOOKUP(A66,IRData!$A$3:$AN$146,39,FALSE)</f>
        <v>848.96728507243574</v>
      </c>
      <c r="F66" s="161"/>
      <c r="G66" s="161"/>
      <c r="H66" s="156">
        <f t="shared" si="8"/>
        <v>670.55083611733812</v>
      </c>
      <c r="I66" s="160" t="s">
        <v>8</v>
      </c>
    </row>
    <row r="67" spans="1:9" x14ac:dyDescent="0.2">
      <c r="A67" s="157">
        <v>1732014</v>
      </c>
      <c r="B67" t="str">
        <f>INDEX('Inntektsramme 2016'!$B$3:$B$146,MATCH(A67,'Inntektsramme 2016'!$A$3:$A$146,0))</f>
        <v>Røros Elektrisitetsverk AS</v>
      </c>
      <c r="C67" s="160">
        <f>VLOOKUP(A67,'R-Alt'!$A$2:$L$57,12,FALSE)</f>
        <v>0.93680441379547119</v>
      </c>
      <c r="D67" s="161"/>
      <c r="E67" s="158">
        <f>VLOOKUP(A67,IRData!$A$3:$AN$146,39,FALSE)</f>
        <v>1711.1192694718413</v>
      </c>
      <c r="F67" s="162"/>
      <c r="G67" s="162"/>
      <c r="H67" s="156">
        <f t="shared" si="8"/>
        <v>1602.9840841717032</v>
      </c>
      <c r="I67" s="160" t="s">
        <v>8</v>
      </c>
    </row>
    <row r="68" spans="1:9" x14ac:dyDescent="0.2">
      <c r="A68" s="157">
        <v>1842014</v>
      </c>
      <c r="B68" t="str">
        <f>INDEX('Inntektsramme 2016'!$B$3:$B$146,MATCH(A68,'Inntektsramme 2016'!$A$3:$A$146,0))</f>
        <v>Selbu Energiverk AS</v>
      </c>
      <c r="C68" s="160">
        <f>VLOOKUP(A68,'R-Alt'!$A$2:$L$57,12,FALSE)</f>
        <v>0.6469118595123291</v>
      </c>
      <c r="D68" s="161"/>
      <c r="E68" s="158">
        <f>VLOOKUP(A68,IRData!$A$3:$AN$146,39,FALSE)</f>
        <v>3070.8799948753076</v>
      </c>
      <c r="F68" s="161"/>
      <c r="G68" s="161"/>
      <c r="H68" s="156">
        <f t="shared" si="8"/>
        <v>1986.5886878239969</v>
      </c>
      <c r="I68" s="160" t="s">
        <v>8</v>
      </c>
    </row>
    <row r="69" spans="1:9" x14ac:dyDescent="0.2">
      <c r="A69" s="157">
        <v>2042014</v>
      </c>
      <c r="B69" t="str">
        <f>INDEX('Inntektsramme 2016'!$B$3:$B$146,MATCH(A69,'Inntektsramme 2016'!$A$3:$A$146,0))</f>
        <v>Stranda Energi AS</v>
      </c>
      <c r="C69" s="160">
        <f>VLOOKUP(A69,'R-Alt'!$A$2:$L$57,12,FALSE)</f>
        <v>1.0273630619049072</v>
      </c>
      <c r="D69" s="161"/>
      <c r="E69" s="158">
        <f>VLOOKUP(A69,IRData!$A$3:$AN$146,39,FALSE)</f>
        <v>508.72167509307877</v>
      </c>
      <c r="F69" s="161"/>
      <c r="G69" s="161"/>
      <c r="H69" s="156">
        <f t="shared" si="8"/>
        <v>522.64185778101876</v>
      </c>
      <c r="I69" s="160" t="s">
        <v>8</v>
      </c>
    </row>
    <row r="70" spans="1:9" x14ac:dyDescent="0.2">
      <c r="A70" s="157">
        <v>2222014</v>
      </c>
      <c r="B70" t="str">
        <f>INDEX('Inntektsramme 2016'!$B$3:$B$146,MATCH(A70,'Inntektsramme 2016'!$A$3:$A$146,0))</f>
        <v>Tinfos AS</v>
      </c>
      <c r="C70" s="160">
        <f>VLOOKUP(A70,'R-Alt'!$A$2:$L$57,12,FALSE)</f>
        <v>1.0254513025283813</v>
      </c>
      <c r="D70" s="161"/>
      <c r="E70" s="158">
        <f>VLOOKUP(A70,IRData!$A$3:$AN$146,39,FALSE)</f>
        <v>409.83564000000001</v>
      </c>
      <c r="F70" s="161"/>
      <c r="G70" s="161"/>
      <c r="H70" s="156">
        <f t="shared" si="8"/>
        <v>420.26649086055278</v>
      </c>
      <c r="I70" s="160" t="s">
        <v>8</v>
      </c>
    </row>
    <row r="71" spans="1:9" x14ac:dyDescent="0.2">
      <c r="A71" s="157">
        <v>2382014</v>
      </c>
      <c r="B71" t="str">
        <f>INDEX('Inntektsramme 2016'!$B$3:$B$146,MATCH(A71,'Inntektsramme 2016'!$A$3:$A$146,0))</f>
        <v>Hardanger Energi AS</v>
      </c>
      <c r="C71" s="160">
        <f>VLOOKUP(A71,'R-Alt'!$A$2:$L$57,12,FALSE)</f>
        <v>1.7658084630966187</v>
      </c>
      <c r="D71" s="161"/>
      <c r="E71" s="158">
        <f>VLOOKUP(A71,IRData!$A$3:$AN$146,39,FALSE)</f>
        <v>678.31914325565776</v>
      </c>
      <c r="F71" s="161"/>
      <c r="G71" s="161"/>
      <c r="H71" s="156">
        <f t="shared" si="8"/>
        <v>1197.7816838412882</v>
      </c>
      <c r="I71" s="160" t="s">
        <v>8</v>
      </c>
    </row>
    <row r="72" spans="1:9" x14ac:dyDescent="0.2">
      <c r="A72" s="157">
        <v>2742014</v>
      </c>
      <c r="B72" t="str">
        <f>INDEX('Inntektsramme 2016'!$B$3:$B$146,MATCH(A72,'Inntektsramme 2016'!$A$3:$A$146,0))</f>
        <v>Svorka Energi AS</v>
      </c>
      <c r="C72" s="160">
        <f>VLOOKUP(A72,'R-Alt'!$A$2:$L$57,12,FALSE)</f>
        <v>1.2572485208511353</v>
      </c>
      <c r="D72" s="161"/>
      <c r="E72" s="158">
        <f>VLOOKUP(A72,IRData!$A$3:$AN$146,39,FALSE)</f>
        <v>2653.2928519440866</v>
      </c>
      <c r="F72" s="161"/>
      <c r="G72" s="161"/>
      <c r="H72" s="156">
        <f t="shared" si="8"/>
        <v>3335.8485134915932</v>
      </c>
      <c r="I72" s="160" t="s">
        <v>8</v>
      </c>
    </row>
    <row r="73" spans="1:9" x14ac:dyDescent="0.2">
      <c r="A73" s="157">
        <v>2872014</v>
      </c>
      <c r="B73" t="str">
        <f>INDEX('Inntektsramme 2016'!$B$3:$B$146,MATCH(A73,'Inntektsramme 2016'!$A$3:$A$146,0))</f>
        <v>Ustekveikja Kraftverk DA</v>
      </c>
      <c r="C73" s="160">
        <f>VLOOKUP(A73,'R-Alt'!$A$2:$L$57,12,FALSE)</f>
        <v>1.113921046257019</v>
      </c>
      <c r="D73" s="161"/>
      <c r="E73" s="158">
        <f>VLOOKUP(A73,IRData!$A$3:$AN$146,39,FALSE)</f>
        <v>324.21457600000002</v>
      </c>
      <c r="F73" s="159"/>
      <c r="G73" s="159"/>
      <c r="H73" s="158">
        <f t="shared" si="8"/>
        <v>361.14943970969586</v>
      </c>
      <c r="I73" s="160" t="s">
        <v>8</v>
      </c>
    </row>
    <row r="74" spans="1:9" x14ac:dyDescent="0.2">
      <c r="A74" s="157">
        <v>3072014</v>
      </c>
      <c r="B74" t="str">
        <f>INDEX('Inntektsramme 2016'!$B$3:$B$146,MATCH(A74,'Inntektsramme 2016'!$A$3:$A$146,0))</f>
        <v>Vinstra Kraftselskap DA</v>
      </c>
      <c r="C74" s="160">
        <f>VLOOKUP(A74,'R-Alt'!$A$2:$L$57,12,FALSE)</f>
        <v>1.13150954246521</v>
      </c>
      <c r="D74" s="161"/>
      <c r="E74" s="158">
        <f>VLOOKUP(A74,IRData!$A$3:$AN$146,39,FALSE)</f>
        <v>523.85327410023865</v>
      </c>
      <c r="F74" s="161"/>
      <c r="G74" s="161"/>
      <c r="H74" s="156">
        <f t="shared" si="8"/>
        <v>592.74497849606325</v>
      </c>
      <c r="I74" s="160" t="s">
        <v>8</v>
      </c>
    </row>
    <row r="75" spans="1:9" x14ac:dyDescent="0.2">
      <c r="A75" s="157">
        <v>3432014</v>
      </c>
      <c r="B75" t="str">
        <f>INDEX('Inntektsramme 2016'!$B$3:$B$146,MATCH(A75,'Inntektsramme 2016'!$A$3:$A$146,0))</f>
        <v>Hemsedal Energi KF</v>
      </c>
      <c r="C75" s="160">
        <f>VLOOKUP(A75,'R-Alt'!$A$2:$L$57,12,FALSE)</f>
        <v>1.152036190032959</v>
      </c>
      <c r="D75" s="161"/>
      <c r="E75" s="158">
        <f>VLOOKUP(A75,IRData!$A$3:$AN$146,39,FALSE)</f>
        <v>5439.5419063795871</v>
      </c>
      <c r="F75" s="161"/>
      <c r="G75" s="161"/>
      <c r="H75" s="156">
        <f t="shared" si="8"/>
        <v>6266.5491333501577</v>
      </c>
      <c r="I75" s="160" t="s">
        <v>8</v>
      </c>
    </row>
    <row r="76" spans="1:9" x14ac:dyDescent="0.2">
      <c r="A76" s="157">
        <v>3492014</v>
      </c>
      <c r="B76" t="str">
        <f>INDEX('Inntektsramme 2016'!$B$3:$B$146,MATCH(A76,'Inntektsramme 2016'!$A$3:$A$146,0))</f>
        <v>Notodden Energi AS</v>
      </c>
      <c r="C76" s="160">
        <f>VLOOKUP(A76,'R-Alt'!$A$2:$L$57,12,FALSE)</f>
        <v>1.1608924865722656</v>
      </c>
      <c r="D76" s="161"/>
      <c r="E76" s="158">
        <f>VLOOKUP(A76,IRData!$A$3:$AN$146,39,FALSE)</f>
        <v>1098.7128936226532</v>
      </c>
      <c r="F76" s="161"/>
      <c r="G76" s="161"/>
      <c r="H76" s="156">
        <f t="shared" si="8"/>
        <v>1275.4875431066109</v>
      </c>
      <c r="I76" s="160" t="s">
        <v>8</v>
      </c>
    </row>
    <row r="77" spans="1:9" x14ac:dyDescent="0.2">
      <c r="A77" s="157">
        <v>4472014</v>
      </c>
      <c r="B77" t="str">
        <f>INDEX('Inntektsramme 2016'!$B$3:$B$146,MATCH(A77,'Inntektsramme 2016'!$A$3:$A$146,0))</f>
        <v>E-CO Energi AS</v>
      </c>
      <c r="C77" s="160">
        <f>VLOOKUP(A77,'R-Alt'!$A$2:$L$57,12,FALSE)</f>
        <v>0.94219398498535156</v>
      </c>
      <c r="D77" s="161"/>
      <c r="E77" s="158">
        <f>VLOOKUP(A77,IRData!$A$3:$AN$146,39,FALSE)</f>
        <v>5539.8145074083532</v>
      </c>
      <c r="F77" s="161"/>
      <c r="G77" s="161"/>
      <c r="H77" s="156">
        <f t="shared" si="8"/>
        <v>5219.5799068147389</v>
      </c>
      <c r="I77" s="160" t="s">
        <v>8</v>
      </c>
    </row>
    <row r="78" spans="1:9" x14ac:dyDescent="0.2">
      <c r="A78" s="157">
        <v>4842014</v>
      </c>
      <c r="B78" t="str">
        <f>INDEX('Inntektsramme 2016'!$B$3:$B$146,MATCH(A78,'Inntektsramme 2016'!$A$3:$A$146,0))</f>
        <v>TrønderEnergi Kraft AS</v>
      </c>
      <c r="C78" s="160">
        <f>VLOOKUP(A78,'R-Alt'!$A$2:$L$57,12,FALSE)</f>
        <v>1.3661336898803711</v>
      </c>
      <c r="D78" s="161"/>
      <c r="E78" s="158">
        <f>VLOOKUP(A78,IRData!$A$3:$AN$146,39,FALSE)</f>
        <v>7408.9755897128398</v>
      </c>
      <c r="F78" s="161"/>
      <c r="G78" s="161"/>
      <c r="H78" s="156">
        <f t="shared" si="8"/>
        <v>10121.651160608</v>
      </c>
      <c r="I78" s="160" t="s">
        <v>8</v>
      </c>
    </row>
    <row r="79" spans="1:9" x14ac:dyDescent="0.2">
      <c r="A79" s="157">
        <v>5122014</v>
      </c>
      <c r="B79" t="str">
        <f>INDEX('Inntektsramme 2016'!$B$3:$B$146,MATCH(A79,'Inntektsramme 2016'!$A$3:$A$146,0))</f>
        <v>Lyse Produksjon AS</v>
      </c>
      <c r="C79" s="160">
        <f>VLOOKUP(A79,'R-Alt'!$A$2:$L$57,12,FALSE)</f>
        <v>1.0733569860458374</v>
      </c>
      <c r="D79" s="161"/>
      <c r="E79" s="158">
        <f>VLOOKUP(A79,IRData!$A$3:$AN$146,39,FALSE)</f>
        <v>1612.7661451264917</v>
      </c>
      <c r="F79" s="161"/>
      <c r="G79" s="161"/>
      <c r="H79" s="156">
        <f t="shared" si="8"/>
        <v>1731.0738087297348</v>
      </c>
      <c r="I79" s="160" t="s">
        <v>8</v>
      </c>
    </row>
    <row r="80" spans="1:9" x14ac:dyDescent="0.2">
      <c r="A80" s="157">
        <v>6592014</v>
      </c>
      <c r="B80" t="str">
        <f>INDEX('Inntektsramme 2016'!$B$3:$B$146,MATCH(A80,'Inntektsramme 2016'!$A$3:$A$146,0))</f>
        <v>Midt-Telemark Energi AS</v>
      </c>
      <c r="C80" s="160">
        <f>VLOOKUP(A80,'R-Alt'!$A$2:$L$57,12,FALSE)</f>
        <v>1.0475002527236938</v>
      </c>
      <c r="D80" s="171"/>
      <c r="E80" s="158">
        <f>VLOOKUP(A80,IRData!$A$3:$AN$146,39,FALSE)</f>
        <v>2691.8631920935886</v>
      </c>
      <c r="F80" s="159"/>
      <c r="G80" s="159"/>
      <c r="H80" s="156">
        <f t="shared" si="8"/>
        <v>2819.7273740156434</v>
      </c>
      <c r="I80" s="160" t="s">
        <v>8</v>
      </c>
    </row>
    <row r="81" spans="1:9" x14ac:dyDescent="0.2">
      <c r="A81" s="157">
        <v>6862014</v>
      </c>
      <c r="B81" t="str">
        <f>INDEX('Inntektsramme 2016'!$B$3:$B$146,MATCH(A81,'Inntektsramme 2016'!$A$3:$A$146,0))</f>
        <v>Yara Norge AS</v>
      </c>
      <c r="C81" s="160">
        <f>VLOOKUP(A81,'R-Alt'!$A$2:$L$57,12,FALSE)</f>
        <v>0.37955030798912048</v>
      </c>
      <c r="D81" s="161"/>
      <c r="E81" s="158">
        <f>VLOOKUP(A81,IRData!$A$3:$AN$146,39,FALSE)</f>
        <v>2762.5249225393795</v>
      </c>
      <c r="F81" s="161"/>
      <c r="G81" s="161"/>
      <c r="H81" s="156">
        <f t="shared" si="8"/>
        <v>1048.5171851774428</v>
      </c>
      <c r="I81" s="160" t="s">
        <v>8</v>
      </c>
    </row>
    <row r="82" spans="1:9" x14ac:dyDescent="0.2">
      <c r="A82" s="157">
        <v>7432014</v>
      </c>
      <c r="B82" t="str">
        <f>INDEX('Inntektsramme 2016'!$B$3:$B$146,MATCH(A82,'Inntektsramme 2016'!$A$3:$A$146,0))</f>
        <v>Mo Industripark AS</v>
      </c>
      <c r="C82" s="160">
        <f>VLOOKUP(A82,'R-Alt'!$A$2:$L$57,12,FALSE)</f>
        <v>0.68730700016021729</v>
      </c>
      <c r="D82" s="161"/>
      <c r="E82" s="158">
        <f>VLOOKUP(A82,IRData!$A$3:$AN$146,39,FALSE)</f>
        <v>14671.427218331768</v>
      </c>
      <c r="F82" s="162"/>
      <c r="G82" s="162"/>
      <c r="H82" s="156">
        <f t="shared" si="8"/>
        <v>10083.774629500569</v>
      </c>
      <c r="I82" s="160" t="s">
        <v>8</v>
      </c>
    </row>
    <row r="83" spans="1:9" x14ac:dyDescent="0.2">
      <c r="A83" s="163">
        <v>1162014</v>
      </c>
      <c r="B83" t="str">
        <f>INDEX('Inntektsramme 2016'!$B$3:$B$146,MATCH(A83,'Inntektsramme 2016'!$A$3:$A$146,0))</f>
        <v>Meløy Energi AS</v>
      </c>
      <c r="C83" s="168"/>
      <c r="D83" s="168"/>
      <c r="E83" s="165">
        <f>VLOOKUP(A83,IRData!$A$3:$AN$146,39,FALSE)</f>
        <v>233.81048000000001</v>
      </c>
      <c r="F83" s="168"/>
      <c r="G83" s="168"/>
      <c r="H83" s="166">
        <f>E83</f>
        <v>233.81048000000001</v>
      </c>
      <c r="I83" s="167" t="s">
        <v>9</v>
      </c>
    </row>
    <row r="84" spans="1:9" x14ac:dyDescent="0.2">
      <c r="A84" s="163">
        <v>5422014</v>
      </c>
      <c r="B84" t="str">
        <f>INDEX('Inntektsramme 2016'!$B$3:$B$146,MATCH(A84,'Inntektsramme 2016'!$A$3:$A$146,0))</f>
        <v>VOKKS Nett AS</v>
      </c>
      <c r="C84" s="168"/>
      <c r="D84" s="168"/>
      <c r="E84" s="165">
        <f>VLOOKUP(A84,IRData!$A$3:$AN$146,39,FALSE)</f>
        <v>535.01978615350765</v>
      </c>
      <c r="F84" s="164"/>
      <c r="G84" s="164"/>
      <c r="H84" s="166">
        <f t="shared" ref="H84:H86" si="9">E84</f>
        <v>535.01978615350765</v>
      </c>
      <c r="I84" s="167" t="s">
        <v>9</v>
      </c>
    </row>
    <row r="85" spans="1:9" x14ac:dyDescent="0.2">
      <c r="A85" s="163">
        <v>6852014</v>
      </c>
      <c r="B85" t="str">
        <f>INDEX('Inntektsramme 2016'!$B$3:$B$146,MATCH(A85,'Inntektsramme 2016'!$A$3:$A$146,0))</f>
        <v>Statkraft Energi AS</v>
      </c>
      <c r="C85" s="168"/>
      <c r="D85" s="168"/>
      <c r="E85" s="165">
        <f>VLOOKUP(A85,IRData!$A$3:$AN$146,39,FALSE)</f>
        <v>638.5993344916468</v>
      </c>
      <c r="F85" s="169"/>
      <c r="G85" s="169"/>
      <c r="H85" s="166">
        <f t="shared" si="9"/>
        <v>638.5993344916468</v>
      </c>
      <c r="I85" s="167" t="s">
        <v>9</v>
      </c>
    </row>
    <row r="86" spans="1:9" x14ac:dyDescent="0.2">
      <c r="A86" s="163">
        <v>8522014</v>
      </c>
      <c r="B86" t="str">
        <f>INDEX('Inntektsramme 2016'!$B$3:$B$146,MATCH(A86,'Inntektsramme 2016'!$A$3:$A$146,0))</f>
        <v>Herøya Nett AS</v>
      </c>
      <c r="C86" s="168"/>
      <c r="D86" s="168"/>
      <c r="E86" s="165">
        <f>VLOOKUP(A86,IRData!$A$3:$AN$146,39,FALSE)</f>
        <v>14924.163137597068</v>
      </c>
      <c r="F86" s="169"/>
      <c r="G86" s="169"/>
      <c r="H86" s="166">
        <f t="shared" si="9"/>
        <v>14924.163137597068</v>
      </c>
      <c r="I86" s="167" t="s">
        <v>9</v>
      </c>
    </row>
    <row r="88" spans="1:9" x14ac:dyDescent="0.2">
      <c r="A88"/>
      <c r="B88"/>
    </row>
    <row r="89" spans="1:9" x14ac:dyDescent="0.2">
      <c r="A89"/>
      <c r="B89"/>
    </row>
    <row r="90" spans="1:9" x14ac:dyDescent="0.2">
      <c r="A90"/>
      <c r="B90"/>
    </row>
    <row r="91" spans="1:9" x14ac:dyDescent="0.2">
      <c r="A91"/>
      <c r="B91"/>
    </row>
  </sheetData>
  <autoFilter ref="A3:I86"/>
  <mergeCells count="1">
    <mergeCell ref="A1:H1"/>
  </mergeCells>
  <phoneticPr fontId="0" type="noConversion"/>
  <pageMargins left="0.78740157499999996" right="0.78740157499999996" top="0.984251969" bottom="0.984251969" header="0.5" footer="0.5"/>
  <pageSetup paperSize="9" orientation="portrait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N1" sqref="N1:N1048576"/>
    </sheetView>
  </sheetViews>
  <sheetFormatPr baseColWidth="10" defaultColWidth="10.85546875" defaultRowHeight="12.75" x14ac:dyDescent="0.2"/>
  <cols>
    <col min="1" max="1" width="8" style="105" bestFit="1" customWidth="1"/>
    <col min="2" max="2" width="4.7109375" style="105" bestFit="1" customWidth="1"/>
    <col min="3" max="3" width="5.85546875" style="105" bestFit="1" customWidth="1"/>
    <col min="4" max="4" width="27.7109375" style="105" bestFit="1" customWidth="1"/>
    <col min="5" max="10" width="13" style="105" customWidth="1"/>
    <col min="11" max="11" width="13" style="110" customWidth="1"/>
    <col min="12" max="16384" width="10.85546875" style="105"/>
  </cols>
  <sheetData>
    <row r="1" spans="1:12" s="106" customFormat="1" x14ac:dyDescent="0.2">
      <c r="A1" t="s">
        <v>312</v>
      </c>
      <c r="B1" t="s">
        <v>313</v>
      </c>
      <c r="C1" t="s">
        <v>314</v>
      </c>
      <c r="D1" t="s">
        <v>315</v>
      </c>
      <c r="E1" t="s">
        <v>316</v>
      </c>
      <c r="F1" t="s">
        <v>317</v>
      </c>
      <c r="G1" t="s">
        <v>318</v>
      </c>
      <c r="H1" t="s">
        <v>319</v>
      </c>
      <c r="I1" t="s">
        <v>320</v>
      </c>
      <c r="J1" t="s">
        <v>321</v>
      </c>
      <c r="K1" t="s">
        <v>322</v>
      </c>
      <c r="L1" t="s">
        <v>323</v>
      </c>
    </row>
    <row r="2" spans="1:12" s="106" customFormat="1" x14ac:dyDescent="0.2">
      <c r="A2">
        <v>102013</v>
      </c>
      <c r="B2">
        <v>10</v>
      </c>
      <c r="C2" t="s">
        <v>324</v>
      </c>
      <c r="D2" t="s">
        <v>325</v>
      </c>
      <c r="E2">
        <v>1</v>
      </c>
      <c r="F2" s="107">
        <v>475.83987488299567</v>
      </c>
      <c r="G2" s="107">
        <v>544</v>
      </c>
      <c r="H2" s="107">
        <v>294</v>
      </c>
      <c r="I2" s="107">
        <v>294</v>
      </c>
      <c r="J2" s="249"/>
      <c r="K2" s="249">
        <v>0.54044115543365479</v>
      </c>
      <c r="L2" s="249"/>
    </row>
    <row r="3" spans="1:12" x14ac:dyDescent="0.2">
      <c r="A3">
        <v>102014</v>
      </c>
      <c r="B3">
        <v>10</v>
      </c>
      <c r="C3" t="s">
        <v>326</v>
      </c>
      <c r="D3" t="s">
        <v>325</v>
      </c>
      <c r="E3">
        <v>1</v>
      </c>
      <c r="F3" s="107">
        <v>266.32307535510256</v>
      </c>
      <c r="G3" s="107">
        <v>266</v>
      </c>
      <c r="H3" s="107">
        <v>294</v>
      </c>
      <c r="I3" s="107"/>
      <c r="J3" s="249">
        <v>1.1039223670959473</v>
      </c>
      <c r="K3" s="249"/>
      <c r="L3" s="249">
        <v>2.0426318645477295</v>
      </c>
    </row>
    <row r="4" spans="1:12" x14ac:dyDescent="0.2">
      <c r="A4">
        <v>1082013</v>
      </c>
      <c r="B4">
        <v>108</v>
      </c>
      <c r="C4" t="s">
        <v>324</v>
      </c>
      <c r="D4" t="s">
        <v>327</v>
      </c>
      <c r="E4">
        <v>1</v>
      </c>
      <c r="F4" s="107">
        <v>3384.3904593652346</v>
      </c>
      <c r="G4" s="107">
        <v>4035</v>
      </c>
      <c r="H4" s="107">
        <v>10920</v>
      </c>
      <c r="I4" s="107">
        <v>10824</v>
      </c>
      <c r="J4" s="249"/>
      <c r="K4" s="249">
        <v>2.6825277805328369</v>
      </c>
      <c r="L4" s="249"/>
    </row>
    <row r="5" spans="1:12" x14ac:dyDescent="0.2">
      <c r="A5">
        <v>1082014</v>
      </c>
      <c r="B5">
        <v>108</v>
      </c>
      <c r="C5" t="s">
        <v>326</v>
      </c>
      <c r="D5" t="s">
        <v>327</v>
      </c>
      <c r="E5">
        <v>1</v>
      </c>
      <c r="F5" s="107">
        <v>4431.3136590166014</v>
      </c>
      <c r="G5" s="107">
        <v>4431</v>
      </c>
      <c r="H5" s="107">
        <v>10992</v>
      </c>
      <c r="I5" s="107"/>
      <c r="J5" s="249">
        <v>2.4805285930633545</v>
      </c>
      <c r="K5" s="249"/>
      <c r="L5" s="249">
        <v>0.92469817399978638</v>
      </c>
    </row>
    <row r="6" spans="1:12" x14ac:dyDescent="0.2">
      <c r="A6">
        <v>1212013</v>
      </c>
      <c r="B6">
        <v>121</v>
      </c>
      <c r="C6" t="s">
        <v>324</v>
      </c>
      <c r="D6" t="s">
        <v>328</v>
      </c>
      <c r="E6">
        <v>1</v>
      </c>
      <c r="F6" s="107">
        <v>3483.2483306884769</v>
      </c>
      <c r="G6" s="107">
        <v>3311</v>
      </c>
      <c r="H6" s="107">
        <v>23253</v>
      </c>
      <c r="I6" s="107">
        <v>23181</v>
      </c>
      <c r="J6" s="249"/>
      <c r="K6" s="249">
        <v>7.0012083053588867</v>
      </c>
      <c r="L6" s="249"/>
    </row>
    <row r="7" spans="1:12" x14ac:dyDescent="0.2">
      <c r="A7">
        <v>1212014</v>
      </c>
      <c r="B7">
        <v>121</v>
      </c>
      <c r="C7" t="s">
        <v>326</v>
      </c>
      <c r="D7" t="s">
        <v>328</v>
      </c>
      <c r="E7">
        <v>1</v>
      </c>
      <c r="F7" s="107">
        <v>3303.4090659267576</v>
      </c>
      <c r="G7" s="107">
        <v>3303</v>
      </c>
      <c r="H7" s="107">
        <v>23277</v>
      </c>
      <c r="I7" s="107"/>
      <c r="J7" s="249">
        <v>7.0463571548461914</v>
      </c>
      <c r="K7" s="249"/>
      <c r="L7" s="249">
        <v>1.0064487457275391</v>
      </c>
    </row>
    <row r="8" spans="1:12" x14ac:dyDescent="0.2">
      <c r="A8">
        <v>1672013</v>
      </c>
      <c r="B8">
        <v>167</v>
      </c>
      <c r="C8" t="s">
        <v>324</v>
      </c>
      <c r="D8" t="s">
        <v>329</v>
      </c>
      <c r="E8">
        <v>1</v>
      </c>
      <c r="F8" s="107">
        <v>1350.67669</v>
      </c>
      <c r="G8" s="107">
        <v>1004</v>
      </c>
      <c r="H8" s="107">
        <v>6285</v>
      </c>
      <c r="I8" s="107">
        <v>6297</v>
      </c>
      <c r="J8" s="249"/>
      <c r="K8" s="249">
        <v>6.2719125747680664</v>
      </c>
      <c r="L8" s="249"/>
    </row>
    <row r="9" spans="1:12" x14ac:dyDescent="0.2">
      <c r="A9">
        <v>1672014</v>
      </c>
      <c r="B9">
        <v>167</v>
      </c>
      <c r="C9" t="s">
        <v>326</v>
      </c>
      <c r="D9" t="s">
        <v>329</v>
      </c>
      <c r="E9">
        <v>1</v>
      </c>
      <c r="F9" s="107">
        <v>1505.5709549999999</v>
      </c>
      <c r="G9" s="107">
        <v>1506</v>
      </c>
      <c r="H9" s="107">
        <v>6285</v>
      </c>
      <c r="I9" s="107"/>
      <c r="J9" s="249">
        <v>4.1744961738586426</v>
      </c>
      <c r="K9" s="249"/>
      <c r="L9" s="249">
        <v>0.66558581590652466</v>
      </c>
    </row>
    <row r="10" spans="1:12" x14ac:dyDescent="0.2">
      <c r="A10">
        <v>2222013</v>
      </c>
      <c r="B10">
        <v>222</v>
      </c>
      <c r="C10" t="s">
        <v>324</v>
      </c>
      <c r="D10" t="s">
        <v>330</v>
      </c>
      <c r="E10">
        <v>1</v>
      </c>
      <c r="F10" s="107">
        <v>919.36992099999998</v>
      </c>
      <c r="G10" s="107">
        <v>969</v>
      </c>
      <c r="H10" s="107">
        <v>5835</v>
      </c>
      <c r="I10" s="107">
        <v>5799</v>
      </c>
      <c r="J10" s="249"/>
      <c r="K10" s="249">
        <v>5.9845199584960937</v>
      </c>
      <c r="L10" s="249"/>
    </row>
    <row r="11" spans="1:12" x14ac:dyDescent="0.2">
      <c r="A11">
        <v>2222014</v>
      </c>
      <c r="B11">
        <v>222</v>
      </c>
      <c r="C11" t="s">
        <v>326</v>
      </c>
      <c r="D11" t="s">
        <v>330</v>
      </c>
      <c r="E11">
        <v>1</v>
      </c>
      <c r="F11" s="107">
        <v>882.24398199999996</v>
      </c>
      <c r="G11" s="107">
        <v>882</v>
      </c>
      <c r="H11" s="107">
        <v>5703</v>
      </c>
      <c r="I11" s="107"/>
      <c r="J11" s="249">
        <v>6.464198112487793</v>
      </c>
      <c r="K11" s="249"/>
      <c r="L11" s="249">
        <v>1.0801531076431274</v>
      </c>
    </row>
    <row r="12" spans="1:12" x14ac:dyDescent="0.2">
      <c r="A12">
        <v>5122013</v>
      </c>
      <c r="B12">
        <v>512</v>
      </c>
      <c r="C12" t="s">
        <v>324</v>
      </c>
      <c r="D12" t="s">
        <v>331</v>
      </c>
      <c r="E12">
        <v>1</v>
      </c>
      <c r="F12" s="107">
        <v>1527.9709460000001</v>
      </c>
      <c r="G12" s="107">
        <v>1857</v>
      </c>
      <c r="H12" s="107">
        <v>41217</v>
      </c>
      <c r="I12" s="107">
        <v>41181</v>
      </c>
      <c r="J12" s="249"/>
      <c r="K12" s="249">
        <v>22.176090240478516</v>
      </c>
      <c r="L12" s="249"/>
    </row>
    <row r="13" spans="1:12" x14ac:dyDescent="0.2">
      <c r="A13">
        <v>5122014</v>
      </c>
      <c r="B13">
        <v>512</v>
      </c>
      <c r="C13" t="s">
        <v>326</v>
      </c>
      <c r="D13" t="s">
        <v>331</v>
      </c>
      <c r="E13">
        <v>1</v>
      </c>
      <c r="F13" s="107">
        <v>1453.6430570000002</v>
      </c>
      <c r="G13" s="107">
        <v>1454</v>
      </c>
      <c r="H13" s="107">
        <v>41397</v>
      </c>
      <c r="I13" s="107"/>
      <c r="J13" s="249">
        <v>28.478105545043945</v>
      </c>
      <c r="K13" s="249"/>
      <c r="L13" s="249">
        <v>1.2841806411743164</v>
      </c>
    </row>
    <row r="14" spans="1:12" x14ac:dyDescent="0.2">
      <c r="A14">
        <v>6862013</v>
      </c>
      <c r="B14">
        <v>686</v>
      </c>
      <c r="C14" t="s">
        <v>324</v>
      </c>
      <c r="D14" t="s">
        <v>332</v>
      </c>
      <c r="E14">
        <v>1</v>
      </c>
      <c r="F14" s="107">
        <v>13266.523064820312</v>
      </c>
      <c r="G14" s="107">
        <v>14632</v>
      </c>
      <c r="H14" s="107">
        <v>26323</v>
      </c>
      <c r="I14" s="107">
        <v>26347</v>
      </c>
      <c r="J14" s="249"/>
      <c r="K14" s="249">
        <v>1.8006423711776733</v>
      </c>
      <c r="L14" s="249"/>
    </row>
    <row r="15" spans="1:12" x14ac:dyDescent="0.2">
      <c r="A15">
        <v>6862014</v>
      </c>
      <c r="B15">
        <v>686</v>
      </c>
      <c r="C15" t="s">
        <v>326</v>
      </c>
      <c r="D15" t="s">
        <v>332</v>
      </c>
      <c r="E15">
        <v>1</v>
      </c>
      <c r="F15" s="107">
        <v>15094.292376984375</v>
      </c>
      <c r="G15" s="107">
        <v>15094</v>
      </c>
      <c r="H15" s="107">
        <v>26335</v>
      </c>
      <c r="I15" s="107"/>
      <c r="J15" s="249">
        <v>1.744699239730835</v>
      </c>
      <c r="K15" s="249"/>
      <c r="L15" s="249">
        <v>0.96893155574798584</v>
      </c>
    </row>
    <row r="16" spans="1:12" x14ac:dyDescent="0.2">
      <c r="A16">
        <v>7432013</v>
      </c>
      <c r="B16">
        <v>743</v>
      </c>
      <c r="C16" t="s">
        <v>324</v>
      </c>
      <c r="D16" t="s">
        <v>333</v>
      </c>
      <c r="E16">
        <v>1</v>
      </c>
      <c r="F16" s="107">
        <v>20749.574601607423</v>
      </c>
      <c r="G16" s="107">
        <v>19543</v>
      </c>
      <c r="H16" s="107">
        <v>23213</v>
      </c>
      <c r="I16" s="107">
        <v>23644</v>
      </c>
      <c r="J16" s="249"/>
      <c r="K16" s="249">
        <v>1.2098449468612671</v>
      </c>
      <c r="L16" s="249"/>
    </row>
    <row r="17" spans="1:12" x14ac:dyDescent="0.2">
      <c r="A17">
        <v>7432014</v>
      </c>
      <c r="B17">
        <v>743</v>
      </c>
      <c r="C17" t="s">
        <v>326</v>
      </c>
      <c r="D17" t="s">
        <v>333</v>
      </c>
      <c r="E17">
        <v>1</v>
      </c>
      <c r="F17" s="107">
        <v>17145.867860326172</v>
      </c>
      <c r="G17" s="107">
        <v>17146</v>
      </c>
      <c r="H17" s="107">
        <v>24889</v>
      </c>
      <c r="I17" s="107"/>
      <c r="J17" s="249">
        <v>1.4516034126281738</v>
      </c>
      <c r="K17" s="249"/>
      <c r="L17" s="249">
        <v>1.1998260021209717</v>
      </c>
    </row>
    <row r="18" spans="1:12" x14ac:dyDescent="0.2">
      <c r="A18" s="1"/>
      <c r="B18" s="1"/>
      <c r="C18" s="1"/>
      <c r="D18" s="1"/>
      <c r="E18" s="138"/>
      <c r="F18" s="138"/>
      <c r="G18" s="138"/>
      <c r="H18" s="138"/>
      <c r="I18" s="138"/>
      <c r="J18" s="138"/>
      <c r="K18" s="139"/>
    </row>
    <row r="19" spans="1:12" x14ac:dyDescent="0.2">
      <c r="A19" s="1"/>
      <c r="B19" s="1"/>
      <c r="C19" s="1"/>
      <c r="D19" s="1"/>
      <c r="E19" s="138"/>
      <c r="F19" s="138"/>
      <c r="G19" s="138"/>
      <c r="H19" s="138"/>
      <c r="I19" s="138"/>
      <c r="J19" s="138"/>
      <c r="K19" s="139"/>
    </row>
    <row r="22" spans="1:12" s="106" customFormat="1" x14ac:dyDescent="0.2">
      <c r="A22"/>
      <c r="B22"/>
      <c r="C22"/>
      <c r="D22"/>
      <c r="E22"/>
      <c r="F22"/>
      <c r="G22"/>
      <c r="H22"/>
      <c r="I22"/>
      <c r="J22"/>
      <c r="K22"/>
    </row>
    <row r="23" spans="1:12" x14ac:dyDescent="0.2">
      <c r="A23"/>
      <c r="B23"/>
      <c r="C23"/>
      <c r="D23"/>
      <c r="E23"/>
      <c r="F23"/>
      <c r="G23"/>
      <c r="H23"/>
      <c r="I23"/>
      <c r="J23"/>
      <c r="K23"/>
    </row>
    <row r="24" spans="1:12" x14ac:dyDescent="0.2">
      <c r="A24"/>
      <c r="B24"/>
      <c r="C24"/>
      <c r="D24"/>
      <c r="E24"/>
      <c r="F24"/>
      <c r="G24"/>
      <c r="H24"/>
      <c r="I24"/>
      <c r="J24"/>
      <c r="K24"/>
    </row>
    <row r="25" spans="1:12" x14ac:dyDescent="0.2">
      <c r="A25"/>
      <c r="B25"/>
      <c r="C25"/>
      <c r="D25"/>
      <c r="E25"/>
      <c r="F25"/>
      <c r="G25"/>
      <c r="H25"/>
      <c r="I25"/>
      <c r="J25"/>
      <c r="K25"/>
    </row>
    <row r="26" spans="1:12" x14ac:dyDescent="0.2">
      <c r="A26"/>
      <c r="B26"/>
      <c r="C26"/>
      <c r="D26"/>
      <c r="E26"/>
      <c r="F26"/>
      <c r="G26"/>
      <c r="H26"/>
      <c r="I26"/>
      <c r="J26"/>
      <c r="K26"/>
    </row>
    <row r="27" spans="1:12" x14ac:dyDescent="0.2">
      <c r="A27"/>
      <c r="B27"/>
      <c r="C27"/>
      <c r="D27"/>
      <c r="E27"/>
      <c r="F27"/>
      <c r="G27"/>
      <c r="H27"/>
      <c r="I27"/>
      <c r="J27"/>
      <c r="K27"/>
    </row>
    <row r="28" spans="1:12" x14ac:dyDescent="0.2">
      <c r="A28"/>
      <c r="B28"/>
      <c r="C28"/>
      <c r="D28"/>
      <c r="E28"/>
      <c r="F28"/>
      <c r="G28"/>
      <c r="H28"/>
      <c r="I28"/>
      <c r="J28"/>
      <c r="K28"/>
    </row>
    <row r="29" spans="1:12" x14ac:dyDescent="0.2">
      <c r="A29"/>
      <c r="B29"/>
      <c r="C29"/>
      <c r="D29"/>
      <c r="E29"/>
      <c r="F29"/>
      <c r="G29"/>
      <c r="H29"/>
      <c r="I29"/>
      <c r="J29"/>
      <c r="K29"/>
    </row>
    <row r="30" spans="1:12" x14ac:dyDescent="0.2">
      <c r="A30"/>
      <c r="B30"/>
      <c r="C30"/>
      <c r="D30"/>
      <c r="E30"/>
      <c r="F30"/>
      <c r="G30"/>
      <c r="H30"/>
      <c r="I30"/>
      <c r="J30"/>
      <c r="K30"/>
    </row>
    <row r="31" spans="1:12" x14ac:dyDescent="0.2">
      <c r="A31"/>
      <c r="B31"/>
      <c r="C31"/>
      <c r="D31"/>
      <c r="E31"/>
      <c r="F31"/>
      <c r="G31"/>
      <c r="H31"/>
      <c r="I31"/>
      <c r="J31"/>
      <c r="K31"/>
    </row>
    <row r="32" spans="1:12" x14ac:dyDescent="0.2">
      <c r="A32"/>
      <c r="B32"/>
      <c r="C32"/>
      <c r="D32"/>
      <c r="E32"/>
      <c r="F32"/>
      <c r="G32"/>
      <c r="H32"/>
      <c r="I32"/>
      <c r="J32"/>
      <c r="K32"/>
    </row>
    <row r="33" spans="1:12" x14ac:dyDescent="0.2">
      <c r="A33"/>
      <c r="B33"/>
      <c r="C33"/>
      <c r="D33"/>
      <c r="E33"/>
      <c r="F33"/>
      <c r="G33"/>
      <c r="H33"/>
      <c r="I33"/>
      <c r="J33"/>
      <c r="K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 s="109"/>
    </row>
  </sheetData>
  <phoneticPr fontId="15" type="noConversion"/>
  <pageMargins left="0.7" right="0.7" top="0.78740157499999996" bottom="0.78740157499999996" header="0.3" footer="0.3"/>
  <pageSetup paperSize="9" orientation="portrait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M1" sqref="M1:M1048576"/>
    </sheetView>
  </sheetViews>
  <sheetFormatPr baseColWidth="10" defaultColWidth="9.140625" defaultRowHeight="12.75" x14ac:dyDescent="0.2"/>
  <cols>
    <col min="1" max="1" width="8" style="1" bestFit="1" customWidth="1"/>
    <col min="2" max="2" width="4.7109375" style="1" bestFit="1" customWidth="1"/>
    <col min="3" max="3" width="5.85546875" style="1" bestFit="1" customWidth="1"/>
    <col min="4" max="4" width="31.85546875" style="1" bestFit="1" customWidth="1"/>
    <col min="5" max="6" width="12.42578125" style="138" customWidth="1"/>
    <col min="7" max="10" width="12.42578125" style="1" customWidth="1"/>
    <col min="11" max="11" width="12.42578125" style="143" customWidth="1"/>
    <col min="12" max="12" width="21.7109375" style="141" customWidth="1"/>
    <col min="13" max="16384" width="9.140625" style="1"/>
  </cols>
  <sheetData>
    <row r="1" spans="1:12" s="8" customFormat="1" ht="113.25" customHeight="1" x14ac:dyDescent="0.2">
      <c r="A1" s="7" t="s">
        <v>312</v>
      </c>
      <c r="B1" s="7" t="s">
        <v>313</v>
      </c>
      <c r="C1" s="7" t="s">
        <v>314</v>
      </c>
      <c r="D1" s="7" t="s">
        <v>315</v>
      </c>
      <c r="E1" s="7" t="s">
        <v>334</v>
      </c>
      <c r="F1" s="7" t="s">
        <v>335</v>
      </c>
      <c r="G1" s="7" t="s">
        <v>336</v>
      </c>
      <c r="H1" s="7" t="s">
        <v>337</v>
      </c>
      <c r="I1" s="7" t="s">
        <v>338</v>
      </c>
      <c r="J1" s="7" t="s">
        <v>339</v>
      </c>
      <c r="K1" s="7" t="s">
        <v>340</v>
      </c>
      <c r="L1" s="7" t="s">
        <v>341</v>
      </c>
    </row>
    <row r="2" spans="1:12" x14ac:dyDescent="0.2">
      <c r="A2">
        <v>102013</v>
      </c>
      <c r="B2">
        <v>10</v>
      </c>
      <c r="C2" t="s">
        <v>324</v>
      </c>
      <c r="D2" t="s">
        <v>325</v>
      </c>
      <c r="E2" s="107">
        <v>1</v>
      </c>
      <c r="F2" s="107">
        <v>1966.7647435856934</v>
      </c>
      <c r="G2" s="107">
        <v>1872</v>
      </c>
      <c r="H2" s="107">
        <v>1583.6300048828125</v>
      </c>
      <c r="I2" s="107">
        <v>4380</v>
      </c>
      <c r="J2" s="249"/>
      <c r="K2" s="249">
        <v>2.3397436141967773</v>
      </c>
      <c r="L2"/>
    </row>
    <row r="3" spans="1:12" x14ac:dyDescent="0.2">
      <c r="A3">
        <v>102014</v>
      </c>
      <c r="B3">
        <v>10</v>
      </c>
      <c r="C3" t="s">
        <v>326</v>
      </c>
      <c r="D3" t="s">
        <v>325</v>
      </c>
      <c r="E3" s="107">
        <v>1</v>
      </c>
      <c r="F3" s="107">
        <v>1253.9694465336916</v>
      </c>
      <c r="G3" s="107">
        <v>1254</v>
      </c>
      <c r="H3" s="107">
        <v>1583.6300048828125</v>
      </c>
      <c r="I3" s="107">
        <v>1584</v>
      </c>
      <c r="J3" s="249">
        <v>1.2628935575485229</v>
      </c>
      <c r="K3" s="249"/>
      <c r="L3" s="249">
        <v>0.53975725173950195</v>
      </c>
    </row>
    <row r="4" spans="1:12" x14ac:dyDescent="0.2">
      <c r="A4">
        <v>182013</v>
      </c>
      <c r="B4">
        <v>18</v>
      </c>
      <c r="C4" t="s">
        <v>324</v>
      </c>
      <c r="D4" t="s">
        <v>342</v>
      </c>
      <c r="E4" s="107">
        <v>1</v>
      </c>
      <c r="F4" s="107">
        <v>816.7960394338379</v>
      </c>
      <c r="G4" s="107">
        <v>1037</v>
      </c>
      <c r="H4" s="107">
        <v>1898.27001953125</v>
      </c>
      <c r="I4" s="107">
        <v>1899</v>
      </c>
      <c r="J4" s="249"/>
      <c r="K4" s="249">
        <v>1.8312439918518066</v>
      </c>
      <c r="L4" s="249"/>
    </row>
    <row r="5" spans="1:12" x14ac:dyDescent="0.2">
      <c r="A5">
        <v>182014</v>
      </c>
      <c r="B5">
        <v>18</v>
      </c>
      <c r="C5" t="s">
        <v>326</v>
      </c>
      <c r="D5" t="s">
        <v>342</v>
      </c>
      <c r="E5" s="107">
        <v>1</v>
      </c>
      <c r="F5" s="107">
        <v>771.45069119360346</v>
      </c>
      <c r="G5" s="107">
        <v>771</v>
      </c>
      <c r="H5" s="107">
        <v>1898.27001953125</v>
      </c>
      <c r="I5" s="107">
        <v>1899</v>
      </c>
      <c r="J5" s="249">
        <v>2.4606497287750244</v>
      </c>
      <c r="K5" s="249"/>
      <c r="L5" s="249">
        <v>1.3437038660049438</v>
      </c>
    </row>
    <row r="6" spans="1:12" x14ac:dyDescent="0.2">
      <c r="A6">
        <v>352013</v>
      </c>
      <c r="B6">
        <v>35</v>
      </c>
      <c r="C6" t="s">
        <v>324</v>
      </c>
      <c r="D6" t="s">
        <v>343</v>
      </c>
      <c r="E6" s="107">
        <v>1</v>
      </c>
      <c r="F6" s="107">
        <v>666.52856300000008</v>
      </c>
      <c r="G6" s="107">
        <v>651.91876220703125</v>
      </c>
      <c r="H6" s="107">
        <v>1543.3699951171875</v>
      </c>
      <c r="I6" s="107">
        <v>1543.3699951171875</v>
      </c>
      <c r="J6" s="249"/>
      <c r="K6" s="249">
        <v>2.367426872253418</v>
      </c>
      <c r="L6" s="249"/>
    </row>
    <row r="7" spans="1:12" x14ac:dyDescent="0.2">
      <c r="A7">
        <v>352014</v>
      </c>
      <c r="B7">
        <v>35</v>
      </c>
      <c r="C7" t="s">
        <v>326</v>
      </c>
      <c r="D7" t="s">
        <v>343</v>
      </c>
      <c r="E7" s="107">
        <v>1</v>
      </c>
      <c r="F7" s="107">
        <v>521.16645800000003</v>
      </c>
      <c r="G7" s="107">
        <v>521</v>
      </c>
      <c r="H7" s="107">
        <v>1543.3699951171875</v>
      </c>
      <c r="I7" s="107">
        <v>1543</v>
      </c>
      <c r="J7" s="249">
        <v>2.9613761901855469</v>
      </c>
      <c r="K7" s="249"/>
      <c r="L7" s="249">
        <v>1.250883936882019</v>
      </c>
    </row>
    <row r="8" spans="1:12" x14ac:dyDescent="0.2">
      <c r="A8">
        <v>412013</v>
      </c>
      <c r="B8">
        <v>41</v>
      </c>
      <c r="C8" t="s">
        <v>324</v>
      </c>
      <c r="D8" t="s">
        <v>344</v>
      </c>
      <c r="E8" s="107">
        <v>1</v>
      </c>
      <c r="F8" s="107">
        <v>138.92858502636719</v>
      </c>
      <c r="G8" s="107">
        <v>154</v>
      </c>
      <c r="H8" s="107">
        <v>488.29998779296875</v>
      </c>
      <c r="I8" s="107">
        <v>488</v>
      </c>
      <c r="J8" s="249"/>
      <c r="K8" s="249">
        <v>3.1688311100006104</v>
      </c>
      <c r="L8" s="249"/>
    </row>
    <row r="9" spans="1:12" x14ac:dyDescent="0.2">
      <c r="A9">
        <v>412014</v>
      </c>
      <c r="B9">
        <v>41</v>
      </c>
      <c r="C9" t="s">
        <v>326</v>
      </c>
      <c r="D9" t="s">
        <v>344</v>
      </c>
      <c r="E9" s="107">
        <v>1</v>
      </c>
      <c r="F9" s="107">
        <v>135.24148107073975</v>
      </c>
      <c r="G9" s="107">
        <v>135</v>
      </c>
      <c r="H9" s="107">
        <v>488.29998779296875</v>
      </c>
      <c r="I9" s="107">
        <v>488</v>
      </c>
      <c r="J9" s="249">
        <v>3.6105785369873047</v>
      </c>
      <c r="K9" s="249"/>
      <c r="L9" s="249">
        <v>1.1394039392471313</v>
      </c>
    </row>
    <row r="10" spans="1:12" x14ac:dyDescent="0.2">
      <c r="A10">
        <v>882013</v>
      </c>
      <c r="B10">
        <v>88</v>
      </c>
      <c r="C10" t="s">
        <v>324</v>
      </c>
      <c r="D10" t="s">
        <v>345</v>
      </c>
      <c r="E10" s="107">
        <v>1</v>
      </c>
      <c r="F10" s="107">
        <v>3992.2943390578616</v>
      </c>
      <c r="G10" s="107">
        <v>4150</v>
      </c>
      <c r="H10" s="107">
        <v>3134.360107421875</v>
      </c>
      <c r="I10" s="107">
        <v>3134</v>
      </c>
      <c r="J10" s="249"/>
      <c r="K10" s="249">
        <v>0.7551807165145874</v>
      </c>
      <c r="L10" s="249"/>
    </row>
    <row r="11" spans="1:12" x14ac:dyDescent="0.2">
      <c r="A11">
        <v>882014</v>
      </c>
      <c r="B11">
        <v>88</v>
      </c>
      <c r="C11" t="s">
        <v>326</v>
      </c>
      <c r="D11" t="s">
        <v>345</v>
      </c>
      <c r="E11" s="107">
        <v>1</v>
      </c>
      <c r="F11" s="107">
        <v>3811.6541857639163</v>
      </c>
      <c r="G11" s="107">
        <v>3812</v>
      </c>
      <c r="H11" s="107">
        <v>3134.360107421875</v>
      </c>
      <c r="I11" s="107">
        <v>3134</v>
      </c>
      <c r="J11" s="249">
        <v>0.82230967283248901</v>
      </c>
      <c r="K11" s="249"/>
      <c r="L11" s="249">
        <v>1.0888912677764893</v>
      </c>
    </row>
    <row r="12" spans="1:12" x14ac:dyDescent="0.2">
      <c r="A12">
        <v>982013</v>
      </c>
      <c r="B12">
        <v>98</v>
      </c>
      <c r="C12" t="s">
        <v>324</v>
      </c>
      <c r="D12" t="s">
        <v>346</v>
      </c>
      <c r="E12" s="107">
        <v>1</v>
      </c>
      <c r="F12" s="107">
        <v>1714.5876121831514</v>
      </c>
      <c r="G12" s="107">
        <v>1759</v>
      </c>
      <c r="H12" s="107">
        <v>94.010002136230469</v>
      </c>
      <c r="I12" s="107">
        <v>94</v>
      </c>
      <c r="J12" s="249"/>
      <c r="K12" s="249">
        <v>5.343945324420929E-2</v>
      </c>
      <c r="L12" s="249"/>
    </row>
    <row r="13" spans="1:12" x14ac:dyDescent="0.2">
      <c r="A13">
        <v>982014</v>
      </c>
      <c r="B13">
        <v>98</v>
      </c>
      <c r="C13" t="s">
        <v>326</v>
      </c>
      <c r="D13" t="s">
        <v>346</v>
      </c>
      <c r="E13" s="107">
        <v>1</v>
      </c>
      <c r="F13" s="107">
        <v>1646.4541115390473</v>
      </c>
      <c r="G13" s="107">
        <v>1646</v>
      </c>
      <c r="H13" s="107">
        <v>94.010002136230469</v>
      </c>
      <c r="I13" s="107">
        <v>94</v>
      </c>
      <c r="J13" s="249">
        <v>5.7098463177680969E-2</v>
      </c>
      <c r="K13" s="249"/>
      <c r="L13" s="249">
        <v>1.0684702396392822</v>
      </c>
    </row>
    <row r="14" spans="1:12" x14ac:dyDescent="0.2">
      <c r="A14">
        <v>1062013</v>
      </c>
      <c r="B14">
        <v>106</v>
      </c>
      <c r="C14" t="s">
        <v>324</v>
      </c>
      <c r="D14" t="s">
        <v>347</v>
      </c>
      <c r="E14" s="107">
        <v>1</v>
      </c>
      <c r="F14" s="107">
        <v>3165.9749725703123</v>
      </c>
      <c r="G14" s="107">
        <v>2952</v>
      </c>
      <c r="H14" s="107">
        <v>5046.22021484375</v>
      </c>
      <c r="I14" s="107">
        <v>4915</v>
      </c>
      <c r="J14" s="249"/>
      <c r="K14" s="249">
        <v>1.6649729013442993</v>
      </c>
      <c r="L14" s="249"/>
    </row>
    <row r="15" spans="1:12" x14ac:dyDescent="0.2">
      <c r="A15">
        <v>1062014</v>
      </c>
      <c r="B15">
        <v>106</v>
      </c>
      <c r="C15" t="s">
        <v>326</v>
      </c>
      <c r="D15" t="s">
        <v>347</v>
      </c>
      <c r="E15" s="107">
        <v>1</v>
      </c>
      <c r="F15" s="107">
        <v>2819.236475716797</v>
      </c>
      <c r="G15" s="107">
        <v>2819</v>
      </c>
      <c r="H15" s="107">
        <v>5046.22021484375</v>
      </c>
      <c r="I15" s="107">
        <v>5046</v>
      </c>
      <c r="J15" s="249">
        <v>1.7899243831634521</v>
      </c>
      <c r="K15" s="249"/>
      <c r="L15" s="249">
        <v>1.0750471353530884</v>
      </c>
    </row>
    <row r="16" spans="1:12" x14ac:dyDescent="0.2">
      <c r="A16">
        <v>1352013</v>
      </c>
      <c r="B16">
        <v>135</v>
      </c>
      <c r="C16" t="s">
        <v>324</v>
      </c>
      <c r="D16" t="s">
        <v>348</v>
      </c>
      <c r="E16" s="107">
        <v>1</v>
      </c>
      <c r="F16" s="107">
        <v>108.84782700000001</v>
      </c>
      <c r="G16" s="107">
        <v>115</v>
      </c>
      <c r="H16" s="107">
        <v>551.59002685546875</v>
      </c>
      <c r="I16" s="107">
        <v>552</v>
      </c>
      <c r="J16" s="249"/>
      <c r="K16" s="249">
        <v>4.8000001907348633</v>
      </c>
      <c r="L16" s="249"/>
    </row>
    <row r="17" spans="1:13" x14ac:dyDescent="0.2">
      <c r="A17">
        <v>1352014</v>
      </c>
      <c r="B17">
        <v>135</v>
      </c>
      <c r="C17" t="s">
        <v>326</v>
      </c>
      <c r="D17" t="s">
        <v>348</v>
      </c>
      <c r="E17" s="107">
        <v>1</v>
      </c>
      <c r="F17" s="107">
        <v>111.180217</v>
      </c>
      <c r="G17" s="107">
        <v>111</v>
      </c>
      <c r="H17" s="107">
        <v>551.59002685546875</v>
      </c>
      <c r="I17" s="107">
        <v>552</v>
      </c>
      <c r="J17" s="249">
        <v>4.9612245559692383</v>
      </c>
      <c r="K17" s="249"/>
      <c r="L17" s="249">
        <v>1.0335884094238281</v>
      </c>
    </row>
    <row r="18" spans="1:13" x14ac:dyDescent="0.2">
      <c r="A18">
        <v>1472013</v>
      </c>
      <c r="B18">
        <v>147</v>
      </c>
      <c r="C18" t="s">
        <v>324</v>
      </c>
      <c r="D18" t="s">
        <v>349</v>
      </c>
      <c r="E18" s="107">
        <v>1</v>
      </c>
      <c r="F18" s="107">
        <v>786.35002548437501</v>
      </c>
      <c r="G18" s="107">
        <v>816</v>
      </c>
      <c r="H18" s="107">
        <v>963.46002197265625</v>
      </c>
      <c r="I18" s="107">
        <v>964</v>
      </c>
      <c r="J18" s="249"/>
      <c r="K18" s="249">
        <v>1.1813725233078003</v>
      </c>
      <c r="L18" s="249"/>
    </row>
    <row r="19" spans="1:13" x14ac:dyDescent="0.2">
      <c r="A19">
        <v>1472014</v>
      </c>
      <c r="B19">
        <v>147</v>
      </c>
      <c r="C19" t="s">
        <v>326</v>
      </c>
      <c r="D19" t="s">
        <v>349</v>
      </c>
      <c r="E19" s="107">
        <v>1</v>
      </c>
      <c r="F19" s="107">
        <v>733.93832642138671</v>
      </c>
      <c r="G19" s="107">
        <v>734</v>
      </c>
      <c r="H19" s="107">
        <v>963.46002197265625</v>
      </c>
      <c r="I19" s="107">
        <v>964</v>
      </c>
      <c r="J19" s="249">
        <v>1.3127261400222778</v>
      </c>
      <c r="K19" s="249"/>
      <c r="L19" s="249">
        <v>1.1111873388290405</v>
      </c>
      <c r="M19" s="251"/>
    </row>
    <row r="20" spans="1:13" x14ac:dyDescent="0.2">
      <c r="A20">
        <v>1562013</v>
      </c>
      <c r="B20">
        <v>156</v>
      </c>
      <c r="C20" t="s">
        <v>324</v>
      </c>
      <c r="D20" t="s">
        <v>350</v>
      </c>
      <c r="E20" s="107">
        <v>1</v>
      </c>
      <c r="F20" s="107">
        <v>570.9821283035584</v>
      </c>
      <c r="G20" s="107">
        <v>565</v>
      </c>
      <c r="H20" s="107">
        <v>998.1400146484375</v>
      </c>
      <c r="I20" s="107">
        <v>998</v>
      </c>
      <c r="J20" s="249"/>
      <c r="K20" s="249">
        <v>1.7663717269897461</v>
      </c>
      <c r="L20" s="249"/>
      <c r="M20" s="251"/>
    </row>
    <row r="21" spans="1:13" x14ac:dyDescent="0.2">
      <c r="A21">
        <v>1562014</v>
      </c>
      <c r="B21">
        <v>156</v>
      </c>
      <c r="C21" t="s">
        <v>326</v>
      </c>
      <c r="D21" t="s">
        <v>350</v>
      </c>
      <c r="E21" s="107">
        <v>1</v>
      </c>
      <c r="F21" s="107">
        <v>575.29644546670534</v>
      </c>
      <c r="G21" s="107">
        <v>575</v>
      </c>
      <c r="H21" s="107">
        <v>998.1400146484375</v>
      </c>
      <c r="I21" s="107">
        <v>998</v>
      </c>
      <c r="J21" s="249">
        <v>1.7350012063980103</v>
      </c>
      <c r="K21" s="249"/>
      <c r="L21" s="249">
        <v>0.98224014043807983</v>
      </c>
      <c r="M21" s="251"/>
    </row>
    <row r="22" spans="1:13" x14ac:dyDescent="0.2">
      <c r="A22">
        <v>1612013</v>
      </c>
      <c r="B22">
        <v>161</v>
      </c>
      <c r="C22" t="s">
        <v>324</v>
      </c>
      <c r="D22" t="s">
        <v>351</v>
      </c>
      <c r="E22" s="107">
        <v>1</v>
      </c>
      <c r="F22" s="107">
        <v>2371.5199256313481</v>
      </c>
      <c r="G22" s="107">
        <v>2000</v>
      </c>
      <c r="H22" s="107">
        <v>3660.330078125</v>
      </c>
      <c r="I22" s="107">
        <v>3529</v>
      </c>
      <c r="J22" s="249"/>
      <c r="K22" s="249">
        <v>1.7645000219345093</v>
      </c>
      <c r="L22" s="249"/>
      <c r="M22" s="251"/>
    </row>
    <row r="23" spans="1:13" x14ac:dyDescent="0.2">
      <c r="A23">
        <v>1612014</v>
      </c>
      <c r="B23">
        <v>161</v>
      </c>
      <c r="C23" t="s">
        <v>326</v>
      </c>
      <c r="D23" t="s">
        <v>351</v>
      </c>
      <c r="E23" s="107">
        <v>1</v>
      </c>
      <c r="F23" s="107">
        <v>2354.2358804951173</v>
      </c>
      <c r="G23" s="107">
        <v>2354</v>
      </c>
      <c r="H23" s="107">
        <v>3660.330078125</v>
      </c>
      <c r="I23" s="107">
        <v>3661</v>
      </c>
      <c r="J23" s="249">
        <v>1.5547847747802734</v>
      </c>
      <c r="K23" s="249"/>
      <c r="L23" s="249">
        <v>0.88114750385284424</v>
      </c>
      <c r="M23" s="251"/>
    </row>
    <row r="24" spans="1:13" x14ac:dyDescent="0.2">
      <c r="A24">
        <v>1622013</v>
      </c>
      <c r="B24">
        <v>162</v>
      </c>
      <c r="C24" t="s">
        <v>324</v>
      </c>
      <c r="D24" t="s">
        <v>352</v>
      </c>
      <c r="E24" s="107">
        <v>1</v>
      </c>
      <c r="F24" s="107">
        <v>1676.8670249918671</v>
      </c>
      <c r="G24" s="107">
        <v>1449.8314208984375</v>
      </c>
      <c r="H24" s="107">
        <v>1166.9300537109375</v>
      </c>
      <c r="I24" s="107">
        <v>1166.9300537109375</v>
      </c>
      <c r="J24" s="249"/>
      <c r="K24" s="249">
        <v>0.80487293004989624</v>
      </c>
      <c r="L24" s="249"/>
      <c r="M24" s="251"/>
    </row>
    <row r="25" spans="1:13" x14ac:dyDescent="0.2">
      <c r="A25">
        <v>1622014</v>
      </c>
      <c r="B25">
        <v>162</v>
      </c>
      <c r="C25" t="s">
        <v>326</v>
      </c>
      <c r="D25" t="s">
        <v>352</v>
      </c>
      <c r="E25" s="107">
        <v>1</v>
      </c>
      <c r="F25" s="107">
        <v>1835.5945173605958</v>
      </c>
      <c r="G25" s="107">
        <v>1836</v>
      </c>
      <c r="H25" s="107">
        <v>1166.9300537109375</v>
      </c>
      <c r="I25" s="107">
        <v>1167</v>
      </c>
      <c r="J25" s="249">
        <v>0.63572323322296143</v>
      </c>
      <c r="K25" s="249"/>
      <c r="L25" s="249">
        <v>0.78984296321868896</v>
      </c>
      <c r="M25" s="251"/>
    </row>
    <row r="26" spans="1:13" x14ac:dyDescent="0.2">
      <c r="A26">
        <v>1732013</v>
      </c>
      <c r="B26">
        <v>173</v>
      </c>
      <c r="C26" t="s">
        <v>324</v>
      </c>
      <c r="D26" t="s">
        <v>353</v>
      </c>
      <c r="E26" s="107">
        <v>1</v>
      </c>
      <c r="F26" s="107">
        <v>1722.0534045966797</v>
      </c>
      <c r="G26" s="107">
        <v>1551.86962890625</v>
      </c>
      <c r="H26" s="107">
        <v>7344.10009765625</v>
      </c>
      <c r="I26" s="107">
        <v>7344.10009765625</v>
      </c>
      <c r="J26" s="249"/>
      <c r="K26" s="249">
        <v>4.7324209213256836</v>
      </c>
      <c r="L26" s="249"/>
      <c r="M26" s="251"/>
    </row>
    <row r="27" spans="1:13" x14ac:dyDescent="0.2">
      <c r="A27">
        <v>1732014</v>
      </c>
      <c r="B27">
        <v>173</v>
      </c>
      <c r="C27" t="s">
        <v>326</v>
      </c>
      <c r="D27" t="s">
        <v>353</v>
      </c>
      <c r="E27" s="107">
        <v>1</v>
      </c>
      <c r="F27" s="107">
        <v>1656.5566825427245</v>
      </c>
      <c r="G27" s="107">
        <v>1657</v>
      </c>
      <c r="H27" s="107">
        <v>7344.10009765625</v>
      </c>
      <c r="I27" s="107">
        <v>7344</v>
      </c>
      <c r="J27" s="249">
        <v>4.4333529472351074</v>
      </c>
      <c r="K27" s="249"/>
      <c r="L27" s="249">
        <v>0.93680441379547119</v>
      </c>
      <c r="M27" s="251"/>
    </row>
    <row r="28" spans="1:13" x14ac:dyDescent="0.2">
      <c r="A28">
        <v>1842013</v>
      </c>
      <c r="B28">
        <v>184</v>
      </c>
      <c r="C28" t="s">
        <v>324</v>
      </c>
      <c r="D28" t="s">
        <v>354</v>
      </c>
      <c r="E28" s="107">
        <v>1</v>
      </c>
      <c r="F28" s="107">
        <v>2480.1271581273804</v>
      </c>
      <c r="G28" s="107">
        <v>2283</v>
      </c>
      <c r="H28" s="107">
        <v>3805.68994140625</v>
      </c>
      <c r="I28" s="107">
        <v>3237</v>
      </c>
      <c r="J28" s="249"/>
      <c r="K28" s="249">
        <v>1.4178712368011475</v>
      </c>
      <c r="L28" s="249"/>
      <c r="M28" s="251"/>
    </row>
    <row r="29" spans="1:13" x14ac:dyDescent="0.2">
      <c r="A29">
        <v>1842014</v>
      </c>
      <c r="B29">
        <v>184</v>
      </c>
      <c r="C29" t="s">
        <v>326</v>
      </c>
      <c r="D29" t="s">
        <v>354</v>
      </c>
      <c r="E29" s="107">
        <v>1</v>
      </c>
      <c r="F29" s="107">
        <v>4149.0768203587031</v>
      </c>
      <c r="G29" s="107">
        <v>4149</v>
      </c>
      <c r="H29" s="107">
        <v>3805.68994140625</v>
      </c>
      <c r="I29" s="107">
        <v>3805</v>
      </c>
      <c r="J29" s="249">
        <v>0.91723775863647461</v>
      </c>
      <c r="K29" s="249"/>
      <c r="L29" s="249">
        <v>0.6469118595123291</v>
      </c>
      <c r="M29" s="251"/>
    </row>
    <row r="30" spans="1:13" x14ac:dyDescent="0.2">
      <c r="A30">
        <v>2042013</v>
      </c>
      <c r="B30">
        <v>204</v>
      </c>
      <c r="C30" t="s">
        <v>324</v>
      </c>
      <c r="D30" t="s">
        <v>355</v>
      </c>
      <c r="E30" s="107">
        <v>1</v>
      </c>
      <c r="F30" s="107">
        <v>447.81194000000005</v>
      </c>
      <c r="G30" s="107">
        <v>513</v>
      </c>
      <c r="H30" s="107">
        <v>197.41999816894531</v>
      </c>
      <c r="I30" s="107">
        <v>197</v>
      </c>
      <c r="J30" s="249"/>
      <c r="K30" s="249">
        <v>0.38401558995246887</v>
      </c>
      <c r="L30" s="249"/>
      <c r="M30" s="251"/>
    </row>
    <row r="31" spans="1:13" x14ac:dyDescent="0.2">
      <c r="A31">
        <v>2042014</v>
      </c>
      <c r="B31">
        <v>204</v>
      </c>
      <c r="C31" t="s">
        <v>326</v>
      </c>
      <c r="D31" t="s">
        <v>355</v>
      </c>
      <c r="E31" s="107">
        <v>1</v>
      </c>
      <c r="F31" s="107">
        <v>500.40121299999998</v>
      </c>
      <c r="G31" s="107">
        <v>500</v>
      </c>
      <c r="H31" s="107">
        <v>197.41999816894531</v>
      </c>
      <c r="I31" s="107">
        <v>197</v>
      </c>
      <c r="J31" s="249">
        <v>0.39452341198921204</v>
      </c>
      <c r="K31" s="249"/>
      <c r="L31" s="249">
        <v>1.0273630619049072</v>
      </c>
      <c r="M31" s="251"/>
    </row>
    <row r="32" spans="1:13" x14ac:dyDescent="0.2">
      <c r="A32">
        <v>2222013</v>
      </c>
      <c r="B32">
        <v>222</v>
      </c>
      <c r="C32" t="s">
        <v>324</v>
      </c>
      <c r="D32" t="s">
        <v>330</v>
      </c>
      <c r="E32" s="107">
        <v>1</v>
      </c>
      <c r="F32" s="107">
        <v>432.67224600000003</v>
      </c>
      <c r="G32" s="107">
        <v>449</v>
      </c>
      <c r="H32" s="107">
        <v>1495.4000244140625</v>
      </c>
      <c r="I32" s="107">
        <v>1568</v>
      </c>
      <c r="J32" s="249"/>
      <c r="K32" s="249">
        <v>3.4922049045562744</v>
      </c>
      <c r="L32" s="249"/>
      <c r="M32" s="251"/>
    </row>
    <row r="33" spans="1:13" x14ac:dyDescent="0.2">
      <c r="A33">
        <v>2222014</v>
      </c>
      <c r="B33">
        <v>222</v>
      </c>
      <c r="C33" t="s">
        <v>326</v>
      </c>
      <c r="D33" t="s">
        <v>330</v>
      </c>
      <c r="E33" s="107">
        <v>1</v>
      </c>
      <c r="F33" s="107">
        <v>417.58284500000002</v>
      </c>
      <c r="G33" s="107">
        <v>418</v>
      </c>
      <c r="H33" s="107">
        <v>1495.4000244140625</v>
      </c>
      <c r="I33" s="107">
        <v>1495</v>
      </c>
      <c r="J33" s="249">
        <v>3.5810859203338623</v>
      </c>
      <c r="K33" s="249"/>
      <c r="L33" s="249">
        <v>1.0254513025283813</v>
      </c>
      <c r="M33" s="251"/>
    </row>
    <row r="34" spans="1:13" x14ac:dyDescent="0.2">
      <c r="A34">
        <v>2382013</v>
      </c>
      <c r="B34">
        <v>238</v>
      </c>
      <c r="C34" t="s">
        <v>324</v>
      </c>
      <c r="D34" t="s">
        <v>356</v>
      </c>
      <c r="E34" s="107">
        <v>1</v>
      </c>
      <c r="F34" s="107">
        <v>1155.2519928387451</v>
      </c>
      <c r="G34" s="107">
        <v>1217</v>
      </c>
      <c r="H34" s="107">
        <v>4933.27001953125</v>
      </c>
      <c r="I34" s="107">
        <v>4940</v>
      </c>
      <c r="J34" s="249"/>
      <c r="K34" s="249">
        <v>4.0591616630554199</v>
      </c>
      <c r="L34" s="249"/>
      <c r="M34" s="251"/>
    </row>
    <row r="35" spans="1:13" x14ac:dyDescent="0.2">
      <c r="A35">
        <v>2382014</v>
      </c>
      <c r="B35">
        <v>238</v>
      </c>
      <c r="C35" t="s">
        <v>326</v>
      </c>
      <c r="D35" t="s">
        <v>356</v>
      </c>
      <c r="E35" s="107">
        <v>1</v>
      </c>
      <c r="F35" s="107">
        <v>688.26382548303218</v>
      </c>
      <c r="G35" s="107">
        <v>688</v>
      </c>
      <c r="H35" s="107">
        <v>4933.27001953125</v>
      </c>
      <c r="I35" s="107">
        <v>4933</v>
      </c>
      <c r="J35" s="249">
        <v>7.1677021980285645</v>
      </c>
      <c r="K35" s="249"/>
      <c r="L35" s="249">
        <v>1.7658084630966187</v>
      </c>
      <c r="M35" s="251"/>
    </row>
    <row r="36" spans="1:13" x14ac:dyDescent="0.2">
      <c r="A36">
        <v>2742013</v>
      </c>
      <c r="B36">
        <v>274</v>
      </c>
      <c r="C36" t="s">
        <v>324</v>
      </c>
      <c r="D36" t="s">
        <v>357</v>
      </c>
      <c r="E36" s="107">
        <v>1</v>
      </c>
      <c r="F36" s="107">
        <v>2949.1134802343749</v>
      </c>
      <c r="G36" s="107">
        <v>3382</v>
      </c>
      <c r="H36" s="107">
        <v>2429.860107421875</v>
      </c>
      <c r="I36" s="107">
        <v>2468</v>
      </c>
      <c r="J36" s="249"/>
      <c r="K36" s="249">
        <v>0.72974568605422974</v>
      </c>
      <c r="L36" s="249"/>
      <c r="M36" s="251"/>
    </row>
    <row r="37" spans="1:13" x14ac:dyDescent="0.2">
      <c r="A37">
        <v>2742014</v>
      </c>
      <c r="B37">
        <v>274</v>
      </c>
      <c r="C37" t="s">
        <v>326</v>
      </c>
      <c r="D37" t="s">
        <v>357</v>
      </c>
      <c r="E37" s="107">
        <v>1</v>
      </c>
      <c r="F37" s="107">
        <v>2648.4305946401369</v>
      </c>
      <c r="G37" s="107">
        <v>2648</v>
      </c>
      <c r="H37" s="107">
        <v>2429.860107421875</v>
      </c>
      <c r="I37" s="107">
        <v>2430</v>
      </c>
      <c r="J37" s="249">
        <v>0.91747170686721802</v>
      </c>
      <c r="K37" s="249"/>
      <c r="L37" s="249">
        <v>1.2572485208511353</v>
      </c>
      <c r="M37" s="251"/>
    </row>
    <row r="38" spans="1:13" x14ac:dyDescent="0.2">
      <c r="A38">
        <v>2872013</v>
      </c>
      <c r="B38">
        <v>287</v>
      </c>
      <c r="C38" t="s">
        <v>324</v>
      </c>
      <c r="D38" t="s">
        <v>358</v>
      </c>
      <c r="E38" s="107">
        <v>1</v>
      </c>
      <c r="F38" s="107">
        <v>345.76949000000002</v>
      </c>
      <c r="G38" s="107">
        <v>364</v>
      </c>
      <c r="H38" s="107">
        <v>540.72998046875</v>
      </c>
      <c r="I38" s="107">
        <v>541</v>
      </c>
      <c r="J38" s="249"/>
      <c r="K38" s="249">
        <v>1.4862637519836426</v>
      </c>
      <c r="L38" s="249"/>
      <c r="M38" s="251"/>
    </row>
    <row r="39" spans="1:13" x14ac:dyDescent="0.2">
      <c r="A39">
        <v>2872014</v>
      </c>
      <c r="B39">
        <v>287</v>
      </c>
      <c r="C39" t="s">
        <v>326</v>
      </c>
      <c r="D39" t="s">
        <v>358</v>
      </c>
      <c r="E39" s="107">
        <v>1</v>
      </c>
      <c r="F39" s="107">
        <v>326.61049800000001</v>
      </c>
      <c r="G39" s="107">
        <v>327</v>
      </c>
      <c r="H39" s="107">
        <v>540.72998046875</v>
      </c>
      <c r="I39" s="107">
        <v>541</v>
      </c>
      <c r="J39" s="249">
        <v>1.6555805206298828</v>
      </c>
      <c r="K39" s="249"/>
      <c r="L39" s="249">
        <v>1.113921046257019</v>
      </c>
      <c r="M39" s="251"/>
    </row>
    <row r="40" spans="1:13" x14ac:dyDescent="0.2">
      <c r="A40">
        <v>3072013</v>
      </c>
      <c r="B40">
        <v>307</v>
      </c>
      <c r="C40" t="s">
        <v>324</v>
      </c>
      <c r="D40" t="s">
        <v>359</v>
      </c>
      <c r="E40" s="107">
        <v>1</v>
      </c>
      <c r="F40" s="107">
        <v>694.77090499999997</v>
      </c>
      <c r="G40" s="107">
        <v>575</v>
      </c>
      <c r="H40" s="107">
        <v>253.83000183105469</v>
      </c>
      <c r="I40" s="107">
        <v>254</v>
      </c>
      <c r="J40" s="249"/>
      <c r="K40" s="249">
        <v>0.44173914194107056</v>
      </c>
      <c r="L40" s="249"/>
      <c r="M40" s="251"/>
    </row>
    <row r="41" spans="1:13" x14ac:dyDescent="0.2">
      <c r="A41">
        <v>3072014</v>
      </c>
      <c r="B41">
        <v>307</v>
      </c>
      <c r="C41" t="s">
        <v>326</v>
      </c>
      <c r="D41" t="s">
        <v>359</v>
      </c>
      <c r="E41" s="107">
        <v>1</v>
      </c>
      <c r="F41" s="107">
        <v>507.83059100000003</v>
      </c>
      <c r="G41" s="107">
        <v>508</v>
      </c>
      <c r="H41" s="107">
        <v>253.83000183105469</v>
      </c>
      <c r="I41" s="107">
        <v>254</v>
      </c>
      <c r="J41" s="249">
        <v>0.49983203411102295</v>
      </c>
      <c r="K41" s="249"/>
      <c r="L41" s="249">
        <v>1.13150954246521</v>
      </c>
      <c r="M41" s="251"/>
    </row>
    <row r="42" spans="1:13" x14ac:dyDescent="0.2">
      <c r="A42">
        <v>3432013</v>
      </c>
      <c r="B42">
        <v>343</v>
      </c>
      <c r="C42" t="s">
        <v>324</v>
      </c>
      <c r="D42" t="s">
        <v>360</v>
      </c>
      <c r="E42" s="107">
        <v>1</v>
      </c>
      <c r="F42" s="107">
        <v>5131.4691426479494</v>
      </c>
      <c r="G42" s="107">
        <v>5568</v>
      </c>
      <c r="H42" s="107">
        <v>4662.830078125</v>
      </c>
      <c r="I42" s="107">
        <v>4187</v>
      </c>
      <c r="J42" s="249"/>
      <c r="K42" s="249">
        <v>0.75197559595108032</v>
      </c>
      <c r="L42" s="249"/>
      <c r="M42" s="251"/>
    </row>
    <row r="43" spans="1:13" x14ac:dyDescent="0.2">
      <c r="A43">
        <v>3432014</v>
      </c>
      <c r="B43">
        <v>343</v>
      </c>
      <c r="C43" t="s">
        <v>326</v>
      </c>
      <c r="D43" t="s">
        <v>360</v>
      </c>
      <c r="E43" s="107">
        <v>1</v>
      </c>
      <c r="F43" s="107">
        <v>5382.4466455976562</v>
      </c>
      <c r="G43" s="107">
        <v>5382</v>
      </c>
      <c r="H43" s="107">
        <v>4662.830078125</v>
      </c>
      <c r="I43" s="107">
        <v>4662</v>
      </c>
      <c r="J43" s="249">
        <v>0.86630308628082275</v>
      </c>
      <c r="K43" s="249"/>
      <c r="L43" s="249">
        <v>1.152036190032959</v>
      </c>
      <c r="M43" s="251"/>
    </row>
    <row r="44" spans="1:13" x14ac:dyDescent="0.2">
      <c r="A44">
        <v>3492013</v>
      </c>
      <c r="B44">
        <v>349</v>
      </c>
      <c r="C44" t="s">
        <v>324</v>
      </c>
      <c r="D44" t="s">
        <v>361</v>
      </c>
      <c r="E44" s="107">
        <v>1</v>
      </c>
      <c r="F44" s="107">
        <v>1184.6509311003419</v>
      </c>
      <c r="G44" s="107">
        <v>1300</v>
      </c>
      <c r="H44" s="107">
        <v>2536.68994140625</v>
      </c>
      <c r="I44" s="107">
        <v>2537</v>
      </c>
      <c r="J44" s="249"/>
      <c r="K44" s="249">
        <v>1.9515384435653687</v>
      </c>
      <c r="L44" s="249"/>
      <c r="M44" s="251"/>
    </row>
    <row r="45" spans="1:13" x14ac:dyDescent="0.2">
      <c r="A45">
        <v>3492014</v>
      </c>
      <c r="B45">
        <v>349</v>
      </c>
      <c r="C45" t="s">
        <v>326</v>
      </c>
      <c r="D45" t="s">
        <v>361</v>
      </c>
      <c r="E45" s="107">
        <v>1</v>
      </c>
      <c r="F45" s="107">
        <v>1119.691211602295</v>
      </c>
      <c r="G45" s="107">
        <v>1120</v>
      </c>
      <c r="H45" s="107">
        <v>2536.68994140625</v>
      </c>
      <c r="I45" s="107">
        <v>2537</v>
      </c>
      <c r="J45" s="249">
        <v>2.265526294708252</v>
      </c>
      <c r="K45" s="249"/>
      <c r="L45" s="249">
        <v>1.1608924865722656</v>
      </c>
      <c r="M45" s="251"/>
    </row>
    <row r="46" spans="1:13" x14ac:dyDescent="0.2">
      <c r="A46">
        <v>4472013</v>
      </c>
      <c r="B46">
        <v>447</v>
      </c>
      <c r="C46" t="s">
        <v>324</v>
      </c>
      <c r="D46" t="s">
        <v>362</v>
      </c>
      <c r="E46" s="107">
        <v>1</v>
      </c>
      <c r="F46" s="107">
        <v>5567.7707714738772</v>
      </c>
      <c r="G46" s="107">
        <v>4845</v>
      </c>
      <c r="H46" s="107">
        <v>3668.639892578125</v>
      </c>
      <c r="I46" s="107">
        <v>3411</v>
      </c>
      <c r="J46" s="249"/>
      <c r="K46" s="249">
        <v>0.7040247917175293</v>
      </c>
      <c r="L46" s="249"/>
      <c r="M46" s="251"/>
    </row>
    <row r="47" spans="1:13" x14ac:dyDescent="0.2">
      <c r="A47">
        <v>4472014</v>
      </c>
      <c r="B47">
        <v>447</v>
      </c>
      <c r="C47" t="s">
        <v>326</v>
      </c>
      <c r="D47" t="s">
        <v>362</v>
      </c>
      <c r="E47" s="107">
        <v>1</v>
      </c>
      <c r="F47" s="107">
        <v>5528.8186232996832</v>
      </c>
      <c r="G47" s="107">
        <v>5529</v>
      </c>
      <c r="H47" s="107">
        <v>3667.419921875</v>
      </c>
      <c r="I47" s="107">
        <v>3668</v>
      </c>
      <c r="J47" s="249">
        <v>0.66332793235778809</v>
      </c>
      <c r="K47" s="249"/>
      <c r="L47" s="249">
        <v>0.94219398498535156</v>
      </c>
      <c r="M47" s="251"/>
    </row>
    <row r="48" spans="1:13" x14ac:dyDescent="0.2">
      <c r="A48">
        <v>4842013</v>
      </c>
      <c r="B48">
        <v>484</v>
      </c>
      <c r="C48" t="s">
        <v>324</v>
      </c>
      <c r="D48" t="s">
        <v>363</v>
      </c>
      <c r="E48" s="107">
        <v>1</v>
      </c>
      <c r="F48" s="107">
        <v>11577.849266866211</v>
      </c>
      <c r="G48" s="107">
        <v>11385</v>
      </c>
      <c r="H48" s="107">
        <v>4357.1201171875</v>
      </c>
      <c r="I48" s="107">
        <v>4835</v>
      </c>
      <c r="J48" s="249"/>
      <c r="K48" s="249">
        <v>0.42468160390853882</v>
      </c>
      <c r="L48" s="249"/>
      <c r="M48" s="251"/>
    </row>
    <row r="49" spans="1:13" x14ac:dyDescent="0.2">
      <c r="A49">
        <v>4842014</v>
      </c>
      <c r="B49">
        <v>484</v>
      </c>
      <c r="C49" t="s">
        <v>326</v>
      </c>
      <c r="D49" t="s">
        <v>363</v>
      </c>
      <c r="E49" s="107">
        <v>1</v>
      </c>
      <c r="F49" s="107">
        <v>7510.0510855410157</v>
      </c>
      <c r="G49" s="107">
        <v>7510</v>
      </c>
      <c r="H49" s="107">
        <v>4357.1201171875</v>
      </c>
      <c r="I49" s="107">
        <v>4358</v>
      </c>
      <c r="J49" s="249">
        <v>0.58017182350158691</v>
      </c>
      <c r="K49" s="249"/>
      <c r="L49" s="249">
        <v>1.3661336898803711</v>
      </c>
      <c r="M49" s="251"/>
    </row>
    <row r="50" spans="1:13" x14ac:dyDescent="0.2">
      <c r="A50">
        <v>5122013</v>
      </c>
      <c r="B50">
        <v>512</v>
      </c>
      <c r="C50" t="s">
        <v>324</v>
      </c>
      <c r="D50" t="s">
        <v>331</v>
      </c>
      <c r="E50" s="107">
        <v>1</v>
      </c>
      <c r="F50" s="107">
        <v>1464.1930870000001</v>
      </c>
      <c r="G50" s="107">
        <v>1256</v>
      </c>
      <c r="H50" s="107">
        <v>3043.110107421875</v>
      </c>
      <c r="I50" s="107">
        <v>3780</v>
      </c>
      <c r="J50" s="249"/>
      <c r="K50" s="249">
        <v>3.0095541477203369</v>
      </c>
      <c r="L50" s="249"/>
      <c r="M50" s="251"/>
    </row>
    <row r="51" spans="1:13" x14ac:dyDescent="0.2">
      <c r="A51">
        <v>5122014</v>
      </c>
      <c r="B51">
        <v>512</v>
      </c>
      <c r="C51" t="s">
        <v>326</v>
      </c>
      <c r="D51" t="s">
        <v>331</v>
      </c>
      <c r="E51" s="107">
        <v>1</v>
      </c>
      <c r="F51" s="107">
        <v>1580.7444110000001</v>
      </c>
      <c r="G51" s="107">
        <v>1581</v>
      </c>
      <c r="H51" s="107">
        <v>5106.31982421875</v>
      </c>
      <c r="I51" s="107">
        <v>5106</v>
      </c>
      <c r="J51" s="249">
        <v>3.2303259372711182</v>
      </c>
      <c r="K51" s="249"/>
      <c r="L51" s="249">
        <v>1.0733569860458374</v>
      </c>
      <c r="M51" s="251"/>
    </row>
    <row r="52" spans="1:13" x14ac:dyDescent="0.2">
      <c r="A52">
        <v>6592013</v>
      </c>
      <c r="B52">
        <v>659</v>
      </c>
      <c r="C52" t="s">
        <v>324</v>
      </c>
      <c r="D52" t="s">
        <v>364</v>
      </c>
      <c r="E52" s="107">
        <v>1</v>
      </c>
      <c r="F52" s="107">
        <v>2545.220674453064</v>
      </c>
      <c r="G52" s="107">
        <v>2764</v>
      </c>
      <c r="H52" s="107">
        <v>1842.9300537109375</v>
      </c>
      <c r="I52" s="107">
        <v>1843</v>
      </c>
      <c r="J52" s="249"/>
      <c r="K52" s="249">
        <v>0.66678726673126221</v>
      </c>
      <c r="L52" s="249"/>
      <c r="M52" s="251"/>
    </row>
    <row r="53" spans="1:13" x14ac:dyDescent="0.2">
      <c r="A53">
        <v>6592014</v>
      </c>
      <c r="B53">
        <v>659</v>
      </c>
      <c r="C53" t="s">
        <v>326</v>
      </c>
      <c r="D53" t="s">
        <v>364</v>
      </c>
      <c r="E53" s="107">
        <v>1</v>
      </c>
      <c r="F53" s="107">
        <v>2638.5625642432251</v>
      </c>
      <c r="G53" s="107">
        <v>2639</v>
      </c>
      <c r="H53" s="107">
        <v>1842.9300537109375</v>
      </c>
      <c r="I53" s="107">
        <v>1843</v>
      </c>
      <c r="J53" s="249">
        <v>0.69845986366271973</v>
      </c>
      <c r="K53" s="249"/>
      <c r="L53" s="249">
        <v>1.0475002527236938</v>
      </c>
      <c r="M53" s="251"/>
    </row>
    <row r="54" spans="1:13" x14ac:dyDescent="0.2">
      <c r="A54">
        <v>6862013</v>
      </c>
      <c r="B54">
        <v>686</v>
      </c>
      <c r="C54" t="s">
        <v>324</v>
      </c>
      <c r="D54" t="s">
        <v>332</v>
      </c>
      <c r="E54" s="107">
        <v>1</v>
      </c>
      <c r="F54" s="107">
        <v>1570.6916650000001</v>
      </c>
      <c r="G54" s="107">
        <v>998</v>
      </c>
      <c r="H54" s="107">
        <v>2082.10009765625</v>
      </c>
      <c r="I54" s="107">
        <v>2082</v>
      </c>
      <c r="J54" s="249"/>
      <c r="K54" s="249">
        <v>2.086172342300415</v>
      </c>
      <c r="L54" s="249"/>
      <c r="M54" s="251"/>
    </row>
    <row r="55" spans="1:13" x14ac:dyDescent="0.2">
      <c r="A55">
        <v>6862014</v>
      </c>
      <c r="B55">
        <v>686</v>
      </c>
      <c r="C55" t="s">
        <v>326</v>
      </c>
      <c r="D55" t="s">
        <v>332</v>
      </c>
      <c r="E55" s="107">
        <v>1</v>
      </c>
      <c r="F55" s="107">
        <v>2629.5538980000001</v>
      </c>
      <c r="G55" s="107">
        <v>2630</v>
      </c>
      <c r="H55" s="107">
        <v>2082.10009765625</v>
      </c>
      <c r="I55" s="107">
        <v>2082</v>
      </c>
      <c r="J55" s="249">
        <v>0.79180735349655151</v>
      </c>
      <c r="K55" s="249"/>
      <c r="L55" s="249">
        <v>0.37955030798912048</v>
      </c>
      <c r="M55" s="251"/>
    </row>
    <row r="56" spans="1:13" x14ac:dyDescent="0.2">
      <c r="A56">
        <v>7432013</v>
      </c>
      <c r="B56">
        <v>743</v>
      </c>
      <c r="C56" t="s">
        <v>324</v>
      </c>
      <c r="D56" t="s">
        <v>333</v>
      </c>
      <c r="E56" s="107">
        <v>1</v>
      </c>
      <c r="F56" s="107">
        <v>7956.7639819033202</v>
      </c>
      <c r="G56" s="107">
        <v>9775</v>
      </c>
      <c r="H56" s="107">
        <v>17441.220703125</v>
      </c>
      <c r="I56" s="107">
        <v>17441</v>
      </c>
      <c r="J56" s="249"/>
      <c r="K56" s="249">
        <v>1.784245491027832</v>
      </c>
      <c r="L56" s="249"/>
      <c r="M56" s="251"/>
    </row>
    <row r="57" spans="1:13" x14ac:dyDescent="0.2">
      <c r="A57">
        <v>7432014</v>
      </c>
      <c r="B57">
        <v>743</v>
      </c>
      <c r="C57" t="s">
        <v>326</v>
      </c>
      <c r="D57" t="s">
        <v>333</v>
      </c>
      <c r="E57" s="107">
        <v>1</v>
      </c>
      <c r="F57" s="107">
        <v>14222.354898525879</v>
      </c>
      <c r="G57" s="107">
        <v>14222</v>
      </c>
      <c r="H57" s="107">
        <v>17441.220703125</v>
      </c>
      <c r="I57" s="107">
        <v>17441</v>
      </c>
      <c r="J57" s="249">
        <v>1.2263244390487671</v>
      </c>
      <c r="K57" s="249"/>
      <c r="L57" s="249">
        <v>0.68730700016021729</v>
      </c>
      <c r="M57" s="251"/>
    </row>
    <row r="58" spans="1:13" x14ac:dyDescent="0.2">
      <c r="E58" s="140"/>
      <c r="F58" s="140"/>
      <c r="G58" s="140"/>
      <c r="H58" s="140"/>
      <c r="I58" s="142"/>
      <c r="J58" s="251"/>
      <c r="K58" s="251"/>
      <c r="L58" s="251"/>
      <c r="M58" s="251"/>
    </row>
    <row r="59" spans="1:13" x14ac:dyDescent="0.2">
      <c r="E59" s="140"/>
      <c r="F59" s="140"/>
      <c r="G59" s="140"/>
      <c r="H59" s="140"/>
      <c r="I59" s="142"/>
      <c r="J59" s="251"/>
      <c r="K59" s="251"/>
      <c r="L59" s="251"/>
      <c r="M59" s="251"/>
    </row>
    <row r="60" spans="1:13" x14ac:dyDescent="0.2">
      <c r="E60" s="140"/>
      <c r="F60" s="140"/>
      <c r="G60" s="140"/>
      <c r="H60" s="140"/>
      <c r="I60" s="142"/>
      <c r="J60" s="251"/>
      <c r="K60" s="251"/>
      <c r="L60" s="251"/>
      <c r="M60" s="251"/>
    </row>
    <row r="61" spans="1:13" x14ac:dyDescent="0.2">
      <c r="E61" s="140"/>
      <c r="F61" s="140"/>
      <c r="G61" s="140"/>
      <c r="H61" s="140"/>
      <c r="I61" s="142"/>
      <c r="J61" s="251"/>
      <c r="K61" s="251"/>
      <c r="L61" s="251"/>
      <c r="M61" s="251"/>
    </row>
    <row r="62" spans="1:13" x14ac:dyDescent="0.2">
      <c r="I62" s="142"/>
      <c r="J62" s="251"/>
      <c r="K62" s="251"/>
      <c r="L62" s="251"/>
      <c r="M62" s="251"/>
    </row>
    <row r="63" spans="1:13" x14ac:dyDescent="0.2">
      <c r="I63" s="142"/>
      <c r="J63" s="251"/>
      <c r="K63" s="251"/>
      <c r="L63" s="251"/>
      <c r="M63" s="251"/>
    </row>
    <row r="64" spans="1:13" x14ac:dyDescent="0.2">
      <c r="I64" s="142"/>
      <c r="J64" s="251"/>
      <c r="K64" s="251"/>
      <c r="L64" s="251"/>
      <c r="M64" s="251"/>
    </row>
    <row r="65" spans="1:13" x14ac:dyDescent="0.2">
      <c r="A65" s="259">
        <v>102013</v>
      </c>
      <c r="B65" s="259">
        <v>10</v>
      </c>
      <c r="C65" s="259" t="s">
        <v>324</v>
      </c>
      <c r="D65" s="259" t="s">
        <v>325</v>
      </c>
      <c r="E65" s="260">
        <v>1</v>
      </c>
      <c r="F65" s="260">
        <v>1966.7647435856934</v>
      </c>
      <c r="G65" s="259">
        <v>1872</v>
      </c>
      <c r="H65" s="259">
        <v>1584</v>
      </c>
      <c r="I65" s="261">
        <v>4381</v>
      </c>
      <c r="J65" s="262"/>
      <c r="K65" s="262">
        <v>2.3402776718139648</v>
      </c>
      <c r="L65" s="262"/>
      <c r="M65" s="251"/>
    </row>
    <row r="66" spans="1:13" x14ac:dyDescent="0.2">
      <c r="A66" s="259">
        <v>102014</v>
      </c>
      <c r="B66" s="259">
        <v>10</v>
      </c>
      <c r="C66" s="259" t="s">
        <v>326</v>
      </c>
      <c r="D66" s="259" t="s">
        <v>325</v>
      </c>
      <c r="E66" s="260">
        <v>1</v>
      </c>
      <c r="F66" s="260">
        <v>1253.9694465336916</v>
      </c>
      <c r="G66" s="259">
        <v>1254</v>
      </c>
      <c r="H66" s="259">
        <v>1584</v>
      </c>
      <c r="I66" s="261">
        <v>1584</v>
      </c>
      <c r="J66" s="262">
        <v>1.2631887197494507</v>
      </c>
      <c r="K66" s="262"/>
      <c r="L66" s="262">
        <v>0.53976017236709595</v>
      </c>
      <c r="M66" s="251"/>
    </row>
    <row r="67" spans="1:13" x14ac:dyDescent="0.2">
      <c r="A67" s="259">
        <v>182013</v>
      </c>
      <c r="B67" s="259">
        <v>18</v>
      </c>
      <c r="C67" s="259" t="s">
        <v>324</v>
      </c>
      <c r="D67" s="259" t="s">
        <v>342</v>
      </c>
      <c r="E67" s="260">
        <v>1</v>
      </c>
      <c r="F67" s="260">
        <v>816.7960394338379</v>
      </c>
      <c r="G67" s="259">
        <v>1037</v>
      </c>
      <c r="H67" s="259">
        <v>1898</v>
      </c>
      <c r="I67" s="261">
        <v>1898</v>
      </c>
      <c r="J67" s="262"/>
      <c r="K67" s="262">
        <v>1.8302797079086304</v>
      </c>
      <c r="L67" s="262"/>
      <c r="M67" s="251"/>
    </row>
    <row r="68" spans="1:13" x14ac:dyDescent="0.2">
      <c r="A68" s="259">
        <v>182014</v>
      </c>
      <c r="B68" s="259">
        <v>18</v>
      </c>
      <c r="C68" s="259" t="s">
        <v>326</v>
      </c>
      <c r="D68" s="259" t="s">
        <v>342</v>
      </c>
      <c r="E68" s="260">
        <v>1</v>
      </c>
      <c r="F68" s="260">
        <v>771.45069119360346</v>
      </c>
      <c r="G68" s="259">
        <v>771</v>
      </c>
      <c r="H68" s="259">
        <v>1898</v>
      </c>
      <c r="I68" s="261">
        <v>1898</v>
      </c>
      <c r="J68" s="262">
        <v>2.4602997303009033</v>
      </c>
      <c r="K68" s="262"/>
      <c r="L68" s="262">
        <v>1.3442206382751465</v>
      </c>
      <c r="M68" s="251"/>
    </row>
    <row r="69" spans="1:13" x14ac:dyDescent="0.2">
      <c r="A69" s="259">
        <v>352013</v>
      </c>
      <c r="B69" s="259">
        <v>35</v>
      </c>
      <c r="C69" s="259" t="s">
        <v>324</v>
      </c>
      <c r="D69" s="259" t="s">
        <v>343</v>
      </c>
      <c r="E69" s="260">
        <v>1</v>
      </c>
      <c r="F69" s="260">
        <v>666.52856300000008</v>
      </c>
      <c r="G69" s="259">
        <v>651.91876220703125</v>
      </c>
      <c r="H69" s="259">
        <v>1543</v>
      </c>
      <c r="I69" s="261">
        <v>1543</v>
      </c>
      <c r="J69" s="262"/>
      <c r="K69" s="262">
        <v>2.3668594360351562</v>
      </c>
      <c r="L69" s="262"/>
      <c r="M69" s="251"/>
    </row>
    <row r="70" spans="1:13" x14ac:dyDescent="0.2">
      <c r="A70" s="259">
        <v>352014</v>
      </c>
      <c r="B70" s="259">
        <v>35</v>
      </c>
      <c r="C70" s="259" t="s">
        <v>326</v>
      </c>
      <c r="D70" s="259" t="s">
        <v>343</v>
      </c>
      <c r="E70" s="260">
        <v>1</v>
      </c>
      <c r="F70" s="260">
        <v>521.16645800000003</v>
      </c>
      <c r="G70" s="259">
        <v>521</v>
      </c>
      <c r="H70" s="259">
        <v>1543</v>
      </c>
      <c r="I70" s="261">
        <v>1543</v>
      </c>
      <c r="J70" s="262">
        <v>2.9606664180755615</v>
      </c>
      <c r="K70" s="262"/>
      <c r="L70" s="262">
        <v>1.250883936882019</v>
      </c>
      <c r="M70" s="251"/>
    </row>
    <row r="71" spans="1:13" x14ac:dyDescent="0.2">
      <c r="A71" s="259">
        <v>412013</v>
      </c>
      <c r="B71" s="259">
        <v>41</v>
      </c>
      <c r="C71" s="259" t="s">
        <v>324</v>
      </c>
      <c r="D71" s="259" t="s">
        <v>344</v>
      </c>
      <c r="E71" s="260">
        <v>1</v>
      </c>
      <c r="F71" s="260">
        <v>138.92858502636719</v>
      </c>
      <c r="G71" s="259">
        <v>154</v>
      </c>
      <c r="H71" s="259">
        <v>488</v>
      </c>
      <c r="I71" s="261">
        <v>488</v>
      </c>
      <c r="J71" s="262"/>
      <c r="K71" s="262">
        <v>3.1688311100006104</v>
      </c>
      <c r="L71" s="262"/>
      <c r="M71" s="251"/>
    </row>
    <row r="72" spans="1:13" x14ac:dyDescent="0.2">
      <c r="A72" s="259">
        <v>412014</v>
      </c>
      <c r="B72" s="259">
        <v>41</v>
      </c>
      <c r="C72" s="259" t="s">
        <v>326</v>
      </c>
      <c r="D72" s="259" t="s">
        <v>344</v>
      </c>
      <c r="E72" s="260">
        <v>1</v>
      </c>
      <c r="F72" s="260">
        <v>135.24148107073975</v>
      </c>
      <c r="G72" s="259">
        <v>135</v>
      </c>
      <c r="H72" s="259">
        <v>488</v>
      </c>
      <c r="I72" s="261">
        <v>488</v>
      </c>
      <c r="J72" s="262">
        <v>3.6083602905273438</v>
      </c>
      <c r="K72" s="262"/>
      <c r="L72" s="262">
        <v>1.1387039422988892</v>
      </c>
      <c r="M72" s="251"/>
    </row>
    <row r="73" spans="1:13" x14ac:dyDescent="0.2">
      <c r="A73" s="259">
        <v>882013</v>
      </c>
      <c r="B73" s="259">
        <v>88</v>
      </c>
      <c r="C73" s="259" t="s">
        <v>324</v>
      </c>
      <c r="D73" s="259" t="s">
        <v>345</v>
      </c>
      <c r="E73" s="260">
        <v>1</v>
      </c>
      <c r="F73" s="260">
        <v>3992.2943390578616</v>
      </c>
      <c r="G73" s="259">
        <v>4150</v>
      </c>
      <c r="H73" s="259">
        <v>3134</v>
      </c>
      <c r="I73" s="261">
        <v>3134</v>
      </c>
      <c r="J73" s="262"/>
      <c r="K73" s="262">
        <v>0.7551807165145874</v>
      </c>
      <c r="L73" s="262"/>
      <c r="M73" s="251"/>
    </row>
    <row r="74" spans="1:13" x14ac:dyDescent="0.2">
      <c r="A74" s="259">
        <v>882014</v>
      </c>
      <c r="B74" s="259">
        <v>88</v>
      </c>
      <c r="C74" s="259" t="s">
        <v>326</v>
      </c>
      <c r="D74" s="259" t="s">
        <v>345</v>
      </c>
      <c r="E74" s="260">
        <v>1</v>
      </c>
      <c r="F74" s="260">
        <v>3811.6541857639163</v>
      </c>
      <c r="G74" s="259">
        <v>3812</v>
      </c>
      <c r="H74" s="259">
        <v>3134</v>
      </c>
      <c r="I74" s="261">
        <v>3134</v>
      </c>
      <c r="J74" s="262">
        <v>0.82221519947052002</v>
      </c>
      <c r="K74" s="262"/>
      <c r="L74" s="262">
        <v>1.0887660980224609</v>
      </c>
      <c r="M74" s="251"/>
    </row>
    <row r="75" spans="1:13" x14ac:dyDescent="0.2">
      <c r="A75" s="259">
        <v>982013</v>
      </c>
      <c r="B75" s="259">
        <v>98</v>
      </c>
      <c r="C75" s="259" t="s">
        <v>324</v>
      </c>
      <c r="D75" s="259" t="s">
        <v>346</v>
      </c>
      <c r="E75" s="260">
        <v>1</v>
      </c>
      <c r="F75" s="260">
        <v>1714.5876121831514</v>
      </c>
      <c r="G75" s="259">
        <v>1759</v>
      </c>
      <c r="H75" s="259">
        <v>94</v>
      </c>
      <c r="I75" s="261">
        <v>94</v>
      </c>
      <c r="J75" s="262"/>
      <c r="K75" s="262">
        <v>5.343945324420929E-2</v>
      </c>
      <c r="L75" s="262"/>
      <c r="M75" s="251"/>
    </row>
    <row r="76" spans="1:13" x14ac:dyDescent="0.2">
      <c r="A76" s="259">
        <v>982014</v>
      </c>
      <c r="B76" s="259">
        <v>98</v>
      </c>
      <c r="C76" s="259" t="s">
        <v>326</v>
      </c>
      <c r="D76" s="259" t="s">
        <v>346</v>
      </c>
      <c r="E76" s="260">
        <v>1</v>
      </c>
      <c r="F76" s="260">
        <v>1646.4541115390473</v>
      </c>
      <c r="G76" s="259">
        <v>1646</v>
      </c>
      <c r="H76" s="259">
        <v>94</v>
      </c>
      <c r="I76" s="261">
        <v>94</v>
      </c>
      <c r="J76" s="261">
        <v>5.7092390954494476E-2</v>
      </c>
      <c r="K76" s="263"/>
      <c r="L76" s="264">
        <v>1.0683565139770508</v>
      </c>
    </row>
    <row r="77" spans="1:13" x14ac:dyDescent="0.2">
      <c r="A77" s="259">
        <v>1062013</v>
      </c>
      <c r="B77" s="259">
        <v>106</v>
      </c>
      <c r="C77" s="259" t="s">
        <v>324</v>
      </c>
      <c r="D77" s="259" t="s">
        <v>347</v>
      </c>
      <c r="E77" s="260">
        <v>1</v>
      </c>
      <c r="F77" s="260">
        <v>3165.9749725703123</v>
      </c>
      <c r="G77" s="259">
        <v>2952</v>
      </c>
      <c r="H77" s="259">
        <v>4506</v>
      </c>
      <c r="I77" s="261">
        <v>4487</v>
      </c>
      <c r="J77" s="261"/>
      <c r="K77" s="263">
        <v>1.5199863910675049</v>
      </c>
      <c r="L77" s="264"/>
    </row>
    <row r="78" spans="1:13" x14ac:dyDescent="0.2">
      <c r="A78" s="259">
        <v>1062014</v>
      </c>
      <c r="B78" s="259">
        <v>106</v>
      </c>
      <c r="C78" s="259" t="s">
        <v>326</v>
      </c>
      <c r="D78" s="259" t="s">
        <v>347</v>
      </c>
      <c r="E78" s="260">
        <v>1</v>
      </c>
      <c r="F78" s="260">
        <v>2819.236475716797</v>
      </c>
      <c r="G78" s="259">
        <v>2819</v>
      </c>
      <c r="H78" s="259">
        <v>4506</v>
      </c>
      <c r="I78" s="261">
        <v>4506</v>
      </c>
      <c r="J78" s="261">
        <v>1.5983051061630249</v>
      </c>
      <c r="K78" s="263"/>
      <c r="L78" s="264">
        <v>1.0515259504318237</v>
      </c>
    </row>
    <row r="79" spans="1:13" x14ac:dyDescent="0.2">
      <c r="A79" s="259">
        <v>1352013</v>
      </c>
      <c r="B79" s="259">
        <v>135</v>
      </c>
      <c r="C79" s="259" t="s">
        <v>324</v>
      </c>
      <c r="D79" s="259" t="s">
        <v>348</v>
      </c>
      <c r="E79" s="260">
        <v>1</v>
      </c>
      <c r="F79" s="260">
        <v>108.84782700000001</v>
      </c>
      <c r="G79" s="259">
        <v>115</v>
      </c>
      <c r="H79" s="259">
        <v>551</v>
      </c>
      <c r="I79" s="261">
        <v>551</v>
      </c>
      <c r="J79" s="261"/>
      <c r="K79" s="263">
        <v>4.7913041114807129</v>
      </c>
      <c r="L79" s="264"/>
    </row>
    <row r="80" spans="1:13" x14ac:dyDescent="0.2">
      <c r="A80" s="259">
        <v>1352014</v>
      </c>
      <c r="B80" s="259">
        <v>135</v>
      </c>
      <c r="C80" s="259" t="s">
        <v>326</v>
      </c>
      <c r="D80" s="259" t="s">
        <v>348</v>
      </c>
      <c r="E80" s="260">
        <v>1</v>
      </c>
      <c r="F80" s="260">
        <v>111.180217</v>
      </c>
      <c r="G80" s="259">
        <v>111</v>
      </c>
      <c r="H80" s="259">
        <v>551</v>
      </c>
      <c r="I80" s="261">
        <v>551</v>
      </c>
      <c r="J80" s="261">
        <v>4.9559178352355957</v>
      </c>
      <c r="K80" s="263"/>
      <c r="L80" s="264">
        <v>1.0343567132949829</v>
      </c>
    </row>
    <row r="81" spans="1:12" x14ac:dyDescent="0.2">
      <c r="A81" s="259">
        <v>1472013</v>
      </c>
      <c r="B81" s="259">
        <v>147</v>
      </c>
      <c r="C81" s="259" t="s">
        <v>324</v>
      </c>
      <c r="D81" s="259" t="s">
        <v>349</v>
      </c>
      <c r="E81" s="260">
        <v>1</v>
      </c>
      <c r="F81" s="260">
        <v>786.35002548437501</v>
      </c>
      <c r="G81" s="259">
        <v>816</v>
      </c>
      <c r="H81" s="259">
        <v>964</v>
      </c>
      <c r="I81" s="261">
        <v>964</v>
      </c>
      <c r="J81" s="261"/>
      <c r="K81" s="263">
        <v>1.1813725233078003</v>
      </c>
      <c r="L81" s="264"/>
    </row>
    <row r="82" spans="1:12" x14ac:dyDescent="0.2">
      <c r="A82" s="259">
        <v>1472014</v>
      </c>
      <c r="B82" s="259">
        <v>147</v>
      </c>
      <c r="C82" s="259" t="s">
        <v>326</v>
      </c>
      <c r="D82" s="259" t="s">
        <v>349</v>
      </c>
      <c r="E82" s="260">
        <v>1</v>
      </c>
      <c r="F82" s="260">
        <v>733.93832642138671</v>
      </c>
      <c r="G82" s="259">
        <v>734</v>
      </c>
      <c r="H82" s="259">
        <v>964</v>
      </c>
      <c r="I82" s="261">
        <v>964</v>
      </c>
      <c r="J82" s="261">
        <v>1.3134618997573853</v>
      </c>
      <c r="K82" s="263"/>
      <c r="L82" s="264">
        <v>1.1118100881576538</v>
      </c>
    </row>
    <row r="83" spans="1:12" x14ac:dyDescent="0.2">
      <c r="A83" s="259">
        <v>1562013</v>
      </c>
      <c r="B83" s="259">
        <v>156</v>
      </c>
      <c r="C83" s="259" t="s">
        <v>324</v>
      </c>
      <c r="D83" s="259" t="s">
        <v>350</v>
      </c>
      <c r="E83" s="260">
        <v>1</v>
      </c>
      <c r="F83" s="260">
        <v>570.9821283035584</v>
      </c>
      <c r="G83" s="259">
        <v>565</v>
      </c>
      <c r="H83" s="259">
        <v>998</v>
      </c>
      <c r="I83" s="261">
        <v>998</v>
      </c>
      <c r="J83" s="261"/>
      <c r="K83" s="263">
        <v>1.7663717269897461</v>
      </c>
      <c r="L83" s="264"/>
    </row>
    <row r="84" spans="1:12" x14ac:dyDescent="0.2">
      <c r="A84" s="259">
        <v>1562014</v>
      </c>
      <c r="B84" s="259">
        <v>156</v>
      </c>
      <c r="C84" s="259" t="s">
        <v>326</v>
      </c>
      <c r="D84" s="259" t="s">
        <v>350</v>
      </c>
      <c r="E84" s="260">
        <v>1</v>
      </c>
      <c r="F84" s="260">
        <v>575.29644546670534</v>
      </c>
      <c r="G84" s="259">
        <v>575</v>
      </c>
      <c r="H84" s="259">
        <v>998</v>
      </c>
      <c r="I84" s="261">
        <v>998</v>
      </c>
      <c r="J84" s="261">
        <v>1.7347577810287476</v>
      </c>
      <c r="K84" s="263"/>
      <c r="L84" s="264">
        <v>0.98210233449935913</v>
      </c>
    </row>
    <row r="85" spans="1:12" x14ac:dyDescent="0.2">
      <c r="A85" s="259">
        <v>1612013</v>
      </c>
      <c r="B85" s="259">
        <v>161</v>
      </c>
      <c r="C85" s="259" t="s">
        <v>324</v>
      </c>
      <c r="D85" s="259" t="s">
        <v>351</v>
      </c>
      <c r="E85" s="260">
        <v>1</v>
      </c>
      <c r="F85" s="260">
        <v>2371.5199256313481</v>
      </c>
      <c r="G85" s="259">
        <v>2000</v>
      </c>
      <c r="H85" s="259">
        <v>3661</v>
      </c>
      <c r="I85" s="261">
        <v>3530</v>
      </c>
      <c r="J85" s="261"/>
      <c r="K85" s="263">
        <v>1.7649999856948853</v>
      </c>
      <c r="L85" s="264"/>
    </row>
    <row r="86" spans="1:12" x14ac:dyDescent="0.2">
      <c r="A86" s="259">
        <v>1612014</v>
      </c>
      <c r="B86" s="259">
        <v>161</v>
      </c>
      <c r="C86" s="259" t="s">
        <v>326</v>
      </c>
      <c r="D86" s="259" t="s">
        <v>351</v>
      </c>
      <c r="E86" s="260">
        <v>1</v>
      </c>
      <c r="F86" s="260">
        <v>2354.2358804951173</v>
      </c>
      <c r="G86" s="259">
        <v>2354</v>
      </c>
      <c r="H86" s="259">
        <v>3661</v>
      </c>
      <c r="I86" s="261">
        <v>3661</v>
      </c>
      <c r="J86" s="261">
        <v>1.5550693273544312</v>
      </c>
      <c r="K86" s="263"/>
      <c r="L86" s="264">
        <v>0.88105911016464233</v>
      </c>
    </row>
    <row r="87" spans="1:12" x14ac:dyDescent="0.2">
      <c r="A87" s="259">
        <v>1622013</v>
      </c>
      <c r="B87" s="259">
        <v>162</v>
      </c>
      <c r="C87" s="259" t="s">
        <v>324</v>
      </c>
      <c r="D87" s="259" t="s">
        <v>352</v>
      </c>
      <c r="E87" s="260">
        <v>1</v>
      </c>
      <c r="F87" s="260">
        <v>1676.8670249918671</v>
      </c>
      <c r="G87" s="259">
        <v>1449.8314208984375</v>
      </c>
      <c r="H87" s="259">
        <v>1167</v>
      </c>
      <c r="I87" s="261">
        <v>1167</v>
      </c>
      <c r="J87" s="261"/>
      <c r="K87" s="263">
        <v>0.80492115020751953</v>
      </c>
      <c r="L87" s="264"/>
    </row>
    <row r="88" spans="1:12" x14ac:dyDescent="0.2">
      <c r="A88" s="259">
        <v>1622014</v>
      </c>
      <c r="B88" s="259">
        <v>162</v>
      </c>
      <c r="C88" s="259" t="s">
        <v>326</v>
      </c>
      <c r="D88" s="259" t="s">
        <v>352</v>
      </c>
      <c r="E88" s="260">
        <v>1</v>
      </c>
      <c r="F88" s="260">
        <v>1835.5945173605958</v>
      </c>
      <c r="G88" s="259">
        <v>1836</v>
      </c>
      <c r="H88" s="259">
        <v>1167</v>
      </c>
      <c r="I88" s="261">
        <v>1167</v>
      </c>
      <c r="J88" s="261">
        <v>0.6357613205909729</v>
      </c>
      <c r="K88" s="263"/>
      <c r="L88" s="264">
        <v>0.78984296321868896</v>
      </c>
    </row>
    <row r="89" spans="1:12" x14ac:dyDescent="0.2">
      <c r="A89" s="259">
        <v>1732013</v>
      </c>
      <c r="B89" s="259">
        <v>173</v>
      </c>
      <c r="C89" s="259" t="s">
        <v>324</v>
      </c>
      <c r="D89" s="259" t="s">
        <v>353</v>
      </c>
      <c r="E89" s="260">
        <v>1</v>
      </c>
      <c r="F89" s="260">
        <v>1722.0534045966797</v>
      </c>
      <c r="G89" s="259">
        <v>1551.86962890625</v>
      </c>
      <c r="H89" s="259">
        <v>7345</v>
      </c>
      <c r="I89" s="261">
        <v>7345</v>
      </c>
      <c r="J89" s="261"/>
      <c r="K89" s="263">
        <v>4.7330007553100586</v>
      </c>
      <c r="L89" s="264"/>
    </row>
    <row r="90" spans="1:12" x14ac:dyDescent="0.2">
      <c r="A90" s="259">
        <v>1732014</v>
      </c>
      <c r="B90" s="259">
        <v>173</v>
      </c>
      <c r="C90" s="259" t="s">
        <v>326</v>
      </c>
      <c r="D90" s="259" t="s">
        <v>353</v>
      </c>
      <c r="E90" s="260">
        <v>1</v>
      </c>
      <c r="F90" s="260">
        <v>1656.5566825427245</v>
      </c>
      <c r="G90" s="259">
        <v>1657</v>
      </c>
      <c r="H90" s="259">
        <v>7345</v>
      </c>
      <c r="I90" s="261">
        <v>7345</v>
      </c>
      <c r="J90" s="261">
        <v>4.4338960647583008</v>
      </c>
      <c r="K90" s="263"/>
      <c r="L90" s="264">
        <v>0.93680441379547119</v>
      </c>
    </row>
    <row r="91" spans="1:12" x14ac:dyDescent="0.2">
      <c r="A91" s="259">
        <v>1842013</v>
      </c>
      <c r="B91" s="259">
        <v>184</v>
      </c>
      <c r="C91" s="259" t="s">
        <v>324</v>
      </c>
      <c r="D91" s="259" t="s">
        <v>354</v>
      </c>
      <c r="E91" s="260">
        <v>1</v>
      </c>
      <c r="F91" s="260">
        <v>2480.1271581273804</v>
      </c>
      <c r="G91" s="259">
        <v>2283</v>
      </c>
      <c r="H91" s="259">
        <v>3206</v>
      </c>
      <c r="I91" s="261">
        <v>2636</v>
      </c>
      <c r="J91" s="261"/>
      <c r="K91" s="263">
        <v>1.1546211242675781</v>
      </c>
      <c r="L91" s="264"/>
    </row>
    <row r="92" spans="1:12" x14ac:dyDescent="0.2">
      <c r="A92" s="259">
        <v>1842014</v>
      </c>
      <c r="B92" s="259">
        <v>184</v>
      </c>
      <c r="C92" s="259" t="s">
        <v>326</v>
      </c>
      <c r="D92" s="259" t="s">
        <v>354</v>
      </c>
      <c r="E92" s="260">
        <v>1</v>
      </c>
      <c r="F92" s="260">
        <v>4149.0768203587031</v>
      </c>
      <c r="G92" s="259">
        <v>4149</v>
      </c>
      <c r="H92" s="259">
        <v>3206</v>
      </c>
      <c r="I92" s="261">
        <v>3206</v>
      </c>
      <c r="J92" s="261">
        <v>0.77270203828811646</v>
      </c>
      <c r="K92" s="263"/>
      <c r="L92" s="264">
        <v>0.66922563314437866</v>
      </c>
    </row>
    <row r="93" spans="1:12" x14ac:dyDescent="0.2">
      <c r="A93" s="259">
        <v>2042013</v>
      </c>
      <c r="B93" s="259">
        <v>204</v>
      </c>
      <c r="C93" s="259" t="s">
        <v>324</v>
      </c>
      <c r="D93" s="259" t="s">
        <v>355</v>
      </c>
      <c r="E93" s="260">
        <v>1</v>
      </c>
      <c r="F93" s="260">
        <v>447.81194000000005</v>
      </c>
      <c r="G93" s="259">
        <v>513</v>
      </c>
      <c r="H93" s="259">
        <v>197</v>
      </c>
      <c r="I93" s="261">
        <v>197</v>
      </c>
      <c r="J93" s="261"/>
      <c r="K93" s="263">
        <v>0.38401558995246887</v>
      </c>
      <c r="L93" s="264"/>
    </row>
    <row r="94" spans="1:12" x14ac:dyDescent="0.2">
      <c r="A94" s="259">
        <v>2042014</v>
      </c>
      <c r="B94" s="259">
        <v>204</v>
      </c>
      <c r="C94" s="259" t="s">
        <v>326</v>
      </c>
      <c r="D94" s="259" t="s">
        <v>355</v>
      </c>
      <c r="E94" s="260">
        <v>1</v>
      </c>
      <c r="F94" s="260">
        <v>500.40121299999998</v>
      </c>
      <c r="G94" s="259">
        <v>500</v>
      </c>
      <c r="H94" s="259">
        <v>197</v>
      </c>
      <c r="I94" s="261">
        <v>197</v>
      </c>
      <c r="J94" s="261">
        <v>0.39368408918380737</v>
      </c>
      <c r="K94" s="263"/>
      <c r="L94" s="264">
        <v>1.0251773595809937</v>
      </c>
    </row>
    <row r="95" spans="1:12" x14ac:dyDescent="0.2">
      <c r="A95" s="259">
        <v>2222013</v>
      </c>
      <c r="B95" s="259">
        <v>222</v>
      </c>
      <c r="C95" s="259" t="s">
        <v>324</v>
      </c>
      <c r="D95" s="259" t="s">
        <v>330</v>
      </c>
      <c r="E95" s="260">
        <v>1</v>
      </c>
      <c r="F95" s="260">
        <v>432.67224600000003</v>
      </c>
      <c r="G95" s="259">
        <v>449</v>
      </c>
      <c r="H95" s="259">
        <v>1473</v>
      </c>
      <c r="I95" s="261">
        <v>1545</v>
      </c>
      <c r="J95" s="261"/>
      <c r="K95" s="263">
        <v>3.4409799575805664</v>
      </c>
      <c r="L95" s="264"/>
    </row>
    <row r="96" spans="1:12" x14ac:dyDescent="0.2">
      <c r="A96" s="259">
        <v>2222014</v>
      </c>
      <c r="B96" s="259">
        <v>222</v>
      </c>
      <c r="C96" s="259" t="s">
        <v>326</v>
      </c>
      <c r="D96" s="259" t="s">
        <v>330</v>
      </c>
      <c r="E96" s="260">
        <v>1</v>
      </c>
      <c r="F96" s="260">
        <v>417.58284500000002</v>
      </c>
      <c r="G96" s="259">
        <v>418</v>
      </c>
      <c r="H96" s="259">
        <v>1473</v>
      </c>
      <c r="I96" s="261">
        <v>1473</v>
      </c>
      <c r="J96" s="261">
        <v>3.5274436473846436</v>
      </c>
      <c r="K96" s="263"/>
      <c r="L96" s="264">
        <v>1.025127649307251</v>
      </c>
    </row>
    <row r="97" spans="1:12" x14ac:dyDescent="0.2">
      <c r="A97" s="259">
        <v>2382013</v>
      </c>
      <c r="B97" s="259">
        <v>238</v>
      </c>
      <c r="C97" s="259" t="s">
        <v>324</v>
      </c>
      <c r="D97" s="259" t="s">
        <v>356</v>
      </c>
      <c r="E97" s="260">
        <v>1</v>
      </c>
      <c r="F97" s="260">
        <v>1155.2519928387451</v>
      </c>
      <c r="G97" s="259">
        <v>1217</v>
      </c>
      <c r="H97" s="259">
        <v>4933</v>
      </c>
      <c r="I97" s="261">
        <v>4939</v>
      </c>
      <c r="J97" s="261"/>
      <c r="K97" s="263">
        <v>4.0583400726318359</v>
      </c>
      <c r="L97" s="264"/>
    </row>
    <row r="98" spans="1:12" x14ac:dyDescent="0.2">
      <c r="A98" s="259">
        <v>2382014</v>
      </c>
      <c r="B98" s="259">
        <v>238</v>
      </c>
      <c r="C98" s="259" t="s">
        <v>326</v>
      </c>
      <c r="D98" s="259" t="s">
        <v>356</v>
      </c>
      <c r="E98" s="260">
        <v>1</v>
      </c>
      <c r="F98" s="260">
        <v>688.26382548303218</v>
      </c>
      <c r="G98" s="259">
        <v>688</v>
      </c>
      <c r="H98" s="259">
        <v>4933</v>
      </c>
      <c r="I98" s="261">
        <v>4933</v>
      </c>
      <c r="J98" s="261">
        <v>7.1673097610473633</v>
      </c>
      <c r="K98" s="263"/>
      <c r="L98" s="264">
        <v>1.7660692930221558</v>
      </c>
    </row>
    <row r="99" spans="1:12" x14ac:dyDescent="0.2">
      <c r="A99" s="259">
        <v>2742013</v>
      </c>
      <c r="B99" s="259">
        <v>274</v>
      </c>
      <c r="C99" s="259" t="s">
        <v>324</v>
      </c>
      <c r="D99" s="259" t="s">
        <v>357</v>
      </c>
      <c r="E99" s="260">
        <v>1</v>
      </c>
      <c r="F99" s="260">
        <v>2995.1134802343749</v>
      </c>
      <c r="G99" s="259">
        <v>3410</v>
      </c>
      <c r="H99" s="259">
        <v>2762</v>
      </c>
      <c r="I99" s="261">
        <v>2772</v>
      </c>
      <c r="J99" s="261"/>
      <c r="K99" s="263">
        <v>0.81290322542190552</v>
      </c>
      <c r="L99" s="264"/>
    </row>
    <row r="100" spans="1:12" x14ac:dyDescent="0.2">
      <c r="A100" s="259">
        <v>2742014</v>
      </c>
      <c r="B100" s="259">
        <v>274</v>
      </c>
      <c r="C100" s="259" t="s">
        <v>326</v>
      </c>
      <c r="D100" s="259" t="s">
        <v>357</v>
      </c>
      <c r="E100" s="260">
        <v>1</v>
      </c>
      <c r="F100" s="260">
        <v>2695.4305946401369</v>
      </c>
      <c r="G100" s="259">
        <v>2695</v>
      </c>
      <c r="H100" s="259">
        <v>2626</v>
      </c>
      <c r="I100" s="261">
        <v>2626</v>
      </c>
      <c r="J100" s="261">
        <v>0.97424137592315674</v>
      </c>
      <c r="K100" s="263"/>
      <c r="L100" s="264">
        <v>1.1984715461730957</v>
      </c>
    </row>
    <row r="101" spans="1:12" x14ac:dyDescent="0.2">
      <c r="A101" s="259">
        <v>2872013</v>
      </c>
      <c r="B101" s="259">
        <v>287</v>
      </c>
      <c r="C101" s="259" t="s">
        <v>324</v>
      </c>
      <c r="D101" s="259" t="s">
        <v>358</v>
      </c>
      <c r="E101" s="260">
        <v>1</v>
      </c>
      <c r="F101" s="260">
        <v>345.76949000000002</v>
      </c>
      <c r="G101" s="259">
        <v>364</v>
      </c>
      <c r="H101" s="259">
        <v>540.70001220703125</v>
      </c>
      <c r="I101" s="261">
        <v>541</v>
      </c>
      <c r="J101" s="261"/>
      <c r="K101" s="263">
        <v>1.4862637519836426</v>
      </c>
      <c r="L101" s="264"/>
    </row>
    <row r="102" spans="1:12" x14ac:dyDescent="0.2">
      <c r="A102" s="259">
        <v>2872014</v>
      </c>
      <c r="B102" s="259">
        <v>287</v>
      </c>
      <c r="C102" s="259" t="s">
        <v>326</v>
      </c>
      <c r="D102" s="259" t="s">
        <v>358</v>
      </c>
      <c r="E102" s="260">
        <v>1</v>
      </c>
      <c r="F102" s="260">
        <v>326.61049800000001</v>
      </c>
      <c r="G102" s="259">
        <v>327</v>
      </c>
      <c r="H102" s="259">
        <v>540.70001220703125</v>
      </c>
      <c r="I102" s="261">
        <v>541</v>
      </c>
      <c r="J102" s="261">
        <v>1.6554887294769287</v>
      </c>
      <c r="K102" s="263"/>
      <c r="L102" s="264">
        <v>1.1138592958450317</v>
      </c>
    </row>
    <row r="103" spans="1:12" x14ac:dyDescent="0.2">
      <c r="A103" s="259">
        <v>3072013</v>
      </c>
      <c r="B103" s="259">
        <v>307</v>
      </c>
      <c r="C103" s="259" t="s">
        <v>324</v>
      </c>
      <c r="D103" s="259" t="s">
        <v>359</v>
      </c>
      <c r="E103" s="260">
        <v>1</v>
      </c>
      <c r="F103" s="260">
        <v>694.77090499999997</v>
      </c>
      <c r="G103" s="259">
        <v>575</v>
      </c>
      <c r="H103" s="259">
        <v>254</v>
      </c>
      <c r="I103" s="261">
        <v>254</v>
      </c>
      <c r="J103" s="261"/>
      <c r="K103" s="263">
        <v>0.44173914194107056</v>
      </c>
      <c r="L103" s="264"/>
    </row>
    <row r="104" spans="1:12" x14ac:dyDescent="0.2">
      <c r="A104" s="259">
        <v>3072014</v>
      </c>
      <c r="B104" s="259">
        <v>307</v>
      </c>
      <c r="C104" s="259" t="s">
        <v>326</v>
      </c>
      <c r="D104" s="259" t="s">
        <v>359</v>
      </c>
      <c r="E104" s="260">
        <v>1</v>
      </c>
      <c r="F104" s="260">
        <v>507.83059100000003</v>
      </c>
      <c r="G104" s="259">
        <v>508</v>
      </c>
      <c r="H104" s="259">
        <v>254</v>
      </c>
      <c r="I104" s="261">
        <v>254</v>
      </c>
      <c r="J104" s="261">
        <v>0.50016677379608154</v>
      </c>
      <c r="K104" s="263"/>
      <c r="L104" s="264">
        <v>1.1322672367095947</v>
      </c>
    </row>
    <row r="105" spans="1:12" x14ac:dyDescent="0.2">
      <c r="A105" s="259">
        <v>3432013</v>
      </c>
      <c r="B105" s="259">
        <v>343</v>
      </c>
      <c r="C105" s="259" t="s">
        <v>324</v>
      </c>
      <c r="D105" s="259" t="s">
        <v>360</v>
      </c>
      <c r="E105" s="260">
        <v>1</v>
      </c>
      <c r="F105" s="260">
        <v>5131.4691426479494</v>
      </c>
      <c r="G105" s="259">
        <v>5568</v>
      </c>
      <c r="H105" s="259">
        <v>4713</v>
      </c>
      <c r="I105" s="261">
        <v>4217</v>
      </c>
      <c r="J105" s="261"/>
      <c r="K105" s="263">
        <v>0.75736349821090698</v>
      </c>
      <c r="L105" s="264"/>
    </row>
    <row r="106" spans="1:12" x14ac:dyDescent="0.2">
      <c r="A106" s="259">
        <v>3432014</v>
      </c>
      <c r="B106" s="259">
        <v>343</v>
      </c>
      <c r="C106" s="259" t="s">
        <v>326</v>
      </c>
      <c r="D106" s="259" t="s">
        <v>360</v>
      </c>
      <c r="E106" s="260">
        <v>1</v>
      </c>
      <c r="F106" s="260">
        <v>5382.4466455976562</v>
      </c>
      <c r="G106" s="259">
        <v>5382</v>
      </c>
      <c r="H106" s="259">
        <v>4713</v>
      </c>
      <c r="I106" s="261">
        <v>4713</v>
      </c>
      <c r="J106" s="261">
        <v>0.87562412023544312</v>
      </c>
      <c r="K106" s="263"/>
      <c r="L106" s="264">
        <v>1.1561477184295654</v>
      </c>
    </row>
    <row r="107" spans="1:12" x14ac:dyDescent="0.2">
      <c r="A107" s="259">
        <v>3492013</v>
      </c>
      <c r="B107" s="259">
        <v>349</v>
      </c>
      <c r="C107" s="259" t="s">
        <v>324</v>
      </c>
      <c r="D107" s="259" t="s">
        <v>361</v>
      </c>
      <c r="E107" s="260">
        <v>1</v>
      </c>
      <c r="F107" s="260">
        <v>1184.6509311003419</v>
      </c>
      <c r="G107" s="259">
        <v>1300</v>
      </c>
      <c r="H107" s="259">
        <v>2537</v>
      </c>
      <c r="I107" s="261">
        <v>2537</v>
      </c>
      <c r="J107" s="261"/>
      <c r="K107" s="263">
        <v>1.9515384435653687</v>
      </c>
      <c r="L107" s="264"/>
    </row>
    <row r="108" spans="1:12" x14ac:dyDescent="0.2">
      <c r="A108" s="259">
        <v>3492014</v>
      </c>
      <c r="B108" s="259">
        <v>349</v>
      </c>
      <c r="C108" s="259" t="s">
        <v>326</v>
      </c>
      <c r="D108" s="259" t="s">
        <v>361</v>
      </c>
      <c r="E108" s="260">
        <v>1</v>
      </c>
      <c r="F108" s="260">
        <v>1119.691211602295</v>
      </c>
      <c r="G108" s="259">
        <v>1120</v>
      </c>
      <c r="H108" s="259">
        <v>2537</v>
      </c>
      <c r="I108" s="261">
        <v>2537</v>
      </c>
      <c r="J108" s="261">
        <v>2.265803337097168</v>
      </c>
      <c r="K108" s="263"/>
      <c r="L108" s="264">
        <v>1.1610344648361206</v>
      </c>
    </row>
    <row r="109" spans="1:12" x14ac:dyDescent="0.2">
      <c r="A109" s="259">
        <v>4472013</v>
      </c>
      <c r="B109" s="259">
        <v>447</v>
      </c>
      <c r="C109" s="259" t="s">
        <v>324</v>
      </c>
      <c r="D109" s="259" t="s">
        <v>362</v>
      </c>
      <c r="E109" s="260">
        <v>1</v>
      </c>
      <c r="F109" s="260">
        <v>5567.7707714738772</v>
      </c>
      <c r="G109" s="259">
        <v>4845</v>
      </c>
      <c r="H109" s="259">
        <v>3669</v>
      </c>
      <c r="I109" s="261">
        <v>3412</v>
      </c>
      <c r="J109" s="261"/>
      <c r="K109" s="263">
        <v>0.7042311429977417</v>
      </c>
      <c r="L109" s="264"/>
    </row>
    <row r="110" spans="1:12" x14ac:dyDescent="0.2">
      <c r="A110" s="259">
        <v>4472014</v>
      </c>
      <c r="B110" s="259">
        <v>447</v>
      </c>
      <c r="C110" s="259" t="s">
        <v>326</v>
      </c>
      <c r="D110" s="259" t="s">
        <v>362</v>
      </c>
      <c r="E110" s="260">
        <v>1</v>
      </c>
      <c r="F110" s="260">
        <v>5528.8186232996832</v>
      </c>
      <c r="G110" s="259">
        <v>5529</v>
      </c>
      <c r="H110" s="259">
        <v>3668</v>
      </c>
      <c r="I110" s="261">
        <v>3668</v>
      </c>
      <c r="J110" s="261">
        <v>0.66343289613723755</v>
      </c>
      <c r="K110" s="263"/>
      <c r="L110" s="264">
        <v>0.94206696748733521</v>
      </c>
    </row>
    <row r="111" spans="1:12" x14ac:dyDescent="0.2">
      <c r="A111" s="259">
        <v>4842013</v>
      </c>
      <c r="B111" s="259">
        <v>484</v>
      </c>
      <c r="C111" s="259" t="s">
        <v>324</v>
      </c>
      <c r="D111" s="259" t="s">
        <v>363</v>
      </c>
      <c r="E111" s="260">
        <v>1</v>
      </c>
      <c r="F111" s="260">
        <v>11577.849266866211</v>
      </c>
      <c r="G111" s="259">
        <v>11385</v>
      </c>
      <c r="H111" s="259">
        <v>4358</v>
      </c>
      <c r="I111" s="261">
        <v>4834</v>
      </c>
      <c r="J111" s="261"/>
      <c r="K111" s="263">
        <v>0.42459377646446228</v>
      </c>
      <c r="L111" s="264"/>
    </row>
    <row r="112" spans="1:12" x14ac:dyDescent="0.2">
      <c r="A112" s="259">
        <v>4842014</v>
      </c>
      <c r="B112" s="259">
        <v>484</v>
      </c>
      <c r="C112" s="259" t="s">
        <v>326</v>
      </c>
      <c r="D112" s="259" t="s">
        <v>363</v>
      </c>
      <c r="E112" s="260">
        <v>1</v>
      </c>
      <c r="F112" s="260">
        <v>7510.0510855410157</v>
      </c>
      <c r="G112" s="259">
        <v>7510</v>
      </c>
      <c r="H112" s="259">
        <v>4358</v>
      </c>
      <c r="I112" s="261">
        <v>4358</v>
      </c>
      <c r="J112" s="261">
        <v>0.58028900623321533</v>
      </c>
      <c r="K112" s="263"/>
      <c r="L112" s="264">
        <v>1.3666921854019165</v>
      </c>
    </row>
    <row r="113" spans="1:12" x14ac:dyDescent="0.2">
      <c r="A113" s="259">
        <v>5122013</v>
      </c>
      <c r="B113" s="259">
        <v>512</v>
      </c>
      <c r="C113" s="259" t="s">
        <v>324</v>
      </c>
      <c r="D113" s="259" t="s">
        <v>331</v>
      </c>
      <c r="E113" s="260">
        <v>1</v>
      </c>
      <c r="F113" s="260">
        <v>1464.1930870000001</v>
      </c>
      <c r="G113" s="259">
        <v>1256</v>
      </c>
      <c r="H113" s="259">
        <v>3043</v>
      </c>
      <c r="I113" s="261">
        <v>3780</v>
      </c>
      <c r="J113" s="261"/>
      <c r="K113" s="263">
        <v>3.0095541477203369</v>
      </c>
      <c r="L113" s="264"/>
    </row>
    <row r="114" spans="1:12" x14ac:dyDescent="0.2">
      <c r="A114" s="259">
        <v>5122014</v>
      </c>
      <c r="B114" s="259">
        <v>512</v>
      </c>
      <c r="C114" s="259" t="s">
        <v>326</v>
      </c>
      <c r="D114" s="259" t="s">
        <v>331</v>
      </c>
      <c r="E114" s="260">
        <v>1</v>
      </c>
      <c r="F114" s="260">
        <v>1580.7444110000001</v>
      </c>
      <c r="G114" s="259">
        <v>1581</v>
      </c>
      <c r="H114" s="259">
        <v>5107</v>
      </c>
      <c r="I114" s="261">
        <v>5107</v>
      </c>
      <c r="J114" s="261">
        <v>3.2307562828063965</v>
      </c>
      <c r="K114" s="263"/>
      <c r="L114" s="264">
        <v>1.0734999179840088</v>
      </c>
    </row>
    <row r="115" spans="1:12" x14ac:dyDescent="0.2">
      <c r="A115" s="259">
        <v>6592013</v>
      </c>
      <c r="B115" s="259">
        <v>659</v>
      </c>
      <c r="C115" s="259" t="s">
        <v>324</v>
      </c>
      <c r="D115" s="259" t="s">
        <v>364</v>
      </c>
      <c r="E115" s="260">
        <v>1</v>
      </c>
      <c r="F115" s="260">
        <v>2545.220674453064</v>
      </c>
      <c r="G115" s="259">
        <v>2764</v>
      </c>
      <c r="H115" s="259">
        <v>1842</v>
      </c>
      <c r="I115" s="261">
        <v>1842</v>
      </c>
      <c r="J115" s="261"/>
      <c r="K115" s="263">
        <v>0.66642546653747559</v>
      </c>
      <c r="L115" s="264"/>
    </row>
    <row r="116" spans="1:12" x14ac:dyDescent="0.2">
      <c r="A116" s="259">
        <v>6592014</v>
      </c>
      <c r="B116" s="259">
        <v>659</v>
      </c>
      <c r="C116" s="259" t="s">
        <v>326</v>
      </c>
      <c r="D116" s="259" t="s">
        <v>364</v>
      </c>
      <c r="E116" s="260">
        <v>1</v>
      </c>
      <c r="F116" s="260">
        <v>2638.5625642432251</v>
      </c>
      <c r="G116" s="259">
        <v>2639</v>
      </c>
      <c r="H116" s="259">
        <v>1842</v>
      </c>
      <c r="I116" s="261">
        <v>1842</v>
      </c>
      <c r="J116" s="261">
        <v>0.69810736179351807</v>
      </c>
      <c r="K116" s="263"/>
      <c r="L116" s="264">
        <v>1.0475400686264038</v>
      </c>
    </row>
    <row r="117" spans="1:12" x14ac:dyDescent="0.2">
      <c r="A117" s="259">
        <v>6862013</v>
      </c>
      <c r="B117" s="259">
        <v>686</v>
      </c>
      <c r="C117" s="259" t="s">
        <v>324</v>
      </c>
      <c r="D117" s="259" t="s">
        <v>332</v>
      </c>
      <c r="E117" s="260">
        <v>1</v>
      </c>
      <c r="F117" s="260">
        <v>1570.6916650000001</v>
      </c>
      <c r="G117" s="259">
        <v>998</v>
      </c>
      <c r="H117" s="259">
        <v>2082</v>
      </c>
      <c r="I117" s="261">
        <v>2082</v>
      </c>
      <c r="J117" s="261"/>
      <c r="K117" s="263">
        <v>2.086172342300415</v>
      </c>
      <c r="L117" s="264"/>
    </row>
    <row r="118" spans="1:12" x14ac:dyDescent="0.2">
      <c r="A118" s="259">
        <v>6862014</v>
      </c>
      <c r="B118" s="259">
        <v>686</v>
      </c>
      <c r="C118" s="259" t="s">
        <v>326</v>
      </c>
      <c r="D118" s="259" t="s">
        <v>332</v>
      </c>
      <c r="E118" s="260">
        <v>1</v>
      </c>
      <c r="F118" s="260">
        <v>2629.5538980000001</v>
      </c>
      <c r="G118" s="259">
        <v>2630</v>
      </c>
      <c r="H118" s="259">
        <v>2082</v>
      </c>
      <c r="I118" s="261">
        <v>2082</v>
      </c>
      <c r="J118" s="261">
        <v>0.79176926612854004</v>
      </c>
      <c r="K118" s="263"/>
      <c r="L118" s="264">
        <v>0.37953203916549683</v>
      </c>
    </row>
    <row r="119" spans="1:12" x14ac:dyDescent="0.2">
      <c r="A119" s="259">
        <v>7432013</v>
      </c>
      <c r="B119" s="259">
        <v>743</v>
      </c>
      <c r="C119" s="259" t="s">
        <v>324</v>
      </c>
      <c r="D119" s="259" t="s">
        <v>333</v>
      </c>
      <c r="E119" s="260">
        <v>1</v>
      </c>
      <c r="F119" s="260">
        <v>7956.7639819033202</v>
      </c>
      <c r="G119" s="259">
        <v>9775</v>
      </c>
      <c r="H119" s="259">
        <v>3354.800048828125</v>
      </c>
      <c r="I119" s="261">
        <v>3355</v>
      </c>
      <c r="J119" s="261"/>
      <c r="K119" s="263">
        <v>0.34322249889373779</v>
      </c>
      <c r="L119" s="264"/>
    </row>
    <row r="120" spans="1:12" x14ac:dyDescent="0.2">
      <c r="A120" s="259">
        <v>7432014</v>
      </c>
      <c r="B120" s="259">
        <v>743</v>
      </c>
      <c r="C120" s="259" t="s">
        <v>326</v>
      </c>
      <c r="D120" s="259" t="s">
        <v>333</v>
      </c>
      <c r="E120" s="260">
        <v>1</v>
      </c>
      <c r="F120" s="260">
        <v>14222.354898525879</v>
      </c>
      <c r="G120" s="259">
        <v>14222</v>
      </c>
      <c r="H120" s="259">
        <v>3354.800048828125</v>
      </c>
      <c r="I120" s="261">
        <v>3355</v>
      </c>
      <c r="J120" s="261">
        <v>0.23588217794895172</v>
      </c>
      <c r="K120" s="263"/>
      <c r="L120" s="264">
        <v>0.68725734949111938</v>
      </c>
    </row>
    <row r="121" spans="1:12" x14ac:dyDescent="0.2">
      <c r="I121" s="142"/>
      <c r="J121" s="142"/>
    </row>
    <row r="122" spans="1:12" x14ac:dyDescent="0.2">
      <c r="I122" s="142"/>
      <c r="J122" s="142"/>
    </row>
    <row r="123" spans="1:12" x14ac:dyDescent="0.2">
      <c r="I123" s="142"/>
      <c r="J123" s="142"/>
    </row>
    <row r="124" spans="1:12" x14ac:dyDescent="0.2">
      <c r="I124" s="142"/>
      <c r="J124" s="142"/>
    </row>
    <row r="125" spans="1:12" x14ac:dyDescent="0.2">
      <c r="I125" s="142"/>
      <c r="J125" s="142"/>
    </row>
    <row r="126" spans="1:12" x14ac:dyDescent="0.2">
      <c r="I126" s="142"/>
      <c r="J126" s="142"/>
    </row>
    <row r="127" spans="1:12" x14ac:dyDescent="0.2">
      <c r="I127" s="142"/>
      <c r="J127" s="142"/>
    </row>
    <row r="128" spans="1:12" x14ac:dyDescent="0.2">
      <c r="I128" s="142"/>
      <c r="J128" s="142"/>
    </row>
    <row r="129" spans="9:10" x14ac:dyDescent="0.2">
      <c r="I129" s="142"/>
      <c r="J129" s="142"/>
    </row>
    <row r="130" spans="9:10" x14ac:dyDescent="0.2">
      <c r="I130" s="142"/>
      <c r="J130" s="142"/>
    </row>
    <row r="131" spans="9:10" x14ac:dyDescent="0.2">
      <c r="I131" s="142"/>
      <c r="J131" s="142"/>
    </row>
    <row r="132" spans="9:10" x14ac:dyDescent="0.2">
      <c r="I132" s="142"/>
      <c r="J132" s="142"/>
    </row>
    <row r="133" spans="9:10" x14ac:dyDescent="0.2">
      <c r="I133" s="142"/>
      <c r="J133" s="142"/>
    </row>
    <row r="134" spans="9:10" x14ac:dyDescent="0.2">
      <c r="I134" s="142"/>
      <c r="J134" s="142"/>
    </row>
    <row r="135" spans="9:10" x14ac:dyDescent="0.2">
      <c r="I135" s="142"/>
      <c r="J135" s="142"/>
    </row>
    <row r="136" spans="9:10" x14ac:dyDescent="0.2">
      <c r="I136" s="142"/>
      <c r="J136" s="142"/>
    </row>
    <row r="137" spans="9:10" x14ac:dyDescent="0.2">
      <c r="I137" s="142"/>
      <c r="J137" s="142"/>
    </row>
    <row r="138" spans="9:10" x14ac:dyDescent="0.2">
      <c r="I138" s="142"/>
      <c r="J138" s="142"/>
    </row>
    <row r="139" spans="9:10" x14ac:dyDescent="0.2">
      <c r="I139" s="142"/>
      <c r="J139" s="142"/>
    </row>
    <row r="140" spans="9:10" x14ac:dyDescent="0.2">
      <c r="I140" s="142"/>
      <c r="J140" s="142"/>
    </row>
    <row r="141" spans="9:10" x14ac:dyDescent="0.2">
      <c r="I141" s="142"/>
      <c r="J141" s="142"/>
    </row>
    <row r="142" spans="9:10" x14ac:dyDescent="0.2">
      <c r="I142" s="142"/>
      <c r="J142" s="142"/>
    </row>
    <row r="143" spans="9:10" x14ac:dyDescent="0.2">
      <c r="I143" s="142"/>
      <c r="J143" s="142"/>
    </row>
    <row r="144" spans="9:10" x14ac:dyDescent="0.2">
      <c r="I144" s="142"/>
      <c r="J144" s="142"/>
    </row>
    <row r="145" spans="9:10" x14ac:dyDescent="0.2">
      <c r="I145" s="142"/>
      <c r="J145" s="142"/>
    </row>
    <row r="146" spans="9:10" x14ac:dyDescent="0.2">
      <c r="I146" s="142"/>
      <c r="J146" s="142"/>
    </row>
    <row r="147" spans="9:10" x14ac:dyDescent="0.2">
      <c r="I147" s="142"/>
      <c r="J147" s="142"/>
    </row>
    <row r="148" spans="9:10" x14ac:dyDescent="0.2">
      <c r="I148" s="142"/>
      <c r="J148" s="142"/>
    </row>
    <row r="149" spans="9:10" x14ac:dyDescent="0.2">
      <c r="I149" s="142"/>
      <c r="J149" s="142"/>
    </row>
    <row r="150" spans="9:10" x14ac:dyDescent="0.2">
      <c r="I150" s="142"/>
      <c r="J150" s="142"/>
    </row>
    <row r="151" spans="9:10" x14ac:dyDescent="0.2">
      <c r="I151" s="142"/>
      <c r="J151" s="142"/>
    </row>
    <row r="152" spans="9:10" x14ac:dyDescent="0.2">
      <c r="I152" s="142"/>
      <c r="J152" s="142"/>
    </row>
    <row r="153" spans="9:10" x14ac:dyDescent="0.2">
      <c r="I153" s="142"/>
      <c r="J153" s="142"/>
    </row>
  </sheetData>
  <phoneticPr fontId="15" type="noConversion"/>
  <pageMargins left="0.78740157499999996" right="0.78740157499999996" top="0.984251969" bottom="0.984251969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Informasjon</vt:lpstr>
      <vt:lpstr>Forutsetninger</vt:lpstr>
      <vt:lpstr>Inntektsramme 2016</vt:lpstr>
      <vt:lpstr>Kostnadsgrunnlag 2014</vt:lpstr>
      <vt:lpstr>IRData</vt:lpstr>
      <vt:lpstr>DEAnorm D-nett</vt:lpstr>
      <vt:lpstr>DEAnorm R-nett</vt:lpstr>
      <vt:lpstr>D-Alt</vt:lpstr>
      <vt:lpstr>R-Alt</vt:lpstr>
      <vt:lpstr>IR2016prnettnivå</vt:lpstr>
      <vt:lpstr>mindreavkastning</vt:lpstr>
    </vt:vector>
  </TitlesOfParts>
  <Company>Norges vassdrags- og energidirektorat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Martin Neurauter</dc:creator>
  <cp:lastModifiedBy>Heien Mona Helen</cp:lastModifiedBy>
  <cp:lastPrinted>2009-11-26T10:14:01Z</cp:lastPrinted>
  <dcterms:created xsi:type="dcterms:W3CDTF">2006-11-23T07:57:36Z</dcterms:created>
  <dcterms:modified xsi:type="dcterms:W3CDTF">2019-02-05T14:30:10Z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1259268877</vt:i4>
  </property>
  <property fmtid="{D5CDD505-2E9C-101B-9397-08002B2CF9AE}" pid="3" name="_EmailSubject">
    <vt:lpwstr>Beregning av IR</vt:lpwstr>
  </property>
  <property fmtid="{D5CDD505-2E9C-101B-9397-08002B2CF9AE}" pid="4" name="_AuthorEmail">
    <vt:lpwstr>tmn@nve.no</vt:lpwstr>
  </property>
  <property fmtid="{D5CDD505-2E9C-101B-9397-08002B2CF9AE}" pid="5" name="_AuthorEmailDisplayName">
    <vt:lpwstr>Neurauter Thor Martin</vt:lpwstr>
  </property>
  <property fmtid="{D5CDD505-2E9C-101B-9397-08002B2CF9AE}" pid="6" name="_PreviousAdHocReviewCycleID">
    <vt:i4>-2016597848</vt:i4>
  </property>
  <property fmtid="{D5CDD505-2E9C-101B-9397-08002B2CF9AE}" pid="7" name="_ReviewingToolsShownOnce">
    <vt:lpwstr/>
  </property>
</Properties>
</file>