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nve.no\fil\rme-ø\Inntektsrammer 2017\Klager 2017\Til publisering\"/>
    </mc:Choice>
  </mc:AlternateContent>
  <bookViews>
    <workbookView xWindow="-75" yWindow="-75" windowWidth="24600" windowHeight="12075" tabRatio="673"/>
  </bookViews>
  <sheets>
    <sheet name="Informasjon" sheetId="3" r:id="rId1"/>
    <sheet name="Forutsetninger" sheetId="2" r:id="rId2"/>
    <sheet name="Inntektsramme 2017" sheetId="1" r:id="rId3"/>
    <sheet name="Kostnadsgrunnlag 2015" sheetId="9" r:id="rId4"/>
    <sheet name="IRData" sheetId="8" r:id="rId5"/>
    <sheet name="DEAnorm D-nett" sheetId="5" r:id="rId6"/>
    <sheet name="DEAnorm R-nett" sheetId="4" r:id="rId7"/>
    <sheet name="IR2017 per nettnivå" sheetId="10" r:id="rId8"/>
  </sheets>
  <definedNames>
    <definedName name="_xlnm._FilterDatabase" localSheetId="5" hidden="1">'DEAnorm D-nett'!$A$3:$I$130</definedName>
    <definedName name="_xlnm._FilterDatabase" localSheetId="6" hidden="1">'DEAnorm R-nett'!$A$3:$I$85</definedName>
    <definedName name="_xlnm._FilterDatabase" localSheetId="2" hidden="1">'Inntektsramme 2017'!$A$2:$AG$143</definedName>
    <definedName name="_xlnm._FilterDatabase" localSheetId="4" hidden="1">IRData!$A$2:$AN$142</definedName>
    <definedName name="_xlnm._FilterDatabase" localSheetId="3" hidden="1">'Kostnadsgrunnlag 2015'!$A$2:$L$2</definedName>
    <definedName name="qryDRkorrNULLpr13_17">#REF!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X143" i="1" l="1"/>
  <c r="L4" i="9" l="1"/>
  <c r="L5" i="9"/>
  <c r="L6" i="9"/>
  <c r="L7" i="9"/>
  <c r="L143" i="9" s="1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3" i="9"/>
  <c r="D143" i="9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3" i="8"/>
  <c r="AM4" i="8"/>
  <c r="AM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49" i="8"/>
  <c r="AM50" i="8"/>
  <c r="AM51" i="8"/>
  <c r="AM52" i="8"/>
  <c r="AM53" i="8"/>
  <c r="AM54" i="8"/>
  <c r="AM55" i="8"/>
  <c r="AM56" i="8"/>
  <c r="AM57" i="8"/>
  <c r="AM58" i="8"/>
  <c r="AM59" i="8"/>
  <c r="AM60" i="8"/>
  <c r="AM61" i="8"/>
  <c r="AM62" i="8"/>
  <c r="AM63" i="8"/>
  <c r="AM64" i="8"/>
  <c r="AM65" i="8"/>
  <c r="AM66" i="8"/>
  <c r="AM67" i="8"/>
  <c r="AM68" i="8"/>
  <c r="AM69" i="8"/>
  <c r="AM70" i="8"/>
  <c r="AM71" i="8"/>
  <c r="AM72" i="8"/>
  <c r="AM73" i="8"/>
  <c r="AM74" i="8"/>
  <c r="AM75" i="8"/>
  <c r="AM76" i="8"/>
  <c r="AM77" i="8"/>
  <c r="AM78" i="8"/>
  <c r="AM79" i="8"/>
  <c r="AM80" i="8"/>
  <c r="AM81" i="8"/>
  <c r="AM82" i="8"/>
  <c r="AM83" i="8"/>
  <c r="AM84" i="8"/>
  <c r="AM85" i="8"/>
  <c r="AM86" i="8"/>
  <c r="AM87" i="8"/>
  <c r="AM88" i="8"/>
  <c r="AM89" i="8"/>
  <c r="AM90" i="8"/>
  <c r="AM91" i="8"/>
  <c r="AM92" i="8"/>
  <c r="AM93" i="8"/>
  <c r="AM94" i="8"/>
  <c r="AM95" i="8"/>
  <c r="AM96" i="8"/>
  <c r="AM97" i="8"/>
  <c r="AM98" i="8"/>
  <c r="AM99" i="8"/>
  <c r="AM100" i="8"/>
  <c r="AM101" i="8"/>
  <c r="AM102" i="8"/>
  <c r="AM103" i="8"/>
  <c r="AM104" i="8"/>
  <c r="AM105" i="8"/>
  <c r="AM106" i="8"/>
  <c r="AM107" i="8"/>
  <c r="AM108" i="8"/>
  <c r="AM109" i="8"/>
  <c r="AM110" i="8"/>
  <c r="AM111" i="8"/>
  <c r="AM112" i="8"/>
  <c r="AM113" i="8"/>
  <c r="AM114" i="8"/>
  <c r="AM115" i="8"/>
  <c r="AM116" i="8"/>
  <c r="AM117" i="8"/>
  <c r="AM118" i="8"/>
  <c r="AM119" i="8"/>
  <c r="AM120" i="8"/>
  <c r="AM121" i="8"/>
  <c r="AM122" i="8"/>
  <c r="AM123" i="8"/>
  <c r="AM124" i="8"/>
  <c r="AM125" i="8"/>
  <c r="AM126" i="8"/>
  <c r="AM127" i="8"/>
  <c r="AM128" i="8"/>
  <c r="AM129" i="8"/>
  <c r="AM130" i="8"/>
  <c r="AM131" i="8"/>
  <c r="AM132" i="8"/>
  <c r="AM133" i="8"/>
  <c r="AM134" i="8"/>
  <c r="AM135" i="8"/>
  <c r="AM136" i="8"/>
  <c r="AM137" i="8"/>
  <c r="AM138" i="8"/>
  <c r="AM139" i="8"/>
  <c r="AM140" i="8"/>
  <c r="AM141" i="8"/>
  <c r="AM142" i="8"/>
  <c r="AM145" i="8"/>
  <c r="AM3" i="8"/>
  <c r="AN120" i="8" l="1"/>
  <c r="Y144" i="8"/>
  <c r="Z144" i="8"/>
  <c r="AA144" i="8"/>
  <c r="AB144" i="8"/>
  <c r="AC144" i="8"/>
  <c r="AD144" i="8"/>
  <c r="AE144" i="8"/>
  <c r="AF144" i="8"/>
  <c r="AG144" i="8"/>
  <c r="AH144" i="8"/>
  <c r="AI144" i="8"/>
  <c r="AJ144" i="8"/>
  <c r="AK144" i="8"/>
  <c r="AL144" i="8"/>
  <c r="AN144" i="8"/>
  <c r="X144" i="8"/>
  <c r="AM144" i="8" s="1"/>
  <c r="E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Z143" i="8"/>
  <c r="AA143" i="8"/>
  <c r="AB143" i="8"/>
  <c r="AC143" i="8"/>
  <c r="AD143" i="8"/>
  <c r="AM143" i="8" l="1"/>
  <c r="C81" i="1"/>
  <c r="C9" i="1"/>
  <c r="C37" i="1"/>
  <c r="C38" i="1"/>
  <c r="C40" i="1"/>
  <c r="C43" i="1"/>
  <c r="C58" i="1"/>
  <c r="C115" i="1"/>
  <c r="C24" i="1"/>
  <c r="C39" i="1"/>
  <c r="C44" i="1"/>
  <c r="C22" i="1"/>
  <c r="C95" i="1"/>
  <c r="C18" i="1"/>
  <c r="C41" i="1"/>
  <c r="C19" i="1"/>
  <c r="C124" i="1"/>
  <c r="C111" i="1"/>
  <c r="C97" i="1"/>
  <c r="C8" i="1"/>
  <c r="C130" i="1"/>
  <c r="C55" i="1"/>
  <c r="C16" i="1"/>
  <c r="C104" i="1"/>
  <c r="C77" i="1"/>
  <c r="C42" i="1"/>
  <c r="C31" i="1"/>
  <c r="C12" i="1"/>
  <c r="C101" i="1"/>
  <c r="C47" i="1"/>
  <c r="C54" i="1"/>
  <c r="C63" i="1"/>
  <c r="C90" i="1"/>
  <c r="C133" i="1"/>
  <c r="C23" i="1"/>
  <c r="C103" i="1"/>
  <c r="C72" i="1"/>
  <c r="C33" i="1"/>
  <c r="C59" i="1"/>
  <c r="C67" i="1"/>
  <c r="C137" i="1"/>
  <c r="C121" i="1"/>
  <c r="C48" i="1"/>
  <c r="C126" i="1"/>
  <c r="C138" i="1"/>
  <c r="C53" i="1"/>
  <c r="C89" i="1"/>
  <c r="C75" i="1"/>
  <c r="C78" i="1"/>
  <c r="C73" i="1"/>
  <c r="C36" i="1"/>
  <c r="C96" i="1"/>
  <c r="C28" i="1"/>
  <c r="C70" i="1"/>
  <c r="C119" i="1"/>
  <c r="C52" i="1"/>
  <c r="C99" i="1"/>
  <c r="C32" i="1"/>
  <c r="C100" i="1"/>
  <c r="C26" i="1"/>
  <c r="C51" i="1"/>
  <c r="C11" i="1"/>
  <c r="C62" i="1"/>
  <c r="C85" i="1"/>
  <c r="C21" i="1"/>
  <c r="C127" i="1"/>
  <c r="C25" i="1"/>
  <c r="C27" i="1"/>
  <c r="C102" i="1"/>
  <c r="C140" i="1"/>
  <c r="C30" i="1"/>
  <c r="C82" i="1"/>
  <c r="C118" i="1"/>
  <c r="C74" i="1"/>
  <c r="C88" i="1"/>
  <c r="C91" i="1"/>
  <c r="C49" i="1"/>
  <c r="C57" i="1"/>
  <c r="C107" i="1"/>
  <c r="C86" i="1"/>
  <c r="C71" i="1"/>
  <c r="C142" i="1"/>
  <c r="C117" i="1"/>
  <c r="C110" i="1"/>
  <c r="C98" i="1"/>
  <c r="C65" i="1"/>
  <c r="C139" i="1"/>
  <c r="C105" i="1"/>
  <c r="C106" i="1"/>
  <c r="C45" i="1"/>
  <c r="C80" i="1"/>
  <c r="C131" i="1"/>
  <c r="C60" i="1"/>
  <c r="C15" i="1"/>
  <c r="C56" i="1"/>
  <c r="C79" i="1"/>
  <c r="C136" i="1"/>
  <c r="C116" i="1"/>
  <c r="C87" i="1"/>
  <c r="C132" i="1"/>
  <c r="C50" i="1"/>
  <c r="C17" i="1"/>
  <c r="C108" i="1"/>
  <c r="C76" i="1"/>
  <c r="C14" i="1"/>
  <c r="C129" i="1"/>
  <c r="C141" i="1"/>
  <c r="C20" i="1"/>
  <c r="C134" i="1"/>
  <c r="C69" i="1"/>
  <c r="C93" i="1"/>
  <c r="C6" i="1"/>
  <c r="C113" i="1"/>
  <c r="C94" i="1"/>
  <c r="C122" i="1"/>
  <c r="C46" i="1"/>
  <c r="C35" i="1"/>
  <c r="C114" i="1"/>
  <c r="C66" i="1"/>
  <c r="C120" i="1"/>
  <c r="C7" i="1"/>
  <c r="C112" i="1"/>
  <c r="C123" i="1"/>
  <c r="C13" i="1"/>
  <c r="C64" i="1"/>
  <c r="C92" i="1"/>
  <c r="C109" i="1"/>
  <c r="C10" i="1"/>
  <c r="C61" i="1"/>
  <c r="C34" i="1"/>
  <c r="C29" i="1"/>
  <c r="C128" i="1"/>
  <c r="C125" i="1"/>
  <c r="C135" i="1"/>
  <c r="C3" i="1"/>
  <c r="C84" i="1"/>
  <c r="C83" i="1"/>
  <c r="C68" i="1"/>
  <c r="AN3" i="8"/>
  <c r="N112" i="1"/>
  <c r="AK126" i="8"/>
  <c r="AF126" i="8"/>
  <c r="C4" i="1"/>
  <c r="C5" i="1" l="1"/>
  <c r="AJ126" i="8"/>
  <c r="AN139" i="8"/>
  <c r="AN4" i="8"/>
  <c r="AN5" i="8"/>
  <c r="AN12" i="8"/>
  <c r="AN6" i="8"/>
  <c r="AN106" i="8"/>
  <c r="AN7" i="8"/>
  <c r="AN8" i="8"/>
  <c r="AN9" i="8"/>
  <c r="AN116" i="8"/>
  <c r="AN88" i="8"/>
  <c r="AN11" i="8"/>
  <c r="AN92" i="8"/>
  <c r="AN108" i="8"/>
  <c r="AN117" i="8"/>
  <c r="AN13" i="8"/>
  <c r="AN50" i="8"/>
  <c r="AN15" i="8"/>
  <c r="AN16" i="8"/>
  <c r="AN17" i="8"/>
  <c r="AN118" i="8"/>
  <c r="AN124" i="8"/>
  <c r="AN18" i="8"/>
  <c r="AN19" i="8"/>
  <c r="AN20" i="8"/>
  <c r="AN142" i="8"/>
  <c r="AN43" i="8"/>
  <c r="AN125" i="8"/>
  <c r="AN98" i="8"/>
  <c r="AN22" i="8"/>
  <c r="AN132" i="8"/>
  <c r="AN94" i="8"/>
  <c r="AN24" i="8"/>
  <c r="AN83" i="8"/>
  <c r="AN112" i="8"/>
  <c r="AN25" i="8"/>
  <c r="AN102" i="8"/>
  <c r="AN140" i="8"/>
  <c r="AN65" i="8"/>
  <c r="AN27" i="8"/>
  <c r="AN97" i="8"/>
  <c r="AN60" i="8"/>
  <c r="AN28" i="8"/>
  <c r="AN107" i="8"/>
  <c r="AN14" i="8"/>
  <c r="AN29" i="8"/>
  <c r="AN30" i="8"/>
  <c r="AN31" i="8"/>
  <c r="AN96" i="8"/>
  <c r="AN32" i="8"/>
  <c r="AN33" i="8"/>
  <c r="AN34" i="8"/>
  <c r="AN58" i="8"/>
  <c r="AN35" i="8"/>
  <c r="AN36" i="8"/>
  <c r="AN37" i="8"/>
  <c r="AN104" i="8"/>
  <c r="AN38" i="8"/>
  <c r="AN39" i="8"/>
  <c r="AN113" i="8"/>
  <c r="AN114" i="8"/>
  <c r="AN40" i="8"/>
  <c r="AN41" i="8"/>
  <c r="AN42" i="8"/>
  <c r="AN119" i="8"/>
  <c r="AN130" i="8"/>
  <c r="AN138" i="8"/>
  <c r="AN44" i="8"/>
  <c r="AN109" i="8"/>
  <c r="AN128" i="8"/>
  <c r="AN48" i="8"/>
  <c r="AN137" i="8"/>
  <c r="AN101" i="8"/>
  <c r="AN45" i="8"/>
  <c r="AN123" i="8"/>
  <c r="AN47" i="8"/>
  <c r="AN105" i="8"/>
  <c r="AN10" i="8"/>
  <c r="AN103" i="8"/>
  <c r="AN136" i="8"/>
  <c r="AN49" i="8"/>
  <c r="AN51" i="8"/>
  <c r="AN52" i="8"/>
  <c r="AN53" i="8"/>
  <c r="AN54" i="8"/>
  <c r="AN55" i="8"/>
  <c r="AN56" i="8"/>
  <c r="AN57" i="8"/>
  <c r="AN59" i="8"/>
  <c r="AN135" i="8"/>
  <c r="AN61" i="8"/>
  <c r="AN62" i="8"/>
  <c r="AN63" i="8"/>
  <c r="AN64" i="8"/>
  <c r="AN66" i="8"/>
  <c r="AN91" i="8"/>
  <c r="AN67" i="8"/>
  <c r="AN122" i="8"/>
  <c r="AN68" i="8"/>
  <c r="AN74" i="8"/>
  <c r="AN69" i="8"/>
  <c r="AN26" i="8"/>
  <c r="AN70" i="8"/>
  <c r="AN131" i="8"/>
  <c r="AN133" i="8"/>
  <c r="AN141" i="8"/>
  <c r="AN71" i="8"/>
  <c r="AN72" i="8"/>
  <c r="AN73" i="8"/>
  <c r="AN121" i="8"/>
  <c r="AN21" i="8"/>
  <c r="AN93" i="8"/>
  <c r="AN129" i="8"/>
  <c r="AN75" i="8"/>
  <c r="AN76" i="8"/>
  <c r="AN78" i="8"/>
  <c r="AN79" i="8"/>
  <c r="AN23" i="8"/>
  <c r="AN80" i="8"/>
  <c r="AN81" i="8"/>
  <c r="AN111" i="8"/>
  <c r="AN77" i="8"/>
  <c r="AN82" i="8"/>
  <c r="AN95" i="8"/>
  <c r="AN84" i="8"/>
  <c r="AN99" i="8"/>
  <c r="AN85" i="8"/>
  <c r="AN86" i="8"/>
  <c r="AN110" i="8"/>
  <c r="AN87" i="8"/>
  <c r="AN100" i="8"/>
  <c r="AN115" i="8"/>
  <c r="AN127" i="8"/>
  <c r="AN134" i="8"/>
  <c r="AN46" i="8"/>
  <c r="AN89" i="8"/>
  <c r="AN90" i="8"/>
  <c r="AN126" i="8"/>
  <c r="H23" i="10"/>
  <c r="I23" i="10" s="1"/>
  <c r="AB41" i="1" s="1"/>
  <c r="H79" i="10"/>
  <c r="I79" i="10" s="1"/>
  <c r="AB78" i="1" s="1"/>
  <c r="H34" i="10"/>
  <c r="J34" i="10" s="1"/>
  <c r="AC130" i="1" s="1"/>
  <c r="H114" i="10"/>
  <c r="I114" i="10" s="1"/>
  <c r="AB57" i="1" s="1"/>
  <c r="H24" i="10"/>
  <c r="I24" i="10" s="1"/>
  <c r="AB19" i="1" s="1"/>
  <c r="H118" i="10"/>
  <c r="I118" i="10" s="1"/>
  <c r="AB71" i="1" s="1"/>
  <c r="H63" i="10"/>
  <c r="I63" i="10" s="1"/>
  <c r="AB67" i="1" s="1"/>
  <c r="H45" i="10"/>
  <c r="I45" i="10" s="1"/>
  <c r="AB42" i="1" s="1"/>
  <c r="H122" i="10"/>
  <c r="I122" i="10" s="1"/>
  <c r="AB93" i="1" s="1"/>
  <c r="H6" i="10"/>
  <c r="I6" i="10" s="1"/>
  <c r="AB81" i="1" s="1"/>
  <c r="H7" i="10"/>
  <c r="J7" i="10" s="1"/>
  <c r="AC115" i="1" s="1"/>
  <c r="H20" i="10"/>
  <c r="J20" i="10" s="1"/>
  <c r="AC95" i="1" s="1"/>
  <c r="H64" i="10"/>
  <c r="I64" i="10" s="1"/>
  <c r="AB14" i="1" s="1"/>
  <c r="H52" i="10"/>
  <c r="I52" i="10" s="1"/>
  <c r="AB63" i="1" s="1"/>
  <c r="H58" i="10"/>
  <c r="I58" i="10" s="1"/>
  <c r="AB103" i="1" s="1"/>
  <c r="H43" i="10"/>
  <c r="I43" i="10" s="1"/>
  <c r="AB39" i="1" s="1"/>
  <c r="H125" i="10"/>
  <c r="I125" i="10" s="1"/>
  <c r="AB121" i="1" s="1"/>
  <c r="H62" i="10"/>
  <c r="I62" i="10" s="1"/>
  <c r="AB135" i="1" s="1"/>
  <c r="H78" i="10"/>
  <c r="J78" i="10" s="1"/>
  <c r="AC89" i="1" s="1"/>
  <c r="H80" i="10"/>
  <c r="J80" i="10" s="1"/>
  <c r="AC73" i="1" s="1"/>
  <c r="H82" i="10"/>
  <c r="I82" i="10" s="1"/>
  <c r="AB96" i="1" s="1"/>
  <c r="H87" i="10"/>
  <c r="I87" i="10" s="1"/>
  <c r="AB100" i="1" s="1"/>
  <c r="H33" i="10"/>
  <c r="I33" i="10" s="1"/>
  <c r="AB20" i="1" s="1"/>
  <c r="H3" i="10"/>
  <c r="I3" i="10" s="1"/>
  <c r="AB3" i="1" s="1"/>
  <c r="H94" i="10"/>
  <c r="I94" i="10" s="1"/>
  <c r="AB127" i="1" s="1"/>
  <c r="H28" i="10"/>
  <c r="I28" i="10" s="1"/>
  <c r="AB15" i="1" s="1"/>
  <c r="H102" i="10"/>
  <c r="J102" i="10" s="1"/>
  <c r="AC124" i="1" s="1"/>
  <c r="H107" i="10"/>
  <c r="I107" i="10" s="1"/>
  <c r="H108" i="10"/>
  <c r="I108" i="10" s="1"/>
  <c r="AB74" i="1" s="1"/>
  <c r="H39" i="10"/>
  <c r="I39" i="10" s="1"/>
  <c r="AB60" i="1" s="1"/>
  <c r="H38" i="10"/>
  <c r="I38" i="10" s="1"/>
  <c r="AB16" i="1" s="1"/>
  <c r="H110" i="10"/>
  <c r="I110" i="10" s="1"/>
  <c r="AB97" i="1" s="1"/>
  <c r="H13" i="10"/>
  <c r="I13" i="10" s="1"/>
  <c r="AB110" i="1" s="1"/>
  <c r="H123" i="10"/>
  <c r="I123" i="10" s="1"/>
  <c r="AB123" i="1" s="1"/>
  <c r="H103" i="10"/>
  <c r="J103" i="10" s="1"/>
  <c r="AC106" i="1" s="1"/>
  <c r="H40" i="10"/>
  <c r="I40" i="10" s="1"/>
  <c r="AB52" i="1" s="1"/>
  <c r="H55" i="10"/>
  <c r="I55" i="10" s="1"/>
  <c r="AB23" i="1" s="1"/>
  <c r="H54" i="10"/>
  <c r="I54" i="10" s="1"/>
  <c r="AB133" i="1" s="1"/>
  <c r="H18" i="10"/>
  <c r="I18" i="10" s="1"/>
  <c r="AB44" i="1" s="1"/>
  <c r="H93" i="10"/>
  <c r="I93" i="10" s="1"/>
  <c r="AB55" i="1" s="1"/>
  <c r="H41" i="10"/>
  <c r="I41" i="10" s="1"/>
  <c r="AB104" i="1" s="1"/>
  <c r="H72" i="10"/>
  <c r="I72" i="10" s="1"/>
  <c r="AB48" i="1" s="1"/>
  <c r="H84" i="10"/>
  <c r="J84" i="10" s="1"/>
  <c r="AC119" i="1" s="1"/>
  <c r="H11" i="10"/>
  <c r="J11" i="10" s="1"/>
  <c r="AC40" i="1" s="1"/>
  <c r="H117" i="10"/>
  <c r="I117" i="10" s="1"/>
  <c r="AB56" i="1" s="1"/>
  <c r="H90" i="10"/>
  <c r="I90" i="10" s="1"/>
  <c r="AB62" i="1" s="1"/>
  <c r="H50" i="10"/>
  <c r="I50" i="10" s="1"/>
  <c r="AB70" i="1" s="1"/>
  <c r="H121" i="10"/>
  <c r="I121" i="10" s="1"/>
  <c r="AB117" i="1" s="1"/>
  <c r="H67" i="10"/>
  <c r="I67" i="10" s="1"/>
  <c r="AB126" i="1" s="1"/>
  <c r="H86" i="10"/>
  <c r="I86" i="10" s="1"/>
  <c r="AB99" i="1" s="1"/>
  <c r="H9" i="10"/>
  <c r="J9" i="10" s="1"/>
  <c r="AC37" i="1" s="1"/>
  <c r="H69" i="10"/>
  <c r="I69" i="10" s="1"/>
  <c r="AB136" i="1" s="1"/>
  <c r="H97" i="10"/>
  <c r="I97" i="10" s="1"/>
  <c r="H61" i="10"/>
  <c r="I61" i="10" s="1"/>
  <c r="AB92" i="1" s="1"/>
  <c r="H51" i="10"/>
  <c r="I51" i="10" s="1"/>
  <c r="AB54" i="1" s="1"/>
  <c r="H75" i="10"/>
  <c r="I75" i="10" s="1"/>
  <c r="AB87" i="1" s="1"/>
  <c r="H116" i="10"/>
  <c r="I116" i="10" s="1"/>
  <c r="AB86" i="1" s="1"/>
  <c r="H120" i="10"/>
  <c r="I120" i="10" s="1"/>
  <c r="AB129" i="1" s="1"/>
  <c r="H81" i="10"/>
  <c r="J81" i="10" s="1"/>
  <c r="AC36" i="1" s="1"/>
  <c r="H83" i="10"/>
  <c r="I83" i="10" s="1"/>
  <c r="AB28" i="1" s="1"/>
  <c r="H14" i="10"/>
  <c r="I14" i="10" s="1"/>
  <c r="AB58" i="1" s="1"/>
  <c r="H17" i="10"/>
  <c r="I17" i="10" s="1"/>
  <c r="AB24" i="1" s="1"/>
  <c r="H19" i="10"/>
  <c r="I19" i="10" s="1"/>
  <c r="AB22" i="1" s="1"/>
  <c r="H101" i="10"/>
  <c r="I101" i="10" s="1"/>
  <c r="AB35" i="1" s="1"/>
  <c r="H4" i="10"/>
  <c r="I4" i="10" s="1"/>
  <c r="AB4" i="1" s="1"/>
  <c r="H35" i="10"/>
  <c r="I35" i="10" s="1"/>
  <c r="AB116" i="1" s="1"/>
  <c r="H48" i="10"/>
  <c r="J48" i="10" s="1"/>
  <c r="AC101" i="1" s="1"/>
  <c r="H22" i="10"/>
  <c r="J22" i="10" s="1"/>
  <c r="AC18" i="1" s="1"/>
  <c r="H127" i="10"/>
  <c r="I127" i="10" s="1"/>
  <c r="AB65" i="1" s="1"/>
  <c r="H100" i="10"/>
  <c r="I100" i="10" s="1"/>
  <c r="AB102" i="1" s="1"/>
  <c r="H115" i="10"/>
  <c r="I115" i="10" s="1"/>
  <c r="AB80" i="1" s="1"/>
  <c r="H5" i="10"/>
  <c r="I5" i="10" s="1"/>
  <c r="AB5" i="1" s="1"/>
  <c r="H119" i="10"/>
  <c r="I119" i="10" s="1"/>
  <c r="AB142" i="1" s="1"/>
  <c r="H30" i="10"/>
  <c r="I30" i="10" s="1"/>
  <c r="AB45" i="1" s="1"/>
  <c r="H10" i="10"/>
  <c r="J10" i="10" s="1"/>
  <c r="AC38" i="1" s="1"/>
  <c r="H104" i="10"/>
  <c r="I104" i="10" s="1"/>
  <c r="AB64" i="1" s="1"/>
  <c r="H8" i="10"/>
  <c r="I8" i="10" s="1"/>
  <c r="AB17" i="1" s="1"/>
  <c r="H99" i="10"/>
  <c r="I99" i="10" s="1"/>
  <c r="AB27" i="1" s="1"/>
  <c r="H77" i="10"/>
  <c r="I77" i="10" s="1"/>
  <c r="AB138" i="1" s="1"/>
  <c r="H15" i="10"/>
  <c r="I15" i="10" s="1"/>
  <c r="AB76" i="1" s="1"/>
  <c r="H12" i="10"/>
  <c r="I12" i="10" s="1"/>
  <c r="AB6" i="1" s="1"/>
  <c r="H59" i="10"/>
  <c r="I59" i="10" s="1"/>
  <c r="AB33" i="1" s="1"/>
  <c r="H46" i="10"/>
  <c r="J46" i="10" s="1"/>
  <c r="AC31" i="1" s="1"/>
  <c r="H113" i="10"/>
  <c r="I113" i="10" s="1"/>
  <c r="AB118" i="1" s="1"/>
  <c r="H112" i="10"/>
  <c r="I112" i="10" s="1"/>
  <c r="AB49" i="1" s="1"/>
  <c r="H88" i="10"/>
  <c r="I88" i="10" s="1"/>
  <c r="AB26" i="1" s="1"/>
  <c r="H111" i="10"/>
  <c r="I111" i="10" s="1"/>
  <c r="AB91" i="1" s="1"/>
  <c r="H44" i="10"/>
  <c r="I44" i="10" s="1"/>
  <c r="AB77" i="1" s="1"/>
  <c r="H47" i="10"/>
  <c r="I47" i="10" s="1"/>
  <c r="AB12" i="1" s="1"/>
  <c r="H91" i="10"/>
  <c r="I91" i="10" s="1"/>
  <c r="AB114" i="1" s="1"/>
  <c r="H126" i="10"/>
  <c r="J126" i="10" s="1"/>
  <c r="AC98" i="1" s="1"/>
  <c r="H49" i="10"/>
  <c r="J49" i="10" s="1"/>
  <c r="AC47" i="1" s="1"/>
  <c r="H105" i="10"/>
  <c r="I105" i="10" s="1"/>
  <c r="AB30" i="1" s="1"/>
  <c r="H98" i="10"/>
  <c r="I98" i="10" s="1"/>
  <c r="AB25" i="1" s="1"/>
  <c r="H56" i="10"/>
  <c r="I56" i="10" s="1"/>
  <c r="AB134" i="1" s="1"/>
  <c r="H74" i="10"/>
  <c r="I74" i="10" s="1"/>
  <c r="AB43" i="1" s="1"/>
  <c r="H60" i="10"/>
  <c r="I60" i="10" s="1"/>
  <c r="AB122" i="1" s="1"/>
  <c r="H57" i="10"/>
  <c r="I57" i="10" s="1"/>
  <c r="AB69" i="1" s="1"/>
  <c r="H29" i="10"/>
  <c r="J29" i="10" s="1"/>
  <c r="AC10" i="1" s="1"/>
  <c r="H71" i="10"/>
  <c r="I71" i="10" s="1"/>
  <c r="AB66" i="1" s="1"/>
  <c r="H65" i="10"/>
  <c r="I65" i="10" s="1"/>
  <c r="AB46" i="1" s="1"/>
  <c r="H27" i="10"/>
  <c r="I27" i="10" s="1"/>
  <c r="AB7" i="1" s="1"/>
  <c r="H16" i="10"/>
  <c r="I16" i="10" s="1"/>
  <c r="AB113" i="1" s="1"/>
  <c r="H109" i="10"/>
  <c r="I109" i="10" s="1"/>
  <c r="AB88" i="1" s="1"/>
  <c r="H21" i="10"/>
  <c r="I21" i="10" s="1"/>
  <c r="AB94" i="1" s="1"/>
  <c r="H31" i="10"/>
  <c r="I31" i="10" s="1"/>
  <c r="AB8" i="1" s="1"/>
  <c r="H2" i="10"/>
  <c r="J2" i="10" s="1"/>
  <c r="AC112" i="1" s="1"/>
  <c r="H66" i="10"/>
  <c r="I66" i="10" s="1"/>
  <c r="AB13" i="1" s="1"/>
  <c r="H25" i="10"/>
  <c r="I25" i="10" s="1"/>
  <c r="AB68" i="1" s="1"/>
  <c r="H32" i="10"/>
  <c r="I32" i="10" s="1"/>
  <c r="AB107" i="1" s="1"/>
  <c r="H124" i="10"/>
  <c r="I124" i="10" s="1"/>
  <c r="AB34" i="1" s="1"/>
  <c r="H73" i="10"/>
  <c r="I73" i="10" s="1"/>
  <c r="AB50" i="1" s="1"/>
  <c r="H89" i="10"/>
  <c r="I89" i="10" s="1"/>
  <c r="AB139" i="1" s="1"/>
  <c r="H95" i="10"/>
  <c r="I95" i="10" s="1"/>
  <c r="AB109" i="1" s="1"/>
  <c r="H42" i="10"/>
  <c r="J42" i="10" s="1"/>
  <c r="AC108" i="1" s="1"/>
  <c r="H37" i="10"/>
  <c r="J37" i="10" s="1"/>
  <c r="AC51" i="1" s="1"/>
  <c r="H53" i="10"/>
  <c r="I53" i="10" s="1"/>
  <c r="AB132" i="1" s="1"/>
  <c r="H96" i="10"/>
  <c r="I96" i="10" s="1"/>
  <c r="AB61" i="1" s="1"/>
  <c r="H85" i="10"/>
  <c r="I85" i="10" s="1"/>
  <c r="AB29" i="1" s="1"/>
  <c r="H76" i="10"/>
  <c r="I76" i="10" s="1"/>
  <c r="AB128" i="1" s="1"/>
  <c r="H68" i="10"/>
  <c r="I68" i="10" s="1"/>
  <c r="AB125" i="1" s="1"/>
  <c r="H92" i="10"/>
  <c r="I92" i="10" s="1"/>
  <c r="AB85" i="1" s="1"/>
  <c r="H70" i="10"/>
  <c r="J70" i="10" s="1"/>
  <c r="AC137" i="1" s="1"/>
  <c r="H26" i="10"/>
  <c r="J26" i="10" s="1"/>
  <c r="AC59" i="1" s="1"/>
  <c r="H106" i="10"/>
  <c r="I106" i="10" s="1"/>
  <c r="AB82" i="1" s="1"/>
  <c r="H36" i="10"/>
  <c r="I36" i="10" s="1"/>
  <c r="AB84" i="1" s="1"/>
  <c r="AN143" i="8" l="1"/>
  <c r="K101" i="10"/>
  <c r="AD35" i="1" s="1"/>
  <c r="K74" i="10"/>
  <c r="AD43" i="1" s="1"/>
  <c r="K110" i="10"/>
  <c r="AD97" i="1" s="1"/>
  <c r="K76" i="10"/>
  <c r="AD128" i="1" s="1"/>
  <c r="K44" i="10"/>
  <c r="AD77" i="1" s="1"/>
  <c r="K75" i="10"/>
  <c r="AD87" i="1" s="1"/>
  <c r="K3" i="10"/>
  <c r="AD3" i="1" s="1"/>
  <c r="K73" i="10"/>
  <c r="AD50" i="1" s="1"/>
  <c r="K15" i="10"/>
  <c r="AD76" i="1" s="1"/>
  <c r="K121" i="10"/>
  <c r="AD117" i="1" s="1"/>
  <c r="K43" i="10"/>
  <c r="AD39" i="1" s="1"/>
  <c r="K109" i="10"/>
  <c r="AD88" i="1" s="1"/>
  <c r="K5" i="10"/>
  <c r="AD5" i="1" s="1"/>
  <c r="K93" i="10"/>
  <c r="AD55" i="1" s="1"/>
  <c r="K45" i="10"/>
  <c r="AD42" i="1" s="1"/>
  <c r="K85" i="10"/>
  <c r="AD29" i="1" s="1"/>
  <c r="K124" i="10"/>
  <c r="AD34" i="1" s="1"/>
  <c r="K16" i="10"/>
  <c r="AD113" i="1" s="1"/>
  <c r="K56" i="10"/>
  <c r="AD134" i="1" s="1"/>
  <c r="K111" i="10"/>
  <c r="AD91" i="1" s="1"/>
  <c r="K77" i="10"/>
  <c r="AD138" i="1" s="1"/>
  <c r="K115" i="10"/>
  <c r="AD80" i="1" s="1"/>
  <c r="K19" i="10"/>
  <c r="AD22" i="1" s="1"/>
  <c r="K51" i="10"/>
  <c r="AD54" i="1" s="1"/>
  <c r="K50" i="10"/>
  <c r="AD70" i="1" s="1"/>
  <c r="K18" i="10"/>
  <c r="AD44" i="1" s="1"/>
  <c r="K38" i="10"/>
  <c r="AD16" i="1" s="1"/>
  <c r="K33" i="10"/>
  <c r="AD20" i="1" s="1"/>
  <c r="K58" i="10"/>
  <c r="AD103" i="1" s="1"/>
  <c r="K63" i="10"/>
  <c r="AD67" i="1" s="1"/>
  <c r="K26" i="10"/>
  <c r="AD59" i="1" s="1"/>
  <c r="K37" i="10"/>
  <c r="AD51" i="1" s="1"/>
  <c r="K66" i="10"/>
  <c r="AD13" i="1" s="1"/>
  <c r="K71" i="10"/>
  <c r="AD66" i="1" s="1"/>
  <c r="K49" i="10"/>
  <c r="AD47" i="1" s="1"/>
  <c r="K113" i="10"/>
  <c r="AD118" i="1" s="1"/>
  <c r="K104" i="10"/>
  <c r="AD64" i="1" s="1"/>
  <c r="K22" i="10"/>
  <c r="AD18" i="1" s="1"/>
  <c r="K83" i="10"/>
  <c r="AD28" i="1" s="1"/>
  <c r="K69" i="10"/>
  <c r="AD136" i="1" s="1"/>
  <c r="K11" i="10"/>
  <c r="AD40" i="1" s="1"/>
  <c r="K40" i="10"/>
  <c r="AD52" i="1" s="1"/>
  <c r="K107" i="10"/>
  <c r="K80" i="10"/>
  <c r="AD73" i="1" s="1"/>
  <c r="K20" i="10"/>
  <c r="AD95" i="1" s="1"/>
  <c r="K114" i="10"/>
  <c r="AD57" i="1" s="1"/>
  <c r="K70" i="10"/>
  <c r="AD137" i="1" s="1"/>
  <c r="K42" i="10"/>
  <c r="AD108" i="1" s="1"/>
  <c r="K2" i="10"/>
  <c r="AD112" i="1" s="1"/>
  <c r="K29" i="10"/>
  <c r="AD10" i="1" s="1"/>
  <c r="K126" i="10"/>
  <c r="AD98" i="1" s="1"/>
  <c r="K46" i="10"/>
  <c r="AD31" i="1" s="1"/>
  <c r="K10" i="10"/>
  <c r="AD38" i="1" s="1"/>
  <c r="K48" i="10"/>
  <c r="AD101" i="1" s="1"/>
  <c r="K81" i="10"/>
  <c r="AD36" i="1" s="1"/>
  <c r="K9" i="10"/>
  <c r="AD37" i="1" s="1"/>
  <c r="K84" i="10"/>
  <c r="AD119" i="1" s="1"/>
  <c r="K103" i="10"/>
  <c r="AD106" i="1" s="1"/>
  <c r="K102" i="10"/>
  <c r="AD124" i="1" s="1"/>
  <c r="K78" i="10"/>
  <c r="AD89" i="1" s="1"/>
  <c r="K7" i="10"/>
  <c r="AD115" i="1" s="1"/>
  <c r="K34" i="10"/>
  <c r="AD130" i="1" s="1"/>
  <c r="K36" i="10"/>
  <c r="AD84" i="1" s="1"/>
  <c r="K92" i="10"/>
  <c r="AD85" i="1" s="1"/>
  <c r="K96" i="10"/>
  <c r="AD61" i="1" s="1"/>
  <c r="K95" i="10"/>
  <c r="AD109" i="1" s="1"/>
  <c r="K32" i="10"/>
  <c r="AD107" i="1" s="1"/>
  <c r="K31" i="10"/>
  <c r="AD8" i="1" s="1"/>
  <c r="K27" i="10"/>
  <c r="AD7" i="1" s="1"/>
  <c r="K57" i="10"/>
  <c r="AD69" i="1" s="1"/>
  <c r="K98" i="10"/>
  <c r="AD25" i="1" s="1"/>
  <c r="K91" i="10"/>
  <c r="AD114" i="1" s="1"/>
  <c r="K88" i="10"/>
  <c r="AD26" i="1" s="1"/>
  <c r="K59" i="10"/>
  <c r="AD33" i="1" s="1"/>
  <c r="K99" i="10"/>
  <c r="AD27" i="1" s="1"/>
  <c r="K30" i="10"/>
  <c r="AD45" i="1" s="1"/>
  <c r="K100" i="10"/>
  <c r="AD102" i="1" s="1"/>
  <c r="K35" i="10"/>
  <c r="AD116" i="1" s="1"/>
  <c r="K17" i="10"/>
  <c r="AD24" i="1" s="1"/>
  <c r="K120" i="10"/>
  <c r="AD129" i="1" s="1"/>
  <c r="K61" i="10"/>
  <c r="AD92" i="1" s="1"/>
  <c r="K86" i="10"/>
  <c r="AD99" i="1" s="1"/>
  <c r="K90" i="10"/>
  <c r="AD62" i="1" s="1"/>
  <c r="K72" i="10"/>
  <c r="AD48" i="1" s="1"/>
  <c r="K54" i="10"/>
  <c r="AD133" i="1" s="1"/>
  <c r="K123" i="10"/>
  <c r="AD123" i="1" s="1"/>
  <c r="K39" i="10"/>
  <c r="AD60" i="1" s="1"/>
  <c r="K28" i="10"/>
  <c r="AD15" i="1" s="1"/>
  <c r="K87" i="10"/>
  <c r="AD100" i="1" s="1"/>
  <c r="K62" i="10"/>
  <c r="AD135" i="1" s="1"/>
  <c r="K52" i="10"/>
  <c r="AD63" i="1" s="1"/>
  <c r="K6" i="10"/>
  <c r="AD81" i="1" s="1"/>
  <c r="K118" i="10"/>
  <c r="AD71" i="1" s="1"/>
  <c r="K79" i="10"/>
  <c r="AD78" i="1" s="1"/>
  <c r="K106" i="10"/>
  <c r="AD82" i="1" s="1"/>
  <c r="K68" i="10"/>
  <c r="AD125" i="1" s="1"/>
  <c r="K53" i="10"/>
  <c r="AD132" i="1" s="1"/>
  <c r="K89" i="10"/>
  <c r="AD139" i="1" s="1"/>
  <c r="K25" i="10"/>
  <c r="AD68" i="1" s="1"/>
  <c r="K21" i="10"/>
  <c r="AD94" i="1" s="1"/>
  <c r="K65" i="10"/>
  <c r="AD46" i="1" s="1"/>
  <c r="K60" i="10"/>
  <c r="AD122" i="1" s="1"/>
  <c r="K105" i="10"/>
  <c r="AD30" i="1" s="1"/>
  <c r="K47" i="10"/>
  <c r="AD12" i="1" s="1"/>
  <c r="K112" i="10"/>
  <c r="AD49" i="1" s="1"/>
  <c r="K12" i="10"/>
  <c r="AD6" i="1" s="1"/>
  <c r="K8" i="10"/>
  <c r="AD17" i="1" s="1"/>
  <c r="K119" i="10"/>
  <c r="AD142" i="1" s="1"/>
  <c r="K127" i="10"/>
  <c r="AD65" i="1" s="1"/>
  <c r="K4" i="10"/>
  <c r="AD4" i="1" s="1"/>
  <c r="K14" i="10"/>
  <c r="AD58" i="1" s="1"/>
  <c r="K116" i="10"/>
  <c r="AD86" i="1" s="1"/>
  <c r="K97" i="10"/>
  <c r="K67" i="10"/>
  <c r="AD126" i="1" s="1"/>
  <c r="K117" i="10"/>
  <c r="AD56" i="1" s="1"/>
  <c r="K41" i="10"/>
  <c r="AD104" i="1" s="1"/>
  <c r="K55" i="10"/>
  <c r="AD23" i="1" s="1"/>
  <c r="K13" i="10"/>
  <c r="AD110" i="1" s="1"/>
  <c r="K108" i="10"/>
  <c r="AD74" i="1" s="1"/>
  <c r="K94" i="10"/>
  <c r="AD127" i="1" s="1"/>
  <c r="K82" i="10"/>
  <c r="AD96" i="1" s="1"/>
  <c r="K125" i="10"/>
  <c r="AD121" i="1" s="1"/>
  <c r="K64" i="10"/>
  <c r="AD14" i="1" s="1"/>
  <c r="K122" i="10"/>
  <c r="AD93" i="1" s="1"/>
  <c r="K24" i="10"/>
  <c r="AD19" i="1" s="1"/>
  <c r="K23" i="10"/>
  <c r="AD41" i="1" s="1"/>
  <c r="I37" i="10"/>
  <c r="AB51" i="1" s="1"/>
  <c r="I49" i="10"/>
  <c r="AB47" i="1" s="1"/>
  <c r="I22" i="10"/>
  <c r="AB18" i="1" s="1"/>
  <c r="I11" i="10"/>
  <c r="AB40" i="1" s="1"/>
  <c r="I80" i="10"/>
  <c r="AB73" i="1" s="1"/>
  <c r="I20" i="10"/>
  <c r="AB95" i="1" s="1"/>
  <c r="J76" i="10"/>
  <c r="AC128" i="1" s="1"/>
  <c r="J73" i="10"/>
  <c r="AC50" i="1" s="1"/>
  <c r="J66" i="10"/>
  <c r="AC13" i="1" s="1"/>
  <c r="J109" i="10"/>
  <c r="AC88" i="1" s="1"/>
  <c r="J71" i="10"/>
  <c r="AC66" i="1" s="1"/>
  <c r="J74" i="10"/>
  <c r="AC43" i="1" s="1"/>
  <c r="J44" i="10"/>
  <c r="AC77" i="1" s="1"/>
  <c r="J113" i="10"/>
  <c r="AC118" i="1" s="1"/>
  <c r="J15" i="10"/>
  <c r="AC76" i="1" s="1"/>
  <c r="J104" i="10"/>
  <c r="AC64" i="1" s="1"/>
  <c r="J5" i="10"/>
  <c r="AC5" i="1" s="1"/>
  <c r="J101" i="10"/>
  <c r="AC35" i="1" s="1"/>
  <c r="J83" i="10"/>
  <c r="AC28" i="1" s="1"/>
  <c r="J75" i="10"/>
  <c r="AC87" i="1" s="1"/>
  <c r="J69" i="10"/>
  <c r="AC136" i="1" s="1"/>
  <c r="J121" i="10"/>
  <c r="AC117" i="1" s="1"/>
  <c r="J93" i="10"/>
  <c r="AC55" i="1" s="1"/>
  <c r="J40" i="10"/>
  <c r="AC52" i="1" s="1"/>
  <c r="J110" i="10"/>
  <c r="AC97" i="1" s="1"/>
  <c r="J107" i="10"/>
  <c r="J3" i="10"/>
  <c r="AC3" i="1" s="1"/>
  <c r="J43" i="10"/>
  <c r="AC39" i="1" s="1"/>
  <c r="J45" i="10"/>
  <c r="AC42" i="1" s="1"/>
  <c r="J114" i="10"/>
  <c r="AC57" i="1" s="1"/>
  <c r="I70" i="10"/>
  <c r="AB137" i="1" s="1"/>
  <c r="I42" i="10"/>
  <c r="AB108" i="1" s="1"/>
  <c r="I2" i="10"/>
  <c r="AB112" i="1" s="1"/>
  <c r="I29" i="10"/>
  <c r="AB10" i="1" s="1"/>
  <c r="I126" i="10"/>
  <c r="AB98" i="1" s="1"/>
  <c r="I46" i="10"/>
  <c r="AB31" i="1" s="1"/>
  <c r="I10" i="10"/>
  <c r="AB38" i="1" s="1"/>
  <c r="I48" i="10"/>
  <c r="AB101" i="1" s="1"/>
  <c r="I81" i="10"/>
  <c r="AB36" i="1" s="1"/>
  <c r="I9" i="10"/>
  <c r="AB37" i="1" s="1"/>
  <c r="I84" i="10"/>
  <c r="AB119" i="1" s="1"/>
  <c r="I103" i="10"/>
  <c r="AB106" i="1" s="1"/>
  <c r="I102" i="10"/>
  <c r="AB124" i="1" s="1"/>
  <c r="I78" i="10"/>
  <c r="AB89" i="1" s="1"/>
  <c r="I7" i="10"/>
  <c r="AB115" i="1" s="1"/>
  <c r="I34" i="10"/>
  <c r="AB130" i="1" s="1"/>
  <c r="J85" i="10"/>
  <c r="AC29" i="1" s="1"/>
  <c r="J124" i="10"/>
  <c r="AC34" i="1" s="1"/>
  <c r="J16" i="10"/>
  <c r="AC113" i="1" s="1"/>
  <c r="J56" i="10"/>
  <c r="AC134" i="1" s="1"/>
  <c r="J111" i="10"/>
  <c r="AC91" i="1" s="1"/>
  <c r="J77" i="10"/>
  <c r="AC138" i="1" s="1"/>
  <c r="J115" i="10"/>
  <c r="AC80" i="1" s="1"/>
  <c r="J19" i="10"/>
  <c r="AC22" i="1" s="1"/>
  <c r="J51" i="10"/>
  <c r="AC54" i="1" s="1"/>
  <c r="J50" i="10"/>
  <c r="AC70" i="1" s="1"/>
  <c r="J18" i="10"/>
  <c r="AC44" i="1" s="1"/>
  <c r="J38" i="10"/>
  <c r="AC16" i="1" s="1"/>
  <c r="J33" i="10"/>
  <c r="AC20" i="1" s="1"/>
  <c r="J58" i="10"/>
  <c r="AC103" i="1" s="1"/>
  <c r="J63" i="10"/>
  <c r="AC67" i="1" s="1"/>
  <c r="J36" i="10"/>
  <c r="AC84" i="1" s="1"/>
  <c r="J92" i="10"/>
  <c r="AC85" i="1" s="1"/>
  <c r="J96" i="10"/>
  <c r="AC61" i="1" s="1"/>
  <c r="J95" i="10"/>
  <c r="AC109" i="1" s="1"/>
  <c r="J32" i="10"/>
  <c r="AC107" i="1" s="1"/>
  <c r="J31" i="10"/>
  <c r="AC8" i="1" s="1"/>
  <c r="J27" i="10"/>
  <c r="AC7" i="1" s="1"/>
  <c r="J57" i="10"/>
  <c r="AC69" i="1" s="1"/>
  <c r="J98" i="10"/>
  <c r="AC25" i="1" s="1"/>
  <c r="J91" i="10"/>
  <c r="AC114" i="1" s="1"/>
  <c r="J88" i="10"/>
  <c r="AC26" i="1" s="1"/>
  <c r="J59" i="10"/>
  <c r="AC33" i="1" s="1"/>
  <c r="J99" i="10"/>
  <c r="AC27" i="1" s="1"/>
  <c r="J30" i="10"/>
  <c r="AC45" i="1" s="1"/>
  <c r="J100" i="10"/>
  <c r="AC102" i="1" s="1"/>
  <c r="J35" i="10"/>
  <c r="AC116" i="1" s="1"/>
  <c r="J17" i="10"/>
  <c r="AC24" i="1" s="1"/>
  <c r="J120" i="10"/>
  <c r="AC129" i="1" s="1"/>
  <c r="J61" i="10"/>
  <c r="AC92" i="1" s="1"/>
  <c r="J86" i="10"/>
  <c r="AC99" i="1" s="1"/>
  <c r="J90" i="10"/>
  <c r="AC62" i="1" s="1"/>
  <c r="J72" i="10"/>
  <c r="AC48" i="1" s="1"/>
  <c r="J54" i="10"/>
  <c r="AC133" i="1" s="1"/>
  <c r="J123" i="10"/>
  <c r="AC123" i="1" s="1"/>
  <c r="J39" i="10"/>
  <c r="AC60" i="1" s="1"/>
  <c r="J28" i="10"/>
  <c r="AC15" i="1" s="1"/>
  <c r="J87" i="10"/>
  <c r="AC100" i="1" s="1"/>
  <c r="J62" i="10"/>
  <c r="AC135" i="1" s="1"/>
  <c r="J52" i="10"/>
  <c r="AC63" i="1" s="1"/>
  <c r="J6" i="10"/>
  <c r="AC81" i="1" s="1"/>
  <c r="J118" i="10"/>
  <c r="AC71" i="1" s="1"/>
  <c r="J79" i="10"/>
  <c r="AC78" i="1" s="1"/>
  <c r="I26" i="10"/>
  <c r="AB59" i="1" s="1"/>
  <c r="J106" i="10"/>
  <c r="AC82" i="1" s="1"/>
  <c r="J68" i="10"/>
  <c r="AC125" i="1" s="1"/>
  <c r="J53" i="10"/>
  <c r="AC132" i="1" s="1"/>
  <c r="J89" i="10"/>
  <c r="AC139" i="1" s="1"/>
  <c r="J25" i="10"/>
  <c r="AC68" i="1" s="1"/>
  <c r="J21" i="10"/>
  <c r="AC94" i="1" s="1"/>
  <c r="J65" i="10"/>
  <c r="AC46" i="1" s="1"/>
  <c r="J60" i="10"/>
  <c r="AC122" i="1" s="1"/>
  <c r="J105" i="10"/>
  <c r="AC30" i="1" s="1"/>
  <c r="J47" i="10"/>
  <c r="AC12" i="1" s="1"/>
  <c r="J112" i="10"/>
  <c r="AC49" i="1" s="1"/>
  <c r="J12" i="10"/>
  <c r="AC6" i="1" s="1"/>
  <c r="J8" i="10"/>
  <c r="AC17" i="1" s="1"/>
  <c r="J119" i="10"/>
  <c r="AC142" i="1" s="1"/>
  <c r="J127" i="10"/>
  <c r="AC65" i="1" s="1"/>
  <c r="J4" i="10"/>
  <c r="AC4" i="1" s="1"/>
  <c r="J14" i="10"/>
  <c r="AC58" i="1" s="1"/>
  <c r="J116" i="10"/>
  <c r="AC86" i="1" s="1"/>
  <c r="J97" i="10"/>
  <c r="J67" i="10"/>
  <c r="AC126" i="1" s="1"/>
  <c r="J117" i="10"/>
  <c r="AC56" i="1" s="1"/>
  <c r="J41" i="10"/>
  <c r="AC104" i="1" s="1"/>
  <c r="J55" i="10"/>
  <c r="AC23" i="1" s="1"/>
  <c r="J13" i="10"/>
  <c r="AC110" i="1" s="1"/>
  <c r="J108" i="10"/>
  <c r="AC74" i="1" s="1"/>
  <c r="J94" i="10"/>
  <c r="AC127" i="1" s="1"/>
  <c r="J82" i="10"/>
  <c r="AC96" i="1" s="1"/>
  <c r="J125" i="10"/>
  <c r="AC121" i="1" s="1"/>
  <c r="J64" i="10"/>
  <c r="AC14" i="1" s="1"/>
  <c r="J122" i="10"/>
  <c r="AC93" i="1" s="1"/>
  <c r="J24" i="10"/>
  <c r="AC19" i="1" s="1"/>
  <c r="J23" i="10"/>
  <c r="AC41" i="1" s="1"/>
  <c r="D39" i="4" l="1"/>
  <c r="D4" i="4"/>
  <c r="D55" i="4" l="1"/>
  <c r="D59" i="4" l="1"/>
  <c r="M3" i="8"/>
  <c r="AF3" i="8" l="1"/>
  <c r="C143" i="9"/>
  <c r="AF4" i="8" l="1"/>
  <c r="D57" i="4"/>
  <c r="D56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8" i="4"/>
  <c r="D37" i="4"/>
  <c r="D36" i="4"/>
  <c r="D35" i="4"/>
  <c r="D34" i="4"/>
  <c r="D33" i="4"/>
  <c r="D32" i="4"/>
  <c r="D31" i="4"/>
  <c r="D30" i="4"/>
  <c r="D29" i="4"/>
  <c r="D24" i="4"/>
  <c r="D23" i="4"/>
  <c r="D22" i="4"/>
  <c r="D16" i="4"/>
  <c r="AK4" i="8" l="1"/>
  <c r="G4" i="9"/>
  <c r="I4" i="9" s="1"/>
  <c r="G5" i="9"/>
  <c r="I5" i="9" s="1"/>
  <c r="G6" i="9"/>
  <c r="I6" i="9" s="1"/>
  <c r="G7" i="9"/>
  <c r="I7" i="9" s="1"/>
  <c r="G8" i="9"/>
  <c r="I8" i="9" s="1"/>
  <c r="G9" i="9"/>
  <c r="I9" i="9" s="1"/>
  <c r="G10" i="9"/>
  <c r="I10" i="9" s="1"/>
  <c r="G11" i="9"/>
  <c r="I11" i="9" s="1"/>
  <c r="G12" i="9"/>
  <c r="I12" i="9" s="1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33" i="9"/>
  <c r="I33" i="9" s="1"/>
  <c r="G34" i="9"/>
  <c r="I34" i="9" s="1"/>
  <c r="G35" i="9"/>
  <c r="I35" i="9" s="1"/>
  <c r="G36" i="9"/>
  <c r="I36" i="9" s="1"/>
  <c r="G37" i="9"/>
  <c r="I37" i="9" s="1"/>
  <c r="G38" i="9"/>
  <c r="I38" i="9" s="1"/>
  <c r="G39" i="9"/>
  <c r="I39" i="9" s="1"/>
  <c r="G40" i="9"/>
  <c r="I40" i="9" s="1"/>
  <c r="G41" i="9"/>
  <c r="I41" i="9" s="1"/>
  <c r="G42" i="9"/>
  <c r="I42" i="9" s="1"/>
  <c r="G43" i="9"/>
  <c r="I43" i="9" s="1"/>
  <c r="G44" i="9"/>
  <c r="I44" i="9" s="1"/>
  <c r="G45" i="9"/>
  <c r="I45" i="9" s="1"/>
  <c r="G46" i="9"/>
  <c r="I46" i="9" s="1"/>
  <c r="G47" i="9"/>
  <c r="I47" i="9" s="1"/>
  <c r="G48" i="9"/>
  <c r="I48" i="9" s="1"/>
  <c r="G49" i="9"/>
  <c r="I49" i="9" s="1"/>
  <c r="G50" i="9"/>
  <c r="I50" i="9" s="1"/>
  <c r="G51" i="9"/>
  <c r="I51" i="9" s="1"/>
  <c r="G52" i="9"/>
  <c r="I52" i="9" s="1"/>
  <c r="G53" i="9"/>
  <c r="I53" i="9" s="1"/>
  <c r="G54" i="9"/>
  <c r="I54" i="9" s="1"/>
  <c r="G55" i="9"/>
  <c r="I55" i="9" s="1"/>
  <c r="G56" i="9"/>
  <c r="I56" i="9" s="1"/>
  <c r="G57" i="9"/>
  <c r="I57" i="9" s="1"/>
  <c r="G58" i="9"/>
  <c r="I58" i="9" s="1"/>
  <c r="G59" i="9"/>
  <c r="I59" i="9" s="1"/>
  <c r="G60" i="9"/>
  <c r="I60" i="9" s="1"/>
  <c r="G61" i="9"/>
  <c r="I61" i="9" s="1"/>
  <c r="G62" i="9"/>
  <c r="I62" i="9" s="1"/>
  <c r="G63" i="9"/>
  <c r="I63" i="9" s="1"/>
  <c r="G64" i="9"/>
  <c r="I64" i="9" s="1"/>
  <c r="G65" i="9"/>
  <c r="I65" i="9" s="1"/>
  <c r="G66" i="9"/>
  <c r="I66" i="9" s="1"/>
  <c r="G67" i="9"/>
  <c r="I67" i="9" s="1"/>
  <c r="G68" i="9"/>
  <c r="I68" i="9" s="1"/>
  <c r="G69" i="9"/>
  <c r="I69" i="9" s="1"/>
  <c r="G70" i="9"/>
  <c r="I70" i="9" s="1"/>
  <c r="G71" i="9"/>
  <c r="I71" i="9" s="1"/>
  <c r="G72" i="9"/>
  <c r="I72" i="9" s="1"/>
  <c r="G73" i="9"/>
  <c r="I73" i="9" s="1"/>
  <c r="G74" i="9"/>
  <c r="I74" i="9" s="1"/>
  <c r="G75" i="9"/>
  <c r="I75" i="9" s="1"/>
  <c r="G76" i="9"/>
  <c r="I76" i="9" s="1"/>
  <c r="G77" i="9"/>
  <c r="I77" i="9" s="1"/>
  <c r="G78" i="9"/>
  <c r="I78" i="9" s="1"/>
  <c r="G79" i="9"/>
  <c r="I79" i="9" s="1"/>
  <c r="G80" i="9"/>
  <c r="I80" i="9" s="1"/>
  <c r="G81" i="9"/>
  <c r="I81" i="9" s="1"/>
  <c r="G82" i="9"/>
  <c r="I82" i="9" s="1"/>
  <c r="G83" i="9"/>
  <c r="I83" i="9" s="1"/>
  <c r="G84" i="9"/>
  <c r="I84" i="9" s="1"/>
  <c r="G85" i="9"/>
  <c r="I85" i="9" s="1"/>
  <c r="G86" i="9"/>
  <c r="I86" i="9" s="1"/>
  <c r="G87" i="9"/>
  <c r="I87" i="9" s="1"/>
  <c r="G88" i="9"/>
  <c r="I88" i="9" s="1"/>
  <c r="G89" i="9"/>
  <c r="I89" i="9" s="1"/>
  <c r="G90" i="9"/>
  <c r="I90" i="9" s="1"/>
  <c r="G91" i="9"/>
  <c r="I91" i="9" s="1"/>
  <c r="G92" i="9"/>
  <c r="I92" i="9" s="1"/>
  <c r="G93" i="9"/>
  <c r="I93" i="9" s="1"/>
  <c r="G94" i="9"/>
  <c r="I94" i="9" s="1"/>
  <c r="G95" i="9"/>
  <c r="I95" i="9" s="1"/>
  <c r="G96" i="9"/>
  <c r="I96" i="9" s="1"/>
  <c r="G97" i="9"/>
  <c r="I97" i="9" s="1"/>
  <c r="G98" i="9"/>
  <c r="I98" i="9" s="1"/>
  <c r="G99" i="9"/>
  <c r="I99" i="9" s="1"/>
  <c r="G100" i="9"/>
  <c r="I100" i="9" s="1"/>
  <c r="G101" i="9"/>
  <c r="I101" i="9" s="1"/>
  <c r="G102" i="9"/>
  <c r="I102" i="9" s="1"/>
  <c r="G103" i="9"/>
  <c r="I103" i="9" s="1"/>
  <c r="G104" i="9"/>
  <c r="I104" i="9" s="1"/>
  <c r="G105" i="9"/>
  <c r="I105" i="9" s="1"/>
  <c r="G106" i="9"/>
  <c r="I106" i="9" s="1"/>
  <c r="G107" i="9"/>
  <c r="I107" i="9" s="1"/>
  <c r="G108" i="9"/>
  <c r="I108" i="9" s="1"/>
  <c r="G109" i="9"/>
  <c r="I109" i="9" s="1"/>
  <c r="G110" i="9"/>
  <c r="I110" i="9" s="1"/>
  <c r="G111" i="9"/>
  <c r="I111" i="9" s="1"/>
  <c r="G112" i="9"/>
  <c r="I112" i="9" s="1"/>
  <c r="G113" i="9"/>
  <c r="I113" i="9" s="1"/>
  <c r="G114" i="9"/>
  <c r="I114" i="9" s="1"/>
  <c r="G115" i="9"/>
  <c r="I115" i="9" s="1"/>
  <c r="G116" i="9"/>
  <c r="I116" i="9" s="1"/>
  <c r="G117" i="9"/>
  <c r="I117" i="9" s="1"/>
  <c r="G118" i="9"/>
  <c r="I118" i="9" s="1"/>
  <c r="G119" i="9"/>
  <c r="I119" i="9" s="1"/>
  <c r="G120" i="9"/>
  <c r="I120" i="9" s="1"/>
  <c r="G121" i="9"/>
  <c r="I121" i="9" s="1"/>
  <c r="G122" i="9"/>
  <c r="I122" i="9" s="1"/>
  <c r="G123" i="9"/>
  <c r="I123" i="9" s="1"/>
  <c r="G124" i="9"/>
  <c r="I124" i="9" s="1"/>
  <c r="G125" i="9"/>
  <c r="I125" i="9" s="1"/>
  <c r="G126" i="9"/>
  <c r="I126" i="9" s="1"/>
  <c r="G127" i="9"/>
  <c r="I127" i="9" s="1"/>
  <c r="G128" i="9"/>
  <c r="I128" i="9" s="1"/>
  <c r="G129" i="9"/>
  <c r="I129" i="9" s="1"/>
  <c r="G130" i="9"/>
  <c r="I130" i="9" s="1"/>
  <c r="G131" i="9"/>
  <c r="I131" i="9" s="1"/>
  <c r="G132" i="9"/>
  <c r="I132" i="9" s="1"/>
  <c r="G133" i="9"/>
  <c r="I133" i="9" s="1"/>
  <c r="G134" i="9"/>
  <c r="I134" i="9" s="1"/>
  <c r="G135" i="9"/>
  <c r="I135" i="9" s="1"/>
  <c r="G136" i="9"/>
  <c r="I136" i="9" s="1"/>
  <c r="G137" i="9"/>
  <c r="I137" i="9" s="1"/>
  <c r="G138" i="9"/>
  <c r="I138" i="9" s="1"/>
  <c r="G139" i="9"/>
  <c r="I139" i="9" s="1"/>
  <c r="G140" i="9"/>
  <c r="I140" i="9" s="1"/>
  <c r="G141" i="9"/>
  <c r="I141" i="9" s="1"/>
  <c r="G142" i="9"/>
  <c r="I142" i="9" s="1"/>
  <c r="G3" i="9"/>
  <c r="I3" i="9" s="1"/>
  <c r="F4" i="9"/>
  <c r="H4" i="9" s="1"/>
  <c r="F5" i="9"/>
  <c r="H5" i="9" s="1"/>
  <c r="F6" i="9"/>
  <c r="H6" i="9" s="1"/>
  <c r="F7" i="9"/>
  <c r="H7" i="9" s="1"/>
  <c r="F8" i="9"/>
  <c r="H8" i="9" s="1"/>
  <c r="F9" i="9"/>
  <c r="H9" i="9" s="1"/>
  <c r="F10" i="9"/>
  <c r="H10" i="9" s="1"/>
  <c r="F11" i="9"/>
  <c r="H11" i="9" s="1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F37" i="9"/>
  <c r="H37" i="9" s="1"/>
  <c r="F38" i="9"/>
  <c r="H38" i="9" s="1"/>
  <c r="F39" i="9"/>
  <c r="H39" i="9" s="1"/>
  <c r="F40" i="9"/>
  <c r="H40" i="9" s="1"/>
  <c r="F41" i="9"/>
  <c r="H41" i="9" s="1"/>
  <c r="F42" i="9"/>
  <c r="H42" i="9" s="1"/>
  <c r="F43" i="9"/>
  <c r="H43" i="9" s="1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1" i="9"/>
  <c r="H51" i="9" s="1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 s="1"/>
  <c r="F68" i="9"/>
  <c r="H68" i="9" s="1"/>
  <c r="F69" i="9"/>
  <c r="H69" i="9" s="1"/>
  <c r="F70" i="9"/>
  <c r="H70" i="9" s="1"/>
  <c r="F71" i="9"/>
  <c r="H71" i="9" s="1"/>
  <c r="F72" i="9"/>
  <c r="H72" i="9" s="1"/>
  <c r="F73" i="9"/>
  <c r="H73" i="9" s="1"/>
  <c r="F74" i="9"/>
  <c r="H74" i="9" s="1"/>
  <c r="F75" i="9"/>
  <c r="H75" i="9" s="1"/>
  <c r="F76" i="9"/>
  <c r="H76" i="9" s="1"/>
  <c r="F77" i="9"/>
  <c r="H77" i="9" s="1"/>
  <c r="F78" i="9"/>
  <c r="H78" i="9" s="1"/>
  <c r="F79" i="9"/>
  <c r="H79" i="9" s="1"/>
  <c r="F80" i="9"/>
  <c r="H80" i="9" s="1"/>
  <c r="F81" i="9"/>
  <c r="H81" i="9" s="1"/>
  <c r="F82" i="9"/>
  <c r="H82" i="9" s="1"/>
  <c r="F83" i="9"/>
  <c r="H83" i="9" s="1"/>
  <c r="F84" i="9"/>
  <c r="H84" i="9" s="1"/>
  <c r="F85" i="9"/>
  <c r="H85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 s="1"/>
  <c r="F100" i="9"/>
  <c r="H100" i="9" s="1"/>
  <c r="F101" i="9"/>
  <c r="H101" i="9" s="1"/>
  <c r="F102" i="9"/>
  <c r="H102" i="9" s="1"/>
  <c r="F103" i="9"/>
  <c r="H103" i="9" s="1"/>
  <c r="F104" i="9"/>
  <c r="H104" i="9" s="1"/>
  <c r="F105" i="9"/>
  <c r="H105" i="9" s="1"/>
  <c r="F106" i="9"/>
  <c r="H106" i="9" s="1"/>
  <c r="F107" i="9"/>
  <c r="H107" i="9" s="1"/>
  <c r="F108" i="9"/>
  <c r="H108" i="9" s="1"/>
  <c r="F109" i="9"/>
  <c r="H109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 s="1"/>
  <c r="F116" i="9"/>
  <c r="H116" i="9" s="1"/>
  <c r="F117" i="9"/>
  <c r="H117" i="9" s="1"/>
  <c r="F118" i="9"/>
  <c r="H118" i="9" s="1"/>
  <c r="F119" i="9"/>
  <c r="H119" i="9" s="1"/>
  <c r="F120" i="9"/>
  <c r="H120" i="9" s="1"/>
  <c r="F121" i="9"/>
  <c r="H121" i="9" s="1"/>
  <c r="F122" i="9"/>
  <c r="H122" i="9" s="1"/>
  <c r="F123" i="9"/>
  <c r="H123" i="9" s="1"/>
  <c r="F124" i="9"/>
  <c r="H124" i="9" s="1"/>
  <c r="F125" i="9"/>
  <c r="H125" i="9" s="1"/>
  <c r="F126" i="9"/>
  <c r="H126" i="9" s="1"/>
  <c r="F127" i="9"/>
  <c r="H127" i="9" s="1"/>
  <c r="F128" i="9"/>
  <c r="H128" i="9" s="1"/>
  <c r="F129" i="9"/>
  <c r="H129" i="9" s="1"/>
  <c r="F130" i="9"/>
  <c r="H130" i="9" s="1"/>
  <c r="F131" i="9"/>
  <c r="H131" i="9" s="1"/>
  <c r="F132" i="9"/>
  <c r="H132" i="9" s="1"/>
  <c r="F133" i="9"/>
  <c r="H133" i="9" s="1"/>
  <c r="F134" i="9"/>
  <c r="H134" i="9" s="1"/>
  <c r="F135" i="9"/>
  <c r="H135" i="9" s="1"/>
  <c r="F136" i="9"/>
  <c r="H136" i="9" s="1"/>
  <c r="F137" i="9"/>
  <c r="H137" i="9" s="1"/>
  <c r="F138" i="9"/>
  <c r="H138" i="9" s="1"/>
  <c r="F139" i="9"/>
  <c r="H139" i="9" s="1"/>
  <c r="F140" i="9"/>
  <c r="H140" i="9" s="1"/>
  <c r="F141" i="9"/>
  <c r="H141" i="9" s="1"/>
  <c r="F142" i="9"/>
  <c r="H142" i="9" s="1"/>
  <c r="C30" i="2"/>
  <c r="I143" i="9" l="1"/>
  <c r="AJ4" i="8"/>
  <c r="AE4" i="8"/>
  <c r="G143" i="9"/>
  <c r="N18" i="1"/>
  <c r="N47" i="1"/>
  <c r="N53" i="1"/>
  <c r="N11" i="1"/>
  <c r="N57" i="1"/>
  <c r="N15" i="1"/>
  <c r="N69" i="1"/>
  <c r="N92" i="1"/>
  <c r="N94" i="1"/>
  <c r="N117" i="1"/>
  <c r="N132" i="1"/>
  <c r="N52" i="1"/>
  <c r="N99" i="1"/>
  <c r="N41" i="1"/>
  <c r="N54" i="1"/>
  <c r="N89" i="1"/>
  <c r="N62" i="1"/>
  <c r="N107" i="1"/>
  <c r="N56" i="1"/>
  <c r="N93" i="1"/>
  <c r="N109" i="1"/>
  <c r="N4" i="1"/>
  <c r="N87" i="1"/>
  <c r="N67" i="1"/>
  <c r="N77" i="1"/>
  <c r="N121" i="1"/>
  <c r="N95" i="1"/>
  <c r="N5" i="1"/>
  <c r="N19" i="1"/>
  <c r="N63" i="1"/>
  <c r="N75" i="1"/>
  <c r="N85" i="1"/>
  <c r="N86" i="1"/>
  <c r="N79" i="1"/>
  <c r="N6" i="1"/>
  <c r="N10" i="1"/>
  <c r="N116" i="1"/>
  <c r="N25" i="1"/>
  <c r="N29" i="1"/>
  <c r="N128" i="1"/>
  <c r="N105" i="1"/>
  <c r="N106" i="1"/>
  <c r="N129" i="1"/>
  <c r="N49" i="1"/>
  <c r="N81" i="1"/>
  <c r="N124" i="1"/>
  <c r="N90" i="1"/>
  <c r="N78" i="1"/>
  <c r="N21" i="1"/>
  <c r="N71" i="1"/>
  <c r="N136" i="1"/>
  <c r="N113" i="1"/>
  <c r="N61" i="1"/>
  <c r="N34" i="1"/>
  <c r="N122" i="1"/>
  <c r="N39" i="1"/>
  <c r="N138" i="1"/>
  <c r="N9" i="1"/>
  <c r="N111" i="1"/>
  <c r="N133" i="1"/>
  <c r="N73" i="1"/>
  <c r="N127" i="1"/>
  <c r="N142" i="1"/>
  <c r="N120" i="1"/>
  <c r="N7" i="1"/>
  <c r="N37" i="1"/>
  <c r="N97" i="1"/>
  <c r="N23" i="1"/>
  <c r="N36" i="1"/>
  <c r="N84" i="1"/>
  <c r="N137" i="1"/>
  <c r="N45" i="1"/>
  <c r="N60" i="1"/>
  <c r="N38" i="1"/>
  <c r="N8" i="1"/>
  <c r="N103" i="1"/>
  <c r="N96" i="1"/>
  <c r="N27" i="1"/>
  <c r="N110" i="1"/>
  <c r="N46" i="1"/>
  <c r="N118" i="1"/>
  <c r="N42" i="1"/>
  <c r="N68" i="1"/>
  <c r="N101" i="1"/>
  <c r="N40" i="1"/>
  <c r="N130" i="1"/>
  <c r="N72" i="1"/>
  <c r="N28" i="1"/>
  <c r="N102" i="1"/>
  <c r="N98" i="1"/>
  <c r="N50" i="1"/>
  <c r="N35" i="1"/>
  <c r="N125" i="1"/>
  <c r="N83" i="1"/>
  <c r="N74" i="1"/>
  <c r="N43" i="1"/>
  <c r="N55" i="1"/>
  <c r="N33" i="1"/>
  <c r="N70" i="1"/>
  <c r="N140" i="1"/>
  <c r="N65" i="1"/>
  <c r="N17" i="1"/>
  <c r="N114" i="1"/>
  <c r="N135" i="1"/>
  <c r="N76" i="1"/>
  <c r="N24" i="1"/>
  <c r="N14" i="1"/>
  <c r="N32" i="1"/>
  <c r="N51" i="1"/>
  <c r="N58" i="1"/>
  <c r="N16" i="1"/>
  <c r="N59" i="1"/>
  <c r="N119" i="1"/>
  <c r="N30" i="1"/>
  <c r="N139" i="1"/>
  <c r="N108" i="1"/>
  <c r="N66" i="1"/>
  <c r="N3" i="1"/>
  <c r="N115" i="1"/>
  <c r="N104" i="1"/>
  <c r="N82" i="1"/>
  <c r="N134" i="1"/>
  <c r="N44" i="1"/>
  <c r="N31" i="1"/>
  <c r="N48" i="1"/>
  <c r="N100" i="1"/>
  <c r="N88" i="1"/>
  <c r="N80" i="1"/>
  <c r="N141" i="1"/>
  <c r="N123" i="1"/>
  <c r="N64" i="1"/>
  <c r="N22" i="1"/>
  <c r="N12" i="1"/>
  <c r="N126" i="1"/>
  <c r="N26" i="1"/>
  <c r="N91" i="1"/>
  <c r="N131" i="1"/>
  <c r="N20" i="1"/>
  <c r="N13" i="1"/>
  <c r="N143" i="1" l="1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E69" i="8"/>
  <c r="AE70" i="8"/>
  <c r="AE71" i="8"/>
  <c r="AE72" i="8"/>
  <c r="AE73" i="8"/>
  <c r="AE74" i="8"/>
  <c r="AE75" i="8"/>
  <c r="AE76" i="8"/>
  <c r="AE77" i="8"/>
  <c r="AE78" i="8"/>
  <c r="AE79" i="8"/>
  <c r="AE80" i="8"/>
  <c r="AE81" i="8"/>
  <c r="AE82" i="8"/>
  <c r="AE83" i="8"/>
  <c r="AE84" i="8"/>
  <c r="AE85" i="8"/>
  <c r="AE86" i="8"/>
  <c r="AE87" i="8"/>
  <c r="AE88" i="8"/>
  <c r="AE89" i="8"/>
  <c r="AE90" i="8"/>
  <c r="AE91" i="8"/>
  <c r="AE92" i="8"/>
  <c r="AE93" i="8"/>
  <c r="AE94" i="8"/>
  <c r="AE95" i="8"/>
  <c r="AE96" i="8"/>
  <c r="AE97" i="8"/>
  <c r="AE98" i="8"/>
  <c r="AE99" i="8"/>
  <c r="AE100" i="8"/>
  <c r="AE101" i="8"/>
  <c r="AE102" i="8"/>
  <c r="AE103" i="8"/>
  <c r="AE104" i="8"/>
  <c r="AE105" i="8"/>
  <c r="AE106" i="8"/>
  <c r="AE107" i="8"/>
  <c r="AE108" i="8"/>
  <c r="AE109" i="8"/>
  <c r="AE110" i="8"/>
  <c r="AE111" i="8"/>
  <c r="AE112" i="8"/>
  <c r="AE113" i="8"/>
  <c r="AE114" i="8"/>
  <c r="AE115" i="8"/>
  <c r="AE116" i="8"/>
  <c r="AE117" i="8"/>
  <c r="AE118" i="8"/>
  <c r="AE119" i="8"/>
  <c r="AE120" i="8"/>
  <c r="AE121" i="8"/>
  <c r="AE122" i="8"/>
  <c r="AE123" i="8"/>
  <c r="AE124" i="8"/>
  <c r="AE125" i="8"/>
  <c r="AE126" i="8"/>
  <c r="AE127" i="8"/>
  <c r="AE128" i="8"/>
  <c r="AE129" i="8"/>
  <c r="AE130" i="8"/>
  <c r="AE131" i="8"/>
  <c r="AE132" i="8"/>
  <c r="AE133" i="8"/>
  <c r="AE134" i="8"/>
  <c r="AE135" i="8"/>
  <c r="AE136" i="8"/>
  <c r="AE137" i="8"/>
  <c r="AE138" i="8"/>
  <c r="AE139" i="8"/>
  <c r="AE140" i="8"/>
  <c r="AE141" i="8"/>
  <c r="AE142" i="8"/>
  <c r="AE3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AJ69" i="8"/>
  <c r="AJ70" i="8"/>
  <c r="AJ71" i="8"/>
  <c r="AJ72" i="8"/>
  <c r="AJ73" i="8"/>
  <c r="AJ74" i="8"/>
  <c r="AJ75" i="8"/>
  <c r="AJ76" i="8"/>
  <c r="AJ77" i="8"/>
  <c r="AJ78" i="8"/>
  <c r="AJ79" i="8"/>
  <c r="AJ80" i="8"/>
  <c r="AJ81" i="8"/>
  <c r="AJ82" i="8"/>
  <c r="AJ83" i="8"/>
  <c r="AJ84" i="8"/>
  <c r="AJ85" i="8"/>
  <c r="AJ86" i="8"/>
  <c r="AJ87" i="8"/>
  <c r="AJ88" i="8"/>
  <c r="AJ89" i="8"/>
  <c r="AJ90" i="8"/>
  <c r="AJ91" i="8"/>
  <c r="AJ92" i="8"/>
  <c r="AJ93" i="8"/>
  <c r="AJ94" i="8"/>
  <c r="AJ95" i="8"/>
  <c r="AJ96" i="8"/>
  <c r="AJ97" i="8"/>
  <c r="AJ98" i="8"/>
  <c r="AJ99" i="8"/>
  <c r="AJ100" i="8"/>
  <c r="AJ101" i="8"/>
  <c r="AJ102" i="8"/>
  <c r="AJ103" i="8"/>
  <c r="AJ104" i="8"/>
  <c r="AJ105" i="8"/>
  <c r="AJ106" i="8"/>
  <c r="AJ107" i="8"/>
  <c r="AJ108" i="8"/>
  <c r="AJ109" i="8"/>
  <c r="AJ110" i="8"/>
  <c r="AJ111" i="8"/>
  <c r="AJ112" i="8"/>
  <c r="AJ113" i="8"/>
  <c r="AJ114" i="8"/>
  <c r="AJ115" i="8"/>
  <c r="AJ116" i="8"/>
  <c r="AJ117" i="8"/>
  <c r="AJ118" i="8"/>
  <c r="AJ119" i="8"/>
  <c r="AJ120" i="8"/>
  <c r="AJ121" i="8"/>
  <c r="AJ122" i="8"/>
  <c r="AJ123" i="8"/>
  <c r="AJ124" i="8"/>
  <c r="AJ125" i="8"/>
  <c r="AJ127" i="8"/>
  <c r="AJ128" i="8"/>
  <c r="AJ129" i="8"/>
  <c r="AJ130" i="8"/>
  <c r="AJ131" i="8"/>
  <c r="AJ132" i="8"/>
  <c r="AJ133" i="8"/>
  <c r="AJ134" i="8"/>
  <c r="AJ135" i="8"/>
  <c r="AJ136" i="8"/>
  <c r="AJ137" i="8"/>
  <c r="AJ138" i="8"/>
  <c r="AJ139" i="8"/>
  <c r="AJ140" i="8"/>
  <c r="AJ141" i="8"/>
  <c r="AJ142" i="8"/>
  <c r="AJ3" i="8"/>
  <c r="AE143" i="8" l="1"/>
  <c r="AJ143" i="8"/>
  <c r="F3" i="9"/>
  <c r="H3" i="9" l="1"/>
  <c r="H143" i="9" s="1"/>
  <c r="F143" i="9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J50" i="9" s="1"/>
  <c r="M111" i="8"/>
  <c r="M112" i="8"/>
  <c r="M113" i="8"/>
  <c r="M114" i="8"/>
  <c r="M115" i="8"/>
  <c r="M116" i="8"/>
  <c r="M117" i="8"/>
  <c r="M118" i="8"/>
  <c r="M119" i="8"/>
  <c r="M120" i="8"/>
  <c r="M121" i="8"/>
  <c r="J20" i="9" s="1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L135" i="1" s="1"/>
  <c r="M139" i="8"/>
  <c r="M140" i="8"/>
  <c r="M141" i="8"/>
  <c r="M142" i="8"/>
  <c r="M143" i="8" l="1"/>
  <c r="J81" i="9"/>
  <c r="J26" i="9"/>
  <c r="J10" i="9"/>
  <c r="J59" i="9"/>
  <c r="J11" i="9"/>
  <c r="J29" i="9"/>
  <c r="J15" i="9"/>
  <c r="J25" i="9"/>
  <c r="J9" i="9"/>
  <c r="J75" i="9"/>
  <c r="J33" i="9"/>
  <c r="J27" i="9"/>
  <c r="J101" i="9"/>
  <c r="J118" i="9"/>
  <c r="J8" i="9"/>
  <c r="J87" i="9"/>
  <c r="J13" i="9"/>
  <c r="J114" i="9"/>
  <c r="J45" i="9"/>
  <c r="J80" i="9"/>
  <c r="J120" i="9"/>
  <c r="J96" i="9"/>
  <c r="J98" i="9"/>
  <c r="J72" i="9"/>
  <c r="J104" i="9"/>
  <c r="J37" i="9"/>
  <c r="J116" i="9"/>
  <c r="J73" i="9"/>
  <c r="J49" i="9"/>
  <c r="J136" i="9"/>
  <c r="J121" i="9"/>
  <c r="J99" i="9"/>
  <c r="J97" i="9"/>
  <c r="J134" i="9"/>
  <c r="J133" i="9"/>
  <c r="J76" i="9"/>
  <c r="J43" i="9"/>
  <c r="J91" i="9"/>
  <c r="J61" i="9"/>
  <c r="J7" i="9"/>
  <c r="J65" i="9"/>
  <c r="J137" i="9"/>
  <c r="J66" i="9"/>
  <c r="J44" i="9"/>
  <c r="J14" i="9"/>
  <c r="J138" i="9"/>
  <c r="J40" i="9"/>
  <c r="J83" i="9"/>
  <c r="J92" i="9"/>
  <c r="J41" i="9"/>
  <c r="J141" i="9"/>
  <c r="J127" i="9"/>
  <c r="J82" i="9"/>
  <c r="J113" i="9"/>
  <c r="J58" i="9"/>
  <c r="J112" i="9"/>
  <c r="J42" i="9"/>
  <c r="J39" i="9"/>
  <c r="J12" i="9"/>
  <c r="J55" i="9"/>
  <c r="J34" i="9"/>
  <c r="J108" i="9"/>
  <c r="J106" i="9"/>
  <c r="J90" i="9"/>
  <c r="J128" i="9"/>
  <c r="J19" i="9"/>
  <c r="J117" i="9"/>
  <c r="J105" i="9"/>
  <c r="J89" i="9"/>
  <c r="J115" i="9"/>
  <c r="J4" i="9"/>
  <c r="J119" i="9"/>
  <c r="J142" i="9"/>
  <c r="J74" i="9"/>
  <c r="J103" i="9"/>
  <c r="J88" i="9"/>
  <c r="J60" i="9"/>
  <c r="J67" i="9"/>
  <c r="J110" i="9"/>
  <c r="J78" i="9"/>
  <c r="J63" i="9"/>
  <c r="J140" i="9"/>
  <c r="J109" i="9"/>
  <c r="J93" i="9"/>
  <c r="J139" i="9"/>
  <c r="J125" i="9"/>
  <c r="J132" i="9"/>
  <c r="J131" i="9"/>
  <c r="J54" i="9"/>
  <c r="J31" i="9"/>
  <c r="J129" i="9"/>
  <c r="J36" i="9"/>
  <c r="J21" i="9"/>
  <c r="J71" i="9"/>
  <c r="J107" i="9"/>
  <c r="J64" i="9"/>
  <c r="J94" i="9"/>
  <c r="J47" i="9"/>
  <c r="J17" i="9"/>
  <c r="J77" i="9"/>
  <c r="J62" i="9"/>
  <c r="J16" i="9"/>
  <c r="J38" i="9"/>
  <c r="J135" i="9"/>
  <c r="J24" i="9"/>
  <c r="J85" i="9"/>
  <c r="J53" i="9"/>
  <c r="J22" i="9"/>
  <c r="J123" i="9"/>
  <c r="J57" i="9"/>
  <c r="J30" i="9"/>
  <c r="J124" i="9"/>
  <c r="J122" i="9"/>
  <c r="J56" i="9"/>
  <c r="J69" i="9"/>
  <c r="J130" i="9"/>
  <c r="J51" i="9"/>
  <c r="J35" i="9"/>
  <c r="J28" i="9"/>
  <c r="J102" i="9"/>
  <c r="J84" i="9"/>
  <c r="J68" i="9"/>
  <c r="J86" i="9"/>
  <c r="J100" i="9"/>
  <c r="J46" i="9"/>
  <c r="J70" i="9"/>
  <c r="J23" i="9"/>
  <c r="J52" i="9"/>
  <c r="J126" i="9"/>
  <c r="J111" i="9"/>
  <c r="J95" i="9"/>
  <c r="J79" i="9"/>
  <c r="J48" i="9"/>
  <c r="J32" i="9"/>
  <c r="J18" i="9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3" i="8"/>
  <c r="L143" i="8" s="1"/>
  <c r="L9" i="1" l="1"/>
  <c r="L40" i="1"/>
  <c r="L58" i="1"/>
  <c r="L115" i="1"/>
  <c r="L24" i="1"/>
  <c r="L12" i="1"/>
  <c r="L22" i="1"/>
  <c r="L38" i="1"/>
  <c r="L97" i="1"/>
  <c r="L130" i="1"/>
  <c r="L55" i="1"/>
  <c r="L16" i="1"/>
  <c r="L104" i="1"/>
  <c r="L42" i="1"/>
  <c r="L31" i="1"/>
  <c r="L101" i="1"/>
  <c r="L94" i="1"/>
  <c r="L90" i="1"/>
  <c r="L112" i="1"/>
  <c r="L103" i="1"/>
  <c r="L59" i="1"/>
  <c r="L67" i="1"/>
  <c r="L126" i="1"/>
  <c r="L53" i="1"/>
  <c r="L75" i="1"/>
  <c r="L78" i="1"/>
  <c r="L73" i="1"/>
  <c r="L96" i="1"/>
  <c r="L28" i="1"/>
  <c r="L70" i="1"/>
  <c r="L52" i="1"/>
  <c r="L99" i="1"/>
  <c r="L32" i="1"/>
  <c r="L26" i="1"/>
  <c r="L51" i="1"/>
  <c r="L21" i="1"/>
  <c r="L127" i="1"/>
  <c r="L25" i="1"/>
  <c r="L54" i="1"/>
  <c r="L30" i="1"/>
  <c r="L57" i="1"/>
  <c r="L71" i="1"/>
  <c r="L88" i="1"/>
  <c r="L98" i="1"/>
  <c r="L8" i="1"/>
  <c r="L65" i="1"/>
  <c r="L139" i="1"/>
  <c r="L105" i="1"/>
  <c r="L106" i="1"/>
  <c r="L45" i="1"/>
  <c r="L80" i="1"/>
  <c r="L131" i="1"/>
  <c r="L119" i="1"/>
  <c r="L60" i="1"/>
  <c r="L56" i="1"/>
  <c r="L117" i="1"/>
  <c r="L79" i="1"/>
  <c r="L136" i="1"/>
  <c r="L116" i="1"/>
  <c r="L87" i="1"/>
  <c r="L48" i="1"/>
  <c r="L132" i="1"/>
  <c r="L17" i="1"/>
  <c r="L76" i="1"/>
  <c r="L129" i="1"/>
  <c r="L141" i="1"/>
  <c r="L69" i="1"/>
  <c r="L93" i="1"/>
  <c r="L6" i="1"/>
  <c r="L14" i="1"/>
  <c r="L35" i="1"/>
  <c r="L114" i="1"/>
  <c r="L92" i="1"/>
  <c r="L66" i="1"/>
  <c r="L120" i="1"/>
  <c r="L7" i="1"/>
  <c r="L123" i="1"/>
  <c r="L13" i="1"/>
  <c r="L109" i="1"/>
  <c r="L72" i="1"/>
  <c r="L61" i="1"/>
  <c r="L29" i="1"/>
  <c r="L128" i="1"/>
  <c r="L44" i="1"/>
  <c r="L50" i="1"/>
  <c r="L95" i="1"/>
  <c r="L122" i="1"/>
  <c r="L23" i="1"/>
  <c r="L10" i="1"/>
  <c r="L36" i="1"/>
  <c r="L138" i="1"/>
  <c r="L63" i="1"/>
  <c r="L34" i="1"/>
  <c r="L3" i="1"/>
  <c r="L49" i="1"/>
  <c r="L137" i="1"/>
  <c r="L110" i="1"/>
  <c r="L100" i="1"/>
  <c r="L142" i="1"/>
  <c r="L43" i="1"/>
  <c r="L89" i="1"/>
  <c r="L41" i="1"/>
  <c r="L82" i="1"/>
  <c r="L125" i="1"/>
  <c r="L64" i="1"/>
  <c r="L124" i="1"/>
  <c r="L33" i="1"/>
  <c r="L11" i="1"/>
  <c r="L62" i="1"/>
  <c r="L84" i="1"/>
  <c r="L39" i="1"/>
  <c r="L19" i="1"/>
  <c r="L77" i="1"/>
  <c r="L27" i="1"/>
  <c r="L74" i="1"/>
  <c r="L113" i="1"/>
  <c r="L108" i="1"/>
  <c r="L86" i="1"/>
  <c r="L111" i="1"/>
  <c r="L18" i="1"/>
  <c r="L83" i="1"/>
  <c r="L118" i="1"/>
  <c r="L46" i="1"/>
  <c r="L102" i="1"/>
  <c r="L20" i="1"/>
  <c r="L133" i="1"/>
  <c r="L134" i="1"/>
  <c r="L68" i="1"/>
  <c r="L15" i="1"/>
  <c r="L107" i="1"/>
  <c r="L91" i="1"/>
  <c r="L140" i="1"/>
  <c r="L5" i="1"/>
  <c r="L121" i="1"/>
  <c r="L85" i="1"/>
  <c r="L47" i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4" i="5"/>
  <c r="D5" i="4"/>
  <c r="D6" i="4"/>
  <c r="D7" i="4"/>
  <c r="D8" i="4"/>
  <c r="D9" i="4"/>
  <c r="D10" i="4"/>
  <c r="D11" i="4"/>
  <c r="D12" i="4"/>
  <c r="D13" i="4"/>
  <c r="D14" i="4"/>
  <c r="D15" i="4"/>
  <c r="D17" i="4"/>
  <c r="D18" i="4"/>
  <c r="D19" i="4"/>
  <c r="D20" i="4"/>
  <c r="D21" i="4"/>
  <c r="D25" i="4"/>
  <c r="D26" i="4"/>
  <c r="D27" i="4"/>
  <c r="D28" i="4"/>
  <c r="D58" i="4"/>
  <c r="D60" i="4"/>
  <c r="D3" i="4" l="1"/>
  <c r="D3" i="5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3" i="8"/>
  <c r="I143" i="8" s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3" i="8"/>
  <c r="G143" i="8" s="1"/>
  <c r="J6" i="9" l="1"/>
  <c r="L4" i="1"/>
  <c r="J5" i="9"/>
  <c r="L81" i="1"/>
  <c r="J3" i="9"/>
  <c r="L37" i="1"/>
  <c r="E71" i="1"/>
  <c r="L143" i="1" l="1"/>
  <c r="J143" i="9"/>
  <c r="G141" i="1" l="1"/>
  <c r="E141" i="1"/>
  <c r="E98" i="1"/>
  <c r="E72" i="1"/>
  <c r="AK142" i="8"/>
  <c r="G47" i="1"/>
  <c r="K141" i="8"/>
  <c r="E124" i="1"/>
  <c r="K140" i="8"/>
  <c r="AK139" i="8"/>
  <c r="AF138" i="8"/>
  <c r="E35" i="1"/>
  <c r="K136" i="8"/>
  <c r="E66" i="1"/>
  <c r="AF136" i="8"/>
  <c r="J135" i="8"/>
  <c r="E85" i="1"/>
  <c r="K134" i="8"/>
  <c r="E81" i="1"/>
  <c r="AK133" i="8"/>
  <c r="E31" i="1"/>
  <c r="AF133" i="8"/>
  <c r="AF132" i="8"/>
  <c r="AK131" i="8"/>
  <c r="E61" i="1"/>
  <c r="AK130" i="8"/>
  <c r="K129" i="8"/>
  <c r="E84" i="1"/>
  <c r="AF129" i="8"/>
  <c r="AF128" i="8"/>
  <c r="E120" i="1"/>
  <c r="K126" i="8"/>
  <c r="AF125" i="8"/>
  <c r="E94" i="1"/>
  <c r="AK124" i="8"/>
  <c r="E130" i="1"/>
  <c r="K123" i="8"/>
  <c r="E121" i="1"/>
  <c r="E76" i="1"/>
  <c r="AF120" i="8"/>
  <c r="E57" i="1"/>
  <c r="E112" i="1"/>
  <c r="E118" i="1"/>
  <c r="J117" i="8"/>
  <c r="J116" i="8"/>
  <c r="E91" i="1"/>
  <c r="K115" i="8"/>
  <c r="AF115" i="8"/>
  <c r="E102" i="1"/>
  <c r="E101" i="1"/>
  <c r="E106" i="1"/>
  <c r="E12" i="1"/>
  <c r="K111" i="8"/>
  <c r="J111" i="8"/>
  <c r="AK110" i="8"/>
  <c r="J110" i="8"/>
  <c r="AK109" i="8"/>
  <c r="E44" i="1"/>
  <c r="E88" i="1"/>
  <c r="E5" i="1"/>
  <c r="G68" i="1"/>
  <c r="K104" i="8"/>
  <c r="E51" i="1"/>
  <c r="AF104" i="8"/>
  <c r="AF103" i="8"/>
  <c r="G139" i="1"/>
  <c r="E139" i="1"/>
  <c r="K102" i="8"/>
  <c r="G119" i="1"/>
  <c r="E119" i="1"/>
  <c r="AK101" i="8"/>
  <c r="E133" i="1"/>
  <c r="J101" i="8"/>
  <c r="J100" i="8"/>
  <c r="AK99" i="8"/>
  <c r="J99" i="8"/>
  <c r="E19" i="1"/>
  <c r="AK98" i="8"/>
  <c r="K97" i="8"/>
  <c r="E100" i="1"/>
  <c r="AF97" i="8"/>
  <c r="AF95" i="8"/>
  <c r="K94" i="8"/>
  <c r="J94" i="8"/>
  <c r="E55" i="1"/>
  <c r="AK92" i="8"/>
  <c r="E140" i="1"/>
  <c r="G15" i="1"/>
  <c r="E15" i="1"/>
  <c r="AK88" i="8"/>
  <c r="E30" i="1"/>
  <c r="AF88" i="8"/>
  <c r="J87" i="8"/>
  <c r="G20" i="1"/>
  <c r="E20" i="1"/>
  <c r="K86" i="8"/>
  <c r="E83" i="1"/>
  <c r="AK85" i="8"/>
  <c r="E4" i="1"/>
  <c r="J85" i="8"/>
  <c r="K83" i="8"/>
  <c r="J83" i="8"/>
  <c r="G86" i="1"/>
  <c r="E86" i="1"/>
  <c r="G108" i="1"/>
  <c r="E108" i="1"/>
  <c r="AK81" i="8"/>
  <c r="E113" i="1"/>
  <c r="AF80" i="8"/>
  <c r="E46" i="1"/>
  <c r="AF79" i="8"/>
  <c r="K78" i="8"/>
  <c r="G27" i="1"/>
  <c r="J78" i="8"/>
  <c r="J77" i="8"/>
  <c r="E41" i="1"/>
  <c r="AK76" i="8"/>
  <c r="J74" i="8"/>
  <c r="E33" i="1"/>
  <c r="E82" i="1"/>
  <c r="J72" i="8"/>
  <c r="AF71" i="8"/>
  <c r="E89" i="1"/>
  <c r="K70" i="8"/>
  <c r="J70" i="8"/>
  <c r="E142" i="1"/>
  <c r="K69" i="8"/>
  <c r="G110" i="1"/>
  <c r="E110" i="1"/>
  <c r="J69" i="8"/>
  <c r="AK67" i="8"/>
  <c r="AF67" i="8"/>
  <c r="E137" i="1"/>
  <c r="E49" i="1"/>
  <c r="AK65" i="8"/>
  <c r="E3" i="1"/>
  <c r="E34" i="1"/>
  <c r="K63" i="8"/>
  <c r="G135" i="1"/>
  <c r="J63" i="8"/>
  <c r="AK62" i="8"/>
  <c r="K61" i="8"/>
  <c r="E36" i="1"/>
  <c r="E79" i="1"/>
  <c r="E23" i="1"/>
  <c r="G122" i="1"/>
  <c r="J57" i="8"/>
  <c r="AK56" i="8"/>
  <c r="E95" i="1"/>
  <c r="E50" i="1"/>
  <c r="AK54" i="8"/>
  <c r="J54" i="8"/>
  <c r="AK53" i="8"/>
  <c r="AF53" i="8"/>
  <c r="AK52" i="8"/>
  <c r="AK51" i="8"/>
  <c r="E7" i="1"/>
  <c r="K49" i="8"/>
  <c r="E29" i="1"/>
  <c r="AF48" i="8"/>
  <c r="AF47" i="8"/>
  <c r="G92" i="1"/>
  <c r="J45" i="8"/>
  <c r="E26" i="1"/>
  <c r="E6" i="1"/>
  <c r="AK43" i="8"/>
  <c r="E69" i="1"/>
  <c r="G17" i="1"/>
  <c r="K40" i="8"/>
  <c r="E132" i="1"/>
  <c r="J40" i="8"/>
  <c r="E87" i="1"/>
  <c r="K38" i="8"/>
  <c r="AF38" i="8"/>
  <c r="E116" i="1"/>
  <c r="K37" i="8"/>
  <c r="G136" i="1"/>
  <c r="E136" i="1"/>
  <c r="J37" i="8"/>
  <c r="G117" i="1"/>
  <c r="K35" i="8"/>
  <c r="G56" i="1"/>
  <c r="E56" i="1"/>
  <c r="K34" i="8"/>
  <c r="G60" i="1"/>
  <c r="E60" i="1"/>
  <c r="E131" i="1"/>
  <c r="J33" i="8"/>
  <c r="J32" i="8"/>
  <c r="E80" i="1"/>
  <c r="J31" i="8"/>
  <c r="AK29" i="8"/>
  <c r="AF29" i="8"/>
  <c r="E65" i="1"/>
  <c r="K28" i="8"/>
  <c r="AF26" i="8"/>
  <c r="E54" i="1"/>
  <c r="E18" i="1"/>
  <c r="E21" i="1"/>
  <c r="J24" i="8"/>
  <c r="K23" i="8"/>
  <c r="J23" i="8"/>
  <c r="E39" i="1"/>
  <c r="K22" i="8"/>
  <c r="J22" i="8"/>
  <c r="E99" i="1"/>
  <c r="E70" i="1"/>
  <c r="AF21" i="8"/>
  <c r="K20" i="8"/>
  <c r="AK19" i="8"/>
  <c r="AF19" i="8"/>
  <c r="G78" i="1"/>
  <c r="E78" i="1"/>
  <c r="K18" i="8"/>
  <c r="G75" i="1"/>
  <c r="E75" i="1"/>
  <c r="E53" i="1"/>
  <c r="E126" i="1"/>
  <c r="AK15" i="8"/>
  <c r="G59" i="1"/>
  <c r="J15" i="8"/>
  <c r="AK13" i="8"/>
  <c r="J13" i="8"/>
  <c r="E104" i="1"/>
  <c r="E16" i="1"/>
  <c r="AK11" i="8"/>
  <c r="E90" i="1"/>
  <c r="J9" i="8"/>
  <c r="AK8" i="8"/>
  <c r="E38" i="1"/>
  <c r="AF7" i="8"/>
  <c r="E22" i="1"/>
  <c r="AF6" i="8"/>
  <c r="E24" i="1"/>
  <c r="AK5" i="8"/>
  <c r="G58" i="1"/>
  <c r="E58" i="1"/>
  <c r="J5" i="8"/>
  <c r="K4" i="8"/>
  <c r="K3" i="8"/>
  <c r="E37" i="1"/>
  <c r="E45" i="1"/>
  <c r="E17" i="1"/>
  <c r="E128" i="1"/>
  <c r="E138" i="1"/>
  <c r="C24" i="2"/>
  <c r="AG16" i="8" s="1"/>
  <c r="E32" i="1"/>
  <c r="AK9" i="8"/>
  <c r="AK25" i="8"/>
  <c r="AF18" i="8"/>
  <c r="AK36" i="8"/>
  <c r="AK48" i="8"/>
  <c r="AF50" i="8"/>
  <c r="AF59" i="8"/>
  <c r="AF60" i="8"/>
  <c r="AK61" i="8"/>
  <c r="AF73" i="8"/>
  <c r="AK74" i="8"/>
  <c r="AK39" i="8"/>
  <c r="AF91" i="8"/>
  <c r="AK105" i="8"/>
  <c r="AK106" i="8"/>
  <c r="AK112" i="8"/>
  <c r="AK125" i="8"/>
  <c r="AK135" i="8"/>
  <c r="AK129" i="8"/>
  <c r="AF43" i="8"/>
  <c r="AK89" i="8"/>
  <c r="AF137" i="8"/>
  <c r="AF134" i="8"/>
  <c r="AK122" i="8"/>
  <c r="AF70" i="8"/>
  <c r="AF124" i="8"/>
  <c r="AK90" i="8"/>
  <c r="J11" i="8"/>
  <c r="J25" i="8"/>
  <c r="J18" i="8"/>
  <c r="J34" i="8"/>
  <c r="J121" i="8"/>
  <c r="J41" i="8"/>
  <c r="J44" i="8"/>
  <c r="K48" i="8"/>
  <c r="J59" i="8"/>
  <c r="K64" i="8"/>
  <c r="K68" i="8"/>
  <c r="K73" i="8"/>
  <c r="K39" i="8"/>
  <c r="K29" i="8"/>
  <c r="J92" i="8"/>
  <c r="K93" i="8"/>
  <c r="K103" i="8"/>
  <c r="J105" i="8"/>
  <c r="J114" i="8"/>
  <c r="J118" i="8"/>
  <c r="K119" i="8"/>
  <c r="K135" i="8"/>
  <c r="J127" i="8"/>
  <c r="J130" i="8"/>
  <c r="K132" i="8"/>
  <c r="J133" i="8"/>
  <c r="J108" i="8"/>
  <c r="J123" i="8"/>
  <c r="J140" i="8"/>
  <c r="K58" i="8"/>
  <c r="J134" i="8"/>
  <c r="K122" i="8"/>
  <c r="K26" i="8"/>
  <c r="K71" i="8"/>
  <c r="J136" i="8"/>
  <c r="K33" i="8"/>
  <c r="K80" i="8"/>
  <c r="J86" i="8"/>
  <c r="J124" i="8"/>
  <c r="K42" i="8"/>
  <c r="J102" i="8"/>
  <c r="K116" i="8"/>
  <c r="K7" i="8"/>
  <c r="J60" i="8"/>
  <c r="J27" i="8"/>
  <c r="J98" i="8"/>
  <c r="K41" i="8"/>
  <c r="K55" i="8"/>
  <c r="K100" i="8"/>
  <c r="J88" i="8"/>
  <c r="J128" i="8"/>
  <c r="K128" i="8"/>
  <c r="K112" i="8"/>
  <c r="J76" i="8"/>
  <c r="E74" i="1"/>
  <c r="J89" i="8"/>
  <c r="K96" i="8"/>
  <c r="J139" i="8"/>
  <c r="J66" i="8"/>
  <c r="J73" i="8"/>
  <c r="K106" i="8"/>
  <c r="K74" i="8"/>
  <c r="E127" i="1"/>
  <c r="J137" i="8"/>
  <c r="J50" i="8"/>
  <c r="G127" i="1"/>
  <c r="J107" i="8"/>
  <c r="K52" i="8"/>
  <c r="J47" i="8"/>
  <c r="J12" i="8"/>
  <c r="K109" i="8"/>
  <c r="J82" i="8"/>
  <c r="E109" i="1"/>
  <c r="K138" i="8"/>
  <c r="K25" i="8"/>
  <c r="K87" i="8"/>
  <c r="G88" i="1"/>
  <c r="K57" i="8"/>
  <c r="K89" i="8"/>
  <c r="K131" i="8"/>
  <c r="K77" i="8"/>
  <c r="K10" i="8"/>
  <c r="K90" i="8"/>
  <c r="J95" i="8"/>
  <c r="J79" i="8"/>
  <c r="K16" i="8"/>
  <c r="K133" i="8"/>
  <c r="G140" i="1"/>
  <c r="J53" i="8"/>
  <c r="K32" i="8"/>
  <c r="E14" i="1"/>
  <c r="G62" i="1"/>
  <c r="G134" i="1"/>
  <c r="K125" i="8"/>
  <c r="K45" i="8"/>
  <c r="G71" i="1"/>
  <c r="J75" i="8"/>
  <c r="K105" i="8"/>
  <c r="K36" i="8"/>
  <c r="K9" i="8"/>
  <c r="K137" i="8"/>
  <c r="J6" i="8"/>
  <c r="J120" i="8"/>
  <c r="J91" i="8"/>
  <c r="K110" i="8"/>
  <c r="K84" i="8"/>
  <c r="J28" i="8"/>
  <c r="K121" i="8"/>
  <c r="J43" i="8"/>
  <c r="AG64" i="8"/>
  <c r="AF139" i="8"/>
  <c r="AK58" i="8"/>
  <c r="AF140" i="8"/>
  <c r="AK134" i="8"/>
  <c r="AF99" i="8"/>
  <c r="AK128" i="8"/>
  <c r="AK32" i="8"/>
  <c r="AF130" i="8"/>
  <c r="AK137" i="8"/>
  <c r="AK73" i="8"/>
  <c r="AF34" i="8"/>
  <c r="AF31" i="8"/>
  <c r="AK119" i="8"/>
  <c r="AF105" i="8"/>
  <c r="AK141" i="8"/>
  <c r="AF123" i="8"/>
  <c r="AF82" i="8"/>
  <c r="AF9" i="8"/>
  <c r="AF118" i="8"/>
  <c r="AF98" i="8"/>
  <c r="AF25" i="8"/>
  <c r="AF89" i="8"/>
  <c r="AF76" i="8"/>
  <c r="AK45" i="8"/>
  <c r="AF102" i="8"/>
  <c r="AK23" i="8"/>
  <c r="AF12" i="8"/>
  <c r="AK103" i="8"/>
  <c r="AK55" i="8"/>
  <c r="AF28" i="8"/>
  <c r="AK64" i="8"/>
  <c r="AK121" i="8"/>
  <c r="AF121" i="8"/>
  <c r="AF11" i="8"/>
  <c r="AF92" i="8"/>
  <c r="AK77" i="8"/>
  <c r="AK132" i="8"/>
  <c r="AF27" i="8"/>
  <c r="AK86" i="8"/>
  <c r="AF86" i="8"/>
  <c r="AF107" i="8"/>
  <c r="AF63" i="8"/>
  <c r="AK26" i="8"/>
  <c r="AF75" i="8"/>
  <c r="AK20" i="8"/>
  <c r="AF127" i="8"/>
  <c r="AF66" i="8"/>
  <c r="AK57" i="8"/>
  <c r="AF57" i="8"/>
  <c r="AK138" i="8"/>
  <c r="AK94" i="8"/>
  <c r="AK71" i="8"/>
  <c r="AF114" i="8"/>
  <c r="AK96" i="8"/>
  <c r="AF44" i="8"/>
  <c r="AF15" i="8"/>
  <c r="AF111" i="8"/>
  <c r="AF41" i="8"/>
  <c r="AK41" i="8"/>
  <c r="AK68" i="8"/>
  <c r="AK7" i="8"/>
  <c r="AK93" i="8"/>
  <c r="AK42" i="8"/>
  <c r="AK16" i="8"/>
  <c r="AK87" i="8"/>
  <c r="AK100" i="8"/>
  <c r="AF54" i="8"/>
  <c r="AK10" i="8"/>
  <c r="AK116" i="8"/>
  <c r="AK33" i="8"/>
  <c r="AF108" i="8"/>
  <c r="AK80" i="8"/>
  <c r="AK84" i="8"/>
  <c r="K142" i="9"/>
  <c r="K98" i="9"/>
  <c r="K51" i="9"/>
  <c r="K141" i="9"/>
  <c r="K117" i="9"/>
  <c r="K40" i="9"/>
  <c r="K135" i="9"/>
  <c r="K131" i="9"/>
  <c r="K5" i="9"/>
  <c r="K97" i="9"/>
  <c r="K10" i="9"/>
  <c r="K82" i="9"/>
  <c r="K48" i="9"/>
  <c r="K99" i="9"/>
  <c r="K93" i="9"/>
  <c r="K113" i="9"/>
  <c r="K79" i="9"/>
  <c r="K81" i="9"/>
  <c r="K136" i="9"/>
  <c r="K8" i="9"/>
  <c r="K14" i="9"/>
  <c r="K67" i="9"/>
  <c r="K35" i="9"/>
  <c r="K3" i="9"/>
  <c r="K104" i="9"/>
  <c r="K139" i="9"/>
  <c r="K22" i="9"/>
  <c r="K47" i="9"/>
  <c r="K54" i="9"/>
  <c r="K116" i="9"/>
  <c r="K45" i="9"/>
  <c r="K127" i="9"/>
  <c r="K125" i="9"/>
  <c r="K134" i="9"/>
  <c r="K90" i="9"/>
  <c r="K13" i="9"/>
  <c r="K53" i="9"/>
  <c r="K38" i="9"/>
  <c r="K74" i="9"/>
  <c r="K100" i="9"/>
  <c r="K126" i="9"/>
  <c r="K72" i="9"/>
  <c r="K11" i="9"/>
  <c r="K29" i="9"/>
  <c r="K138" i="9"/>
  <c r="K140" i="9"/>
  <c r="K118" i="9"/>
  <c r="K20" i="9"/>
  <c r="K42" i="9"/>
  <c r="K101" i="9"/>
  <c r="K9" i="9"/>
  <c r="K46" i="9"/>
  <c r="K44" i="9"/>
  <c r="K75" i="9"/>
  <c r="K30" i="9"/>
  <c r="K137" i="9"/>
  <c r="K86" i="9"/>
  <c r="K132" i="9"/>
  <c r="K21" i="9"/>
  <c r="K6" i="9"/>
  <c r="K128" i="9"/>
  <c r="K96" i="9"/>
  <c r="K95" i="9"/>
  <c r="K60" i="9"/>
  <c r="K69" i="9"/>
  <c r="K24" i="9"/>
  <c r="K55" i="9"/>
  <c r="K36" i="9"/>
  <c r="K52" i="9"/>
  <c r="K119" i="9"/>
  <c r="K70" i="9"/>
  <c r="K62" i="9"/>
  <c r="K58" i="9"/>
  <c r="K78" i="9"/>
  <c r="K84" i="9"/>
  <c r="K102" i="9"/>
  <c r="K89" i="9"/>
  <c r="K133" i="9"/>
  <c r="K109" i="9"/>
  <c r="K122" i="9"/>
  <c r="K114" i="9"/>
  <c r="K120" i="9"/>
  <c r="K50" i="9"/>
  <c r="K63" i="9"/>
  <c r="K107" i="9"/>
  <c r="K56" i="9"/>
  <c r="K61" i="9"/>
  <c r="K27" i="9"/>
  <c r="K65" i="9"/>
  <c r="K57" i="9"/>
  <c r="K103" i="9"/>
  <c r="K17" i="9"/>
  <c r="K88" i="9"/>
  <c r="K15" i="9"/>
  <c r="K59" i="9"/>
  <c r="K28" i="9"/>
  <c r="K26" i="9"/>
  <c r="K123" i="9"/>
  <c r="K91" i="9"/>
  <c r="K110" i="9"/>
  <c r="K66" i="9"/>
  <c r="K49" i="9"/>
  <c r="K73" i="9"/>
  <c r="K124" i="9"/>
  <c r="K108" i="9"/>
  <c r="K80" i="9"/>
  <c r="K33" i="9"/>
  <c r="K112" i="9"/>
  <c r="K111" i="9"/>
  <c r="K25" i="9"/>
  <c r="K37" i="9"/>
  <c r="K16" i="9"/>
  <c r="K64" i="9"/>
  <c r="K71" i="9"/>
  <c r="K121" i="9"/>
  <c r="K32" i="9"/>
  <c r="K12" i="9"/>
  <c r="K39" i="9"/>
  <c r="K92" i="9"/>
  <c r="K31" i="9"/>
  <c r="K76" i="9"/>
  <c r="K87" i="9"/>
  <c r="K115" i="9"/>
  <c r="K41" i="9"/>
  <c r="K68" i="9"/>
  <c r="K105" i="9"/>
  <c r="K129" i="9"/>
  <c r="K106" i="9"/>
  <c r="K19" i="9"/>
  <c r="K4" i="9"/>
  <c r="K85" i="9"/>
  <c r="K77" i="9"/>
  <c r="K83" i="9"/>
  <c r="K7" i="9"/>
  <c r="K18" i="9"/>
  <c r="K34" i="9"/>
  <c r="K130" i="9"/>
  <c r="K43" i="9"/>
  <c r="K23" i="9"/>
  <c r="K94" i="9"/>
  <c r="AG4" i="8" l="1"/>
  <c r="AH4" i="8" s="1"/>
  <c r="AI4" i="8" s="1"/>
  <c r="E5" i="4"/>
  <c r="F5" i="4" s="1"/>
  <c r="AL4" i="8"/>
  <c r="I61" i="1"/>
  <c r="I98" i="1"/>
  <c r="O5" i="1"/>
  <c r="O38" i="1"/>
  <c r="O115" i="1"/>
  <c r="O22" i="1"/>
  <c r="O19" i="1"/>
  <c r="O8" i="1"/>
  <c r="O104" i="1"/>
  <c r="O12" i="1"/>
  <c r="O63" i="1"/>
  <c r="O103" i="1"/>
  <c r="O67" i="1"/>
  <c r="O126" i="1"/>
  <c r="O75" i="1"/>
  <c r="O96" i="1"/>
  <c r="O52" i="1"/>
  <c r="O26" i="1"/>
  <c r="O85" i="1"/>
  <c r="O27" i="1"/>
  <c r="O82" i="1"/>
  <c r="O91" i="1"/>
  <c r="O86" i="1"/>
  <c r="O110" i="1"/>
  <c r="O105" i="1"/>
  <c r="O131" i="1"/>
  <c r="O79" i="1"/>
  <c r="O132" i="1"/>
  <c r="O76" i="1"/>
  <c r="O20" i="1"/>
  <c r="O6" i="1"/>
  <c r="O46" i="1"/>
  <c r="O120" i="1"/>
  <c r="O13" i="1"/>
  <c r="O10" i="1"/>
  <c r="O128" i="1"/>
  <c r="O84" i="1"/>
  <c r="O81" i="1"/>
  <c r="O40" i="1"/>
  <c r="O24" i="1"/>
  <c r="O95" i="1"/>
  <c r="O124" i="1"/>
  <c r="O130" i="1"/>
  <c r="O77" i="1"/>
  <c r="O101" i="1"/>
  <c r="O90" i="1"/>
  <c r="O72" i="1"/>
  <c r="O137" i="1"/>
  <c r="O138" i="1"/>
  <c r="O78" i="1"/>
  <c r="O28" i="1"/>
  <c r="O99" i="1"/>
  <c r="O51" i="1"/>
  <c r="O21" i="1"/>
  <c r="O102" i="1"/>
  <c r="O118" i="1"/>
  <c r="O49" i="1"/>
  <c r="O71" i="1"/>
  <c r="O98" i="1"/>
  <c r="O106" i="1"/>
  <c r="O60" i="1"/>
  <c r="O136" i="1"/>
  <c r="O50" i="1"/>
  <c r="O14" i="1"/>
  <c r="O134" i="1"/>
  <c r="O113" i="1"/>
  <c r="O35" i="1"/>
  <c r="O7" i="1"/>
  <c r="O64" i="1"/>
  <c r="O61" i="1"/>
  <c r="O125" i="1"/>
  <c r="O83" i="1"/>
  <c r="O9" i="1"/>
  <c r="O43" i="1"/>
  <c r="O39" i="1"/>
  <c r="O18" i="1"/>
  <c r="O111" i="1"/>
  <c r="O55" i="1"/>
  <c r="O42" i="1"/>
  <c r="O47" i="1"/>
  <c r="O133" i="1"/>
  <c r="O33" i="1"/>
  <c r="O121" i="1"/>
  <c r="O53" i="1"/>
  <c r="O73" i="1"/>
  <c r="O37" i="1"/>
  <c r="O97" i="1"/>
  <c r="O23" i="1"/>
  <c r="O36" i="1"/>
  <c r="O100" i="1"/>
  <c r="O25" i="1"/>
  <c r="O88" i="1"/>
  <c r="O117" i="1"/>
  <c r="O80" i="1"/>
  <c r="O87" i="1"/>
  <c r="O141" i="1"/>
  <c r="O122" i="1"/>
  <c r="O123" i="1"/>
  <c r="O29" i="1"/>
  <c r="O58" i="1"/>
  <c r="O16" i="1"/>
  <c r="O59" i="1"/>
  <c r="O70" i="1"/>
  <c r="O11" i="1"/>
  <c r="O140" i="1"/>
  <c r="O57" i="1"/>
  <c r="O65" i="1"/>
  <c r="O15" i="1"/>
  <c r="O17" i="1"/>
  <c r="O69" i="1"/>
  <c r="O114" i="1"/>
  <c r="O92" i="1"/>
  <c r="O135" i="1"/>
  <c r="O44" i="1"/>
  <c r="O31" i="1"/>
  <c r="O48" i="1"/>
  <c r="O119" i="1"/>
  <c r="O62" i="1"/>
  <c r="O30" i="1"/>
  <c r="O107" i="1"/>
  <c r="O139" i="1"/>
  <c r="O56" i="1"/>
  <c r="O108" i="1"/>
  <c r="O93" i="1"/>
  <c r="O66" i="1"/>
  <c r="O109" i="1"/>
  <c r="O3" i="1"/>
  <c r="O4" i="1"/>
  <c r="O41" i="1"/>
  <c r="O54" i="1"/>
  <c r="O89" i="1"/>
  <c r="O32" i="1"/>
  <c r="O127" i="1"/>
  <c r="O74" i="1"/>
  <c r="O142" i="1"/>
  <c r="O45" i="1"/>
  <c r="O116" i="1"/>
  <c r="O129" i="1"/>
  <c r="O94" i="1"/>
  <c r="O112" i="1"/>
  <c r="O34" i="1"/>
  <c r="O68" i="1"/>
  <c r="E80" i="4"/>
  <c r="H80" i="4" s="1"/>
  <c r="E82" i="4"/>
  <c r="H82" i="4" s="1"/>
  <c r="E74" i="4"/>
  <c r="H74" i="4" s="1"/>
  <c r="E47" i="4"/>
  <c r="F47" i="4" s="1"/>
  <c r="E84" i="4"/>
  <c r="H84" i="4" s="1"/>
  <c r="E13" i="4"/>
  <c r="F13" i="4" s="1"/>
  <c r="E37" i="4"/>
  <c r="F37" i="4" s="1"/>
  <c r="E38" i="4"/>
  <c r="F38" i="4" s="1"/>
  <c r="T9" i="1"/>
  <c r="E54" i="4"/>
  <c r="F54" i="4" s="1"/>
  <c r="E68" i="4"/>
  <c r="E32" i="4"/>
  <c r="F32" i="4" s="1"/>
  <c r="E43" i="4"/>
  <c r="F43" i="4" s="1"/>
  <c r="E81" i="4"/>
  <c r="H81" i="4" s="1"/>
  <c r="E42" i="4"/>
  <c r="F42" i="4" s="1"/>
  <c r="E60" i="4"/>
  <c r="F60" i="4" s="1"/>
  <c r="E56" i="4"/>
  <c r="F56" i="4" s="1"/>
  <c r="E34" i="4"/>
  <c r="F34" i="4" s="1"/>
  <c r="E67" i="4"/>
  <c r="E30" i="4"/>
  <c r="F30" i="4" s="1"/>
  <c r="E45" i="4"/>
  <c r="F45" i="4" s="1"/>
  <c r="T18" i="1"/>
  <c r="T72" i="1"/>
  <c r="E31" i="4"/>
  <c r="F31" i="4" s="1"/>
  <c r="E78" i="4"/>
  <c r="H78" i="4" s="1"/>
  <c r="E50" i="4"/>
  <c r="F50" i="4" s="1"/>
  <c r="E51" i="4"/>
  <c r="F51" i="4" s="1"/>
  <c r="E59" i="4"/>
  <c r="F59" i="4" s="1"/>
  <c r="E55" i="4"/>
  <c r="F55" i="4" s="1"/>
  <c r="E79" i="4"/>
  <c r="H79" i="4" s="1"/>
  <c r="E75" i="4"/>
  <c r="H75" i="4" s="1"/>
  <c r="E61" i="4"/>
  <c r="H61" i="4" s="1"/>
  <c r="E52" i="4"/>
  <c r="F52" i="4" s="1"/>
  <c r="E49" i="4"/>
  <c r="F49" i="4" s="1"/>
  <c r="E36" i="4"/>
  <c r="F36" i="4" s="1"/>
  <c r="E62" i="4"/>
  <c r="H62" i="4" s="1"/>
  <c r="E35" i="4"/>
  <c r="F35" i="4" s="1"/>
  <c r="AG29" i="8"/>
  <c r="AH29" i="8" s="1"/>
  <c r="AI29" i="8" s="1"/>
  <c r="AG40" i="8"/>
  <c r="AG68" i="8"/>
  <c r="J88" i="1"/>
  <c r="I50" i="1"/>
  <c r="D93" i="1"/>
  <c r="I18" i="1"/>
  <c r="I111" i="1"/>
  <c r="H97" i="1"/>
  <c r="H48" i="1"/>
  <c r="J94" i="1"/>
  <c r="I129" i="1"/>
  <c r="I23" i="1"/>
  <c r="H71" i="1"/>
  <c r="I20" i="1"/>
  <c r="H127" i="1"/>
  <c r="I90" i="1"/>
  <c r="J62" i="1"/>
  <c r="K131" i="1"/>
  <c r="I34" i="1"/>
  <c r="K72" i="1"/>
  <c r="H13" i="1"/>
  <c r="H129" i="1"/>
  <c r="K17" i="1"/>
  <c r="K91" i="1"/>
  <c r="I77" i="1"/>
  <c r="I131" i="1"/>
  <c r="J135" i="1"/>
  <c r="H28" i="1"/>
  <c r="J142" i="1"/>
  <c r="J120" i="1"/>
  <c r="J18" i="1"/>
  <c r="H59" i="1"/>
  <c r="H6" i="1"/>
  <c r="H11" i="1"/>
  <c r="J46" i="1"/>
  <c r="I75" i="1"/>
  <c r="D11" i="1"/>
  <c r="D31" i="1"/>
  <c r="J128" i="1"/>
  <c r="H128" i="1"/>
  <c r="D14" i="1"/>
  <c r="D114" i="1"/>
  <c r="H24" i="1"/>
  <c r="J10" i="1"/>
  <c r="I116" i="1"/>
  <c r="H142" i="1"/>
  <c r="J93" i="1"/>
  <c r="K143" i="9"/>
  <c r="K89" i="1"/>
  <c r="H74" i="1"/>
  <c r="I12" i="1"/>
  <c r="J127" i="1"/>
  <c r="I84" i="1"/>
  <c r="H72" i="1"/>
  <c r="H66" i="1"/>
  <c r="D77" i="1"/>
  <c r="I25" i="1"/>
  <c r="K97" i="1"/>
  <c r="I99" i="1"/>
  <c r="I83" i="1"/>
  <c r="I26" i="1"/>
  <c r="D103" i="1"/>
  <c r="I122" i="1"/>
  <c r="I33" i="1"/>
  <c r="D8" i="1"/>
  <c r="J30" i="1"/>
  <c r="J59" i="1"/>
  <c r="J40" i="1"/>
  <c r="J100" i="1"/>
  <c r="J66" i="1"/>
  <c r="J64" i="1"/>
  <c r="J102" i="1"/>
  <c r="K96" i="1"/>
  <c r="K50" i="1"/>
  <c r="J35" i="1"/>
  <c r="J31" i="1"/>
  <c r="J60" i="1"/>
  <c r="AG37" i="8"/>
  <c r="AG38" i="8"/>
  <c r="M45" i="1"/>
  <c r="M127" i="1"/>
  <c r="AL41" i="8"/>
  <c r="AG22" i="8"/>
  <c r="AG61" i="8"/>
  <c r="AL77" i="8"/>
  <c r="K114" i="1" s="1"/>
  <c r="AG71" i="8"/>
  <c r="M5" i="1"/>
  <c r="M119" i="1"/>
  <c r="M24" i="1"/>
  <c r="AG49" i="8"/>
  <c r="AG89" i="8"/>
  <c r="AG109" i="8"/>
  <c r="AL137" i="8"/>
  <c r="AL25" i="8"/>
  <c r="K59" i="1" s="1"/>
  <c r="AL74" i="8"/>
  <c r="AL121" i="8"/>
  <c r="K19" i="1" s="1"/>
  <c r="AL57" i="8"/>
  <c r="AG52" i="8"/>
  <c r="AL23" i="8"/>
  <c r="AG44" i="8"/>
  <c r="AL9" i="8"/>
  <c r="AL131" i="8"/>
  <c r="K83" i="1" s="1"/>
  <c r="AG33" i="8"/>
  <c r="AL76" i="8"/>
  <c r="K35" i="1" s="1"/>
  <c r="AL94" i="8"/>
  <c r="AL93" i="8"/>
  <c r="AG108" i="8"/>
  <c r="AG18" i="8"/>
  <c r="AG124" i="8"/>
  <c r="AL16" i="8"/>
  <c r="AL130" i="8"/>
  <c r="AG131" i="8"/>
  <c r="AL141" i="8"/>
  <c r="AG35" i="8"/>
  <c r="AL110" i="8"/>
  <c r="AG28" i="8"/>
  <c r="AG105" i="8"/>
  <c r="M97" i="1"/>
  <c r="K85" i="1"/>
  <c r="AG96" i="8"/>
  <c r="AL87" i="8"/>
  <c r="M112" i="1"/>
  <c r="M23" i="1"/>
  <c r="M44" i="1"/>
  <c r="M74" i="1"/>
  <c r="AG20" i="8"/>
  <c r="AG120" i="8"/>
  <c r="AG65" i="8"/>
  <c r="AG81" i="8"/>
  <c r="M100" i="1"/>
  <c r="AG97" i="8"/>
  <c r="M22" i="1"/>
  <c r="AL54" i="8"/>
  <c r="M51" i="1"/>
  <c r="M84" i="1"/>
  <c r="AG7" i="8"/>
  <c r="AG73" i="8"/>
  <c r="AL129" i="8"/>
  <c r="M63" i="1"/>
  <c r="AG127" i="8"/>
  <c r="AL15" i="8"/>
  <c r="K55" i="1" s="1"/>
  <c r="AL26" i="8"/>
  <c r="M86" i="1"/>
  <c r="M19" i="1"/>
  <c r="AG103" i="8"/>
  <c r="AG106" i="8"/>
  <c r="M78" i="1"/>
  <c r="AG27" i="8"/>
  <c r="M29" i="1"/>
  <c r="AG72" i="8"/>
  <c r="M25" i="1"/>
  <c r="AL119" i="8"/>
  <c r="AG132" i="8"/>
  <c r="M123" i="1"/>
  <c r="J67" i="8"/>
  <c r="D27" i="1"/>
  <c r="AF83" i="8"/>
  <c r="AL68" i="8"/>
  <c r="G61" i="1"/>
  <c r="K81" i="8"/>
  <c r="J3" i="8"/>
  <c r="J103" i="8"/>
  <c r="H71" i="8"/>
  <c r="AF116" i="8"/>
  <c r="J132" i="8"/>
  <c r="H103" i="1" s="1"/>
  <c r="J71" i="8"/>
  <c r="K85" i="8"/>
  <c r="I72" i="1" s="1"/>
  <c r="AK123" i="8"/>
  <c r="H133" i="8"/>
  <c r="K101" i="8"/>
  <c r="I133" i="1" s="1"/>
  <c r="K130" i="8"/>
  <c r="I43" i="1" s="1"/>
  <c r="G33" i="1"/>
  <c r="J125" i="8"/>
  <c r="K98" i="8"/>
  <c r="AF32" i="8"/>
  <c r="M107" i="1"/>
  <c r="M28" i="1"/>
  <c r="M77" i="1"/>
  <c r="K15" i="8"/>
  <c r="I44" i="1" s="1"/>
  <c r="G54" i="1"/>
  <c r="J7" i="8"/>
  <c r="K17" i="8"/>
  <c r="AK17" i="8"/>
  <c r="AF35" i="8"/>
  <c r="J35" i="8"/>
  <c r="H56" i="1" s="1"/>
  <c r="AL138" i="8"/>
  <c r="K68" i="1" s="1"/>
  <c r="K53" i="8"/>
  <c r="J9" i="1"/>
  <c r="AF23" i="8"/>
  <c r="H138" i="8"/>
  <c r="G23" i="1"/>
  <c r="M91" i="1"/>
  <c r="AF61" i="8"/>
  <c r="J61" i="8"/>
  <c r="AK46" i="8"/>
  <c r="K46" i="8"/>
  <c r="I121" i="1" s="1"/>
  <c r="J48" i="8"/>
  <c r="H88" i="1" s="1"/>
  <c r="D81" i="1"/>
  <c r="AF87" i="8"/>
  <c r="I141" i="1"/>
  <c r="AF51" i="8"/>
  <c r="J51" i="8"/>
  <c r="K65" i="8"/>
  <c r="I51" i="1" s="1"/>
  <c r="D91" i="1"/>
  <c r="AF142" i="8"/>
  <c r="J142" i="8"/>
  <c r="H140" i="1" s="1"/>
  <c r="AF39" i="8"/>
  <c r="J39" i="8"/>
  <c r="J55" i="8"/>
  <c r="H50" i="1" s="1"/>
  <c r="AF55" i="8"/>
  <c r="AF119" i="8"/>
  <c r="J119" i="8"/>
  <c r="H57" i="1" s="1"/>
  <c r="AK69" i="8"/>
  <c r="AK113" i="8"/>
  <c r="E46" i="4" s="1"/>
  <c r="F46" i="4" s="1"/>
  <c r="K113" i="8"/>
  <c r="J131" i="8"/>
  <c r="AF131" i="8"/>
  <c r="J61" i="1" s="1"/>
  <c r="AF135" i="8"/>
  <c r="H94" i="8"/>
  <c r="J115" i="8"/>
  <c r="H102" i="1" s="1"/>
  <c r="M138" i="1"/>
  <c r="AK108" i="8"/>
  <c r="E76" i="4" s="1"/>
  <c r="H76" i="4" s="1"/>
  <c r="K108" i="8"/>
  <c r="I142" i="1" s="1"/>
  <c r="K21" i="8"/>
  <c r="AK21" i="8"/>
  <c r="AF77" i="8"/>
  <c r="J41" i="1" s="1"/>
  <c r="K8" i="8"/>
  <c r="J19" i="8"/>
  <c r="H31" i="1" s="1"/>
  <c r="AK97" i="8"/>
  <c r="AK37" i="8"/>
  <c r="K5" i="8"/>
  <c r="I37" i="1" s="1"/>
  <c r="K88" i="8"/>
  <c r="I128" i="1" s="1"/>
  <c r="AK49" i="8"/>
  <c r="J73" i="1"/>
  <c r="J126" i="8"/>
  <c r="H108" i="1" s="1"/>
  <c r="K117" i="8"/>
  <c r="AK117" i="8"/>
  <c r="G48" i="1"/>
  <c r="G6" i="1"/>
  <c r="H44" i="8"/>
  <c r="K124" i="8"/>
  <c r="I120" i="1" s="1"/>
  <c r="AK140" i="8"/>
  <c r="E25" i="1"/>
  <c r="G84" i="1"/>
  <c r="E103" i="1"/>
  <c r="M64" i="1"/>
  <c r="K13" i="8"/>
  <c r="I97" i="1" s="1"/>
  <c r="E97" i="1"/>
  <c r="E52" i="1"/>
  <c r="M126" i="1"/>
  <c r="M75" i="1"/>
  <c r="G99" i="1"/>
  <c r="G21" i="1"/>
  <c r="M80" i="1"/>
  <c r="M60" i="1"/>
  <c r="G116" i="1"/>
  <c r="G132" i="1"/>
  <c r="E93" i="1"/>
  <c r="D30" i="1"/>
  <c r="D92" i="1"/>
  <c r="G95" i="1"/>
  <c r="E122" i="1"/>
  <c r="E10" i="1"/>
  <c r="G142" i="1"/>
  <c r="E125" i="1"/>
  <c r="E11" i="1"/>
  <c r="D62" i="1"/>
  <c r="M46" i="1"/>
  <c r="M108" i="1"/>
  <c r="G83" i="1"/>
  <c r="G30" i="1"/>
  <c r="E134" i="1"/>
  <c r="E107" i="1"/>
  <c r="M42" i="1"/>
  <c r="H104" i="8"/>
  <c r="E68" i="1"/>
  <c r="E13" i="1"/>
  <c r="D48" i="1"/>
  <c r="M12" i="1"/>
  <c r="M101" i="1"/>
  <c r="G76" i="1"/>
  <c r="E129" i="1"/>
  <c r="E28" i="1"/>
  <c r="D74" i="1"/>
  <c r="M120" i="1"/>
  <c r="M43" i="1"/>
  <c r="E77" i="1"/>
  <c r="E64" i="1"/>
  <c r="D127" i="1"/>
  <c r="M72" i="1"/>
  <c r="M114" i="1"/>
  <c r="G32" i="1"/>
  <c r="E73" i="1"/>
  <c r="I102" i="1"/>
  <c r="H136" i="1"/>
  <c r="AK83" i="8"/>
  <c r="E29" i="4" s="1"/>
  <c r="F29" i="4" s="1"/>
  <c r="K51" i="8"/>
  <c r="J21" i="8"/>
  <c r="J29" i="8"/>
  <c r="AF117" i="8"/>
  <c r="E40" i="1"/>
  <c r="D37" i="1"/>
  <c r="M52" i="1"/>
  <c r="G53" i="1"/>
  <c r="E96" i="1"/>
  <c r="E117" i="1"/>
  <c r="M93" i="1"/>
  <c r="G29" i="1"/>
  <c r="E67" i="1"/>
  <c r="M10" i="1"/>
  <c r="E8" i="1"/>
  <c r="M11" i="1"/>
  <c r="E111" i="1"/>
  <c r="D20" i="1"/>
  <c r="E42" i="1"/>
  <c r="G128" i="1"/>
  <c r="G14" i="1"/>
  <c r="E43" i="1"/>
  <c r="E114" i="1"/>
  <c r="AF69" i="8"/>
  <c r="AK3" i="8"/>
  <c r="K67" i="8"/>
  <c r="I132" i="1" s="1"/>
  <c r="K19" i="8"/>
  <c r="I41" i="1" s="1"/>
  <c r="AF85" i="8"/>
  <c r="J4" i="1" s="1"/>
  <c r="J141" i="1"/>
  <c r="H76" i="8"/>
  <c r="G38" i="1"/>
  <c r="G37" i="1"/>
  <c r="AF101" i="8"/>
  <c r="J133" i="1" s="1"/>
  <c r="AF72" i="8"/>
  <c r="AK70" i="8"/>
  <c r="E24" i="4" s="1"/>
  <c r="F24" i="4" s="1"/>
  <c r="G18" i="1"/>
  <c r="K99" i="8"/>
  <c r="I19" i="1" s="1"/>
  <c r="AK115" i="8"/>
  <c r="M70" i="1"/>
  <c r="M136" i="1"/>
  <c r="E92" i="1"/>
  <c r="G10" i="1"/>
  <c r="M4" i="1"/>
  <c r="M133" i="1"/>
  <c r="M118" i="1"/>
  <c r="M31" i="1"/>
  <c r="AF37" i="8"/>
  <c r="M35" i="1"/>
  <c r="E123" i="1"/>
  <c r="E9" i="1"/>
  <c r="AF40" i="8"/>
  <c r="J132" i="1" s="1"/>
  <c r="G9" i="1"/>
  <c r="AK22" i="8"/>
  <c r="AF5" i="8"/>
  <c r="AL124" i="8"/>
  <c r="G82" i="1"/>
  <c r="AK35" i="8"/>
  <c r="G97" i="1"/>
  <c r="D44" i="1"/>
  <c r="D135" i="1"/>
  <c r="E62" i="1"/>
  <c r="J26" i="8"/>
  <c r="G115" i="1"/>
  <c r="G66" i="1"/>
  <c r="G90" i="1"/>
  <c r="G16" i="1"/>
  <c r="E59" i="1"/>
  <c r="D75" i="1"/>
  <c r="E135" i="1"/>
  <c r="D116" i="1"/>
  <c r="G24" i="1"/>
  <c r="H90" i="8"/>
  <c r="AF33" i="8"/>
  <c r="AK38" i="8"/>
  <c r="G11" i="1"/>
  <c r="K54" i="8"/>
  <c r="AF13" i="8"/>
  <c r="J24" i="1" s="1"/>
  <c r="AL11" i="8"/>
  <c r="K22" i="1" s="1"/>
  <c r="H108" i="8"/>
  <c r="M6" i="1"/>
  <c r="M20" i="1"/>
  <c r="M92" i="1"/>
  <c r="G87" i="1"/>
  <c r="H39" i="8"/>
  <c r="M50" i="1"/>
  <c r="M17" i="1"/>
  <c r="M122" i="1"/>
  <c r="G74" i="1"/>
  <c r="H79" i="8"/>
  <c r="M16" i="1"/>
  <c r="G45" i="1"/>
  <c r="H31" i="8"/>
  <c r="G109" i="1"/>
  <c r="I127" i="1"/>
  <c r="D41" i="1"/>
  <c r="M128" i="1"/>
  <c r="M106" i="1"/>
  <c r="G57" i="1"/>
  <c r="H119" i="8"/>
  <c r="G79" i="1"/>
  <c r="H60" i="8"/>
  <c r="I17" i="1"/>
  <c r="J129" i="8"/>
  <c r="H18" i="1" s="1"/>
  <c r="AF62" i="8"/>
  <c r="J62" i="8"/>
  <c r="M125" i="1"/>
  <c r="D110" i="1"/>
  <c r="K31" i="8"/>
  <c r="I45" i="1" s="1"/>
  <c r="AK31" i="8"/>
  <c r="J49" i="8"/>
  <c r="AF49" i="8"/>
  <c r="J98" i="1" s="1"/>
  <c r="I135" i="1"/>
  <c r="AK127" i="8"/>
  <c r="E53" i="4" s="1"/>
  <c r="F53" i="4" s="1"/>
  <c r="K127" i="8"/>
  <c r="I86" i="1" s="1"/>
  <c r="K66" i="8"/>
  <c r="AK66" i="8"/>
  <c r="E23" i="4" s="1"/>
  <c r="F23" i="4" s="1"/>
  <c r="G65" i="1"/>
  <c r="M89" i="1"/>
  <c r="J106" i="8"/>
  <c r="H110" i="1" s="1"/>
  <c r="AF106" i="8"/>
  <c r="J5" i="1" s="1"/>
  <c r="I29" i="1"/>
  <c r="H16" i="8"/>
  <c r="AK27" i="8"/>
  <c r="K27" i="8"/>
  <c r="I126" i="1" s="1"/>
  <c r="G105" i="1"/>
  <c r="H30" i="8"/>
  <c r="G80" i="1"/>
  <c r="M132" i="1"/>
  <c r="M69" i="1"/>
  <c r="M95" i="1"/>
  <c r="K59" i="8"/>
  <c r="I119" i="1" s="1"/>
  <c r="AK59" i="8"/>
  <c r="H64" i="8"/>
  <c r="M33" i="1"/>
  <c r="K75" i="8"/>
  <c r="AK75" i="8"/>
  <c r="D111" i="1"/>
  <c r="K91" i="8"/>
  <c r="AK91" i="8"/>
  <c r="E33" i="4" s="1"/>
  <c r="F33" i="4" s="1"/>
  <c r="J93" i="8"/>
  <c r="AF93" i="8"/>
  <c r="J55" i="1" s="1"/>
  <c r="AK107" i="8"/>
  <c r="E41" i="4" s="1"/>
  <c r="F41" i="4" s="1"/>
  <c r="K107" i="8"/>
  <c r="I100" i="1" s="1"/>
  <c r="J109" i="8"/>
  <c r="H14" i="1" s="1"/>
  <c r="AF109" i="8"/>
  <c r="J14" i="1" s="1"/>
  <c r="H27" i="1"/>
  <c r="AL8" i="8"/>
  <c r="G42" i="1"/>
  <c r="H98" i="8"/>
  <c r="J113" i="8"/>
  <c r="AF113" i="8"/>
  <c r="G39" i="1"/>
  <c r="AK50" i="8"/>
  <c r="K50" i="8"/>
  <c r="D99" i="1"/>
  <c r="G19" i="1"/>
  <c r="H99" i="8"/>
  <c r="G104" i="1"/>
  <c r="H13" i="8"/>
  <c r="J42" i="8"/>
  <c r="AF42" i="8"/>
  <c r="G36" i="1"/>
  <c r="G41" i="1"/>
  <c r="D86" i="1"/>
  <c r="G55" i="1"/>
  <c r="H93" i="8"/>
  <c r="G44" i="1"/>
  <c r="H109" i="8"/>
  <c r="D125" i="1"/>
  <c r="I117" i="1"/>
  <c r="M37" i="1"/>
  <c r="I85" i="1"/>
  <c r="M38" i="1"/>
  <c r="M21" i="1"/>
  <c r="AK111" i="8"/>
  <c r="E44" i="4" s="1"/>
  <c r="F44" i="4" s="1"/>
  <c r="AK136" i="8"/>
  <c r="E57" i="4" s="1"/>
  <c r="F57" i="4" s="1"/>
  <c r="M65" i="1"/>
  <c r="M40" i="1"/>
  <c r="J138" i="8"/>
  <c r="K43" i="8"/>
  <c r="I54" i="1" s="1"/>
  <c r="AF45" i="8"/>
  <c r="D46" i="1"/>
  <c r="AK14" i="8"/>
  <c r="K14" i="8"/>
  <c r="AF16" i="8"/>
  <c r="J126" i="1" s="1"/>
  <c r="J16" i="8"/>
  <c r="H16" i="1" s="1"/>
  <c r="M41" i="1"/>
  <c r="M55" i="1"/>
  <c r="AK40" i="8"/>
  <c r="E16" i="4" s="1"/>
  <c r="F16" i="4" s="1"/>
  <c r="M49" i="1"/>
  <c r="I28" i="1"/>
  <c r="H30" i="1"/>
  <c r="AK12" i="8"/>
  <c r="K12" i="8"/>
  <c r="D124" i="1"/>
  <c r="AF30" i="8"/>
  <c r="J105" i="1" s="1"/>
  <c r="J30" i="8"/>
  <c r="H42" i="1" s="1"/>
  <c r="K60" i="8"/>
  <c r="AK60" i="8"/>
  <c r="M59" i="1"/>
  <c r="M115" i="1"/>
  <c r="D54" i="1"/>
  <c r="G67" i="1"/>
  <c r="J81" i="8"/>
  <c r="AF81" i="8"/>
  <c r="D128" i="1"/>
  <c r="G98" i="1"/>
  <c r="M131" i="1"/>
  <c r="J46" i="8"/>
  <c r="H92" i="1" s="1"/>
  <c r="AF46" i="8"/>
  <c r="M79" i="1"/>
  <c r="AF17" i="8"/>
  <c r="J53" i="1" s="1"/>
  <c r="J17" i="8"/>
  <c r="H53" i="1" s="1"/>
  <c r="AK47" i="8"/>
  <c r="E65" i="4" s="1"/>
  <c r="K47" i="8"/>
  <c r="AF65" i="8"/>
  <c r="J3" i="1" s="1"/>
  <c r="J65" i="8"/>
  <c r="M88" i="1"/>
  <c r="G91" i="1"/>
  <c r="G103" i="1"/>
  <c r="H132" i="8"/>
  <c r="I5" i="1"/>
  <c r="D97" i="1"/>
  <c r="J14" i="8"/>
  <c r="AF14" i="8"/>
  <c r="J130" i="1" s="1"/>
  <c r="AK44" i="8"/>
  <c r="K44" i="8"/>
  <c r="I67" i="1" s="1"/>
  <c r="AL53" i="8"/>
  <c r="M48" i="1"/>
  <c r="G96" i="1"/>
  <c r="G49" i="1"/>
  <c r="H66" i="8"/>
  <c r="K79" i="8"/>
  <c r="I66" i="1" s="1"/>
  <c r="AK79" i="8"/>
  <c r="M130" i="1"/>
  <c r="M47" i="1"/>
  <c r="G7" i="1"/>
  <c r="AF20" i="8"/>
  <c r="J19" i="1" s="1"/>
  <c r="J20" i="8"/>
  <c r="H101" i="1" s="1"/>
  <c r="D137" i="1"/>
  <c r="J52" i="8"/>
  <c r="AF52" i="8"/>
  <c r="J67" i="1" s="1"/>
  <c r="AF68" i="8"/>
  <c r="J68" i="8"/>
  <c r="H85" i="1" s="1"/>
  <c r="AK63" i="8"/>
  <c r="J10" i="8"/>
  <c r="AF10" i="8"/>
  <c r="K24" i="8"/>
  <c r="I103" i="1" s="1"/>
  <c r="AK24" i="8"/>
  <c r="G26" i="1"/>
  <c r="AF58" i="8"/>
  <c r="J70" i="1" s="1"/>
  <c r="J58" i="8"/>
  <c r="H119" i="1" s="1"/>
  <c r="AK72" i="8"/>
  <c r="K72" i="8"/>
  <c r="AK120" i="8"/>
  <c r="K120" i="8"/>
  <c r="AK18" i="8"/>
  <c r="H36" i="8"/>
  <c r="K76" i="8"/>
  <c r="I35" i="1" s="1"/>
  <c r="G133" i="1"/>
  <c r="H101" i="8"/>
  <c r="K95" i="8"/>
  <c r="AK95" i="8"/>
  <c r="E73" i="4" s="1"/>
  <c r="H73" i="4" s="1"/>
  <c r="J123" i="1"/>
  <c r="AF78" i="8"/>
  <c r="J36" i="8"/>
  <c r="AF36" i="8"/>
  <c r="M135" i="1"/>
  <c r="M39" i="1"/>
  <c r="M87" i="1"/>
  <c r="AF90" i="8"/>
  <c r="J15" i="1" s="1"/>
  <c r="J90" i="8"/>
  <c r="G94" i="1"/>
  <c r="D83" i="1"/>
  <c r="M85" i="1"/>
  <c r="G64" i="1"/>
  <c r="J4" i="8"/>
  <c r="H9" i="1" s="1"/>
  <c r="AF74" i="8"/>
  <c r="J97" i="8"/>
  <c r="H60" i="1" s="1"/>
  <c r="AK104" i="8"/>
  <c r="E40" i="4" s="1"/>
  <c r="M81" i="1"/>
  <c r="I91" i="1"/>
  <c r="K11" i="8"/>
  <c r="I22" i="1" s="1"/>
  <c r="D43" i="1"/>
  <c r="G111" i="1"/>
  <c r="G25" i="1"/>
  <c r="M73" i="1"/>
  <c r="AF122" i="8"/>
  <c r="J122" i="8"/>
  <c r="H114" i="1" s="1"/>
  <c r="G124" i="1"/>
  <c r="H141" i="8"/>
  <c r="AK28" i="8"/>
  <c r="M102" i="1"/>
  <c r="AL85" i="8"/>
  <c r="K56" i="8"/>
  <c r="I96" i="1" s="1"/>
  <c r="E115" i="1"/>
  <c r="G125" i="1"/>
  <c r="H73" i="8"/>
  <c r="E27" i="1"/>
  <c r="AK34" i="8"/>
  <c r="AK82" i="8"/>
  <c r="K82" i="8"/>
  <c r="AF84" i="8"/>
  <c r="J84" i="8"/>
  <c r="AK114" i="8"/>
  <c r="K114" i="8"/>
  <c r="G85" i="1"/>
  <c r="D15" i="1"/>
  <c r="K142" i="8"/>
  <c r="I68" i="1" s="1"/>
  <c r="D139" i="1"/>
  <c r="G73" i="1"/>
  <c r="H126" i="8"/>
  <c r="G120" i="1"/>
  <c r="H128" i="8"/>
  <c r="J141" i="8"/>
  <c r="AF141" i="8"/>
  <c r="J124" i="1" s="1"/>
  <c r="K30" i="8"/>
  <c r="AK30" i="8"/>
  <c r="D17" i="1"/>
  <c r="AF64" i="8"/>
  <c r="J34" i="1" s="1"/>
  <c r="J64" i="8"/>
  <c r="H34" i="1" s="1"/>
  <c r="G137" i="1"/>
  <c r="AF96" i="8"/>
  <c r="J96" i="8"/>
  <c r="H131" i="1" s="1"/>
  <c r="AF112" i="8"/>
  <c r="J112" i="8"/>
  <c r="H82" i="1" s="1"/>
  <c r="M94" i="1"/>
  <c r="G129" i="1"/>
  <c r="H121" i="8"/>
  <c r="H76" i="1"/>
  <c r="J80" i="8"/>
  <c r="H120" i="1" s="1"/>
  <c r="AK78" i="8"/>
  <c r="E71" i="4" s="1"/>
  <c r="G72" i="1"/>
  <c r="J104" i="8"/>
  <c r="D118" i="1"/>
  <c r="AF24" i="8"/>
  <c r="H103" i="8"/>
  <c r="M99" i="1"/>
  <c r="K139" i="8"/>
  <c r="H107" i="1"/>
  <c r="AF100" i="8"/>
  <c r="AK102" i="8"/>
  <c r="E39" i="4" s="1"/>
  <c r="F39" i="4" s="1"/>
  <c r="H105" i="8"/>
  <c r="G138" i="1"/>
  <c r="K62" i="8"/>
  <c r="I32" i="1" s="1"/>
  <c r="G13" i="1"/>
  <c r="E48" i="1"/>
  <c r="K118" i="8"/>
  <c r="I112" i="1" s="1"/>
  <c r="AK118" i="8"/>
  <c r="G28" i="1"/>
  <c r="G77" i="1"/>
  <c r="H137" i="8"/>
  <c r="E47" i="1"/>
  <c r="D85" i="1"/>
  <c r="K6" i="8"/>
  <c r="I9" i="1" s="1"/>
  <c r="AK6" i="8"/>
  <c r="E6" i="4" s="1"/>
  <c r="F6" i="4" s="1"/>
  <c r="J8" i="8"/>
  <c r="AF8" i="8"/>
  <c r="J38" i="1" s="1"/>
  <c r="G52" i="1"/>
  <c r="H21" i="1"/>
  <c r="E105" i="1"/>
  <c r="G93" i="1"/>
  <c r="AF56" i="8"/>
  <c r="J56" i="8"/>
  <c r="E63" i="1"/>
  <c r="G106" i="1"/>
  <c r="D122" i="1"/>
  <c r="AF94" i="8"/>
  <c r="AF22" i="8"/>
  <c r="G100" i="1"/>
  <c r="K92" i="8"/>
  <c r="J38" i="8"/>
  <c r="H133" i="1" s="1"/>
  <c r="AF110" i="8"/>
  <c r="J48" i="1" s="1"/>
  <c r="D13" i="1"/>
  <c r="D69" i="1"/>
  <c r="D132" i="1"/>
  <c r="H57" i="8"/>
  <c r="H5" i="8"/>
  <c r="H53" i="8"/>
  <c r="H102" i="8"/>
  <c r="H82" i="8"/>
  <c r="H19" i="8"/>
  <c r="H37" i="8"/>
  <c r="AL42" i="8"/>
  <c r="K25" i="1" s="1"/>
  <c r="H34" i="8"/>
  <c r="H46" i="8"/>
  <c r="H87" i="8"/>
  <c r="H18" i="8"/>
  <c r="H92" i="8"/>
  <c r="H83" i="8"/>
  <c r="H41" i="8"/>
  <c r="AL103" i="8"/>
  <c r="K3" i="1" s="1"/>
  <c r="AL128" i="8"/>
  <c r="AG70" i="8"/>
  <c r="AG123" i="8"/>
  <c r="AL7" i="8"/>
  <c r="K58" i="1" s="1"/>
  <c r="AG55" i="8"/>
  <c r="AG125" i="8"/>
  <c r="AG13" i="8"/>
  <c r="AG140" i="8"/>
  <c r="AH140" i="8" s="1"/>
  <c r="AL33" i="8"/>
  <c r="AG100" i="8"/>
  <c r="AG86" i="8"/>
  <c r="AG30" i="8"/>
  <c r="AG77" i="8"/>
  <c r="AG137" i="8"/>
  <c r="AL55" i="8"/>
  <c r="AL10" i="8"/>
  <c r="K12" i="1" s="1"/>
  <c r="AL133" i="8"/>
  <c r="AG51" i="8"/>
  <c r="AG76" i="8"/>
  <c r="AL122" i="8"/>
  <c r="K77" i="1" s="1"/>
  <c r="AG119" i="8"/>
  <c r="AG129" i="8"/>
  <c r="AG15" i="8"/>
  <c r="AG45" i="8"/>
  <c r="AG87" i="8"/>
  <c r="AG3" i="8"/>
  <c r="AL71" i="8"/>
  <c r="AG115" i="8"/>
  <c r="AL36" i="8"/>
  <c r="AL101" i="8"/>
  <c r="K63" i="1" s="1"/>
  <c r="AL48" i="8"/>
  <c r="AG26" i="8"/>
  <c r="AL67" i="8"/>
  <c r="AG135" i="8"/>
  <c r="AL61" i="8"/>
  <c r="K117" i="1" s="1"/>
  <c r="AL125" i="8"/>
  <c r="AG25" i="8"/>
  <c r="AG130" i="8"/>
  <c r="AG24" i="8"/>
  <c r="AG32" i="8"/>
  <c r="AL92" i="8"/>
  <c r="AG21" i="8"/>
  <c r="AL112" i="8"/>
  <c r="AL139" i="8"/>
  <c r="K15" i="1" s="1"/>
  <c r="AL109" i="8"/>
  <c r="K43" i="1" s="1"/>
  <c r="AL81" i="8"/>
  <c r="AG75" i="8"/>
  <c r="AL86" i="8"/>
  <c r="K61" i="1" s="1"/>
  <c r="AG101" i="8"/>
  <c r="AG95" i="8"/>
  <c r="AL51" i="8"/>
  <c r="K65" i="1" s="1"/>
  <c r="AL88" i="8"/>
  <c r="AG14" i="8"/>
  <c r="AG50" i="8"/>
  <c r="AG62" i="8"/>
  <c r="AG59" i="8"/>
  <c r="AL134" i="8"/>
  <c r="AG57" i="8"/>
  <c r="AL32" i="8"/>
  <c r="AL64" i="8"/>
  <c r="AG85" i="8"/>
  <c r="AL20" i="8"/>
  <c r="AL5" i="8"/>
  <c r="AG122" i="8"/>
  <c r="AG84" i="8"/>
  <c r="AG102" i="8"/>
  <c r="AL89" i="8"/>
  <c r="AL80" i="8"/>
  <c r="K120" i="1" s="1"/>
  <c r="AL90" i="8"/>
  <c r="K44" i="1" s="1"/>
  <c r="AG19" i="8"/>
  <c r="AG91" i="8"/>
  <c r="AG58" i="8"/>
  <c r="AL65" i="8"/>
  <c r="K87" i="1" s="1"/>
  <c r="AL98" i="8"/>
  <c r="AL142" i="8"/>
  <c r="K140" i="1" s="1"/>
  <c r="AG34" i="8"/>
  <c r="AG83" i="8"/>
  <c r="AL52" i="8"/>
  <c r="AL135" i="8"/>
  <c r="K20" i="1" s="1"/>
  <c r="AG126" i="8"/>
  <c r="AG107" i="8"/>
  <c r="AG5" i="8"/>
  <c r="AG9" i="8"/>
  <c r="AG117" i="8"/>
  <c r="AG79" i="8"/>
  <c r="AG60" i="8"/>
  <c r="AG17" i="8"/>
  <c r="AG56" i="8"/>
  <c r="AL58" i="8"/>
  <c r="AL105" i="8"/>
  <c r="K137" i="1" s="1"/>
  <c r="AG116" i="8"/>
  <c r="AG11" i="8"/>
  <c r="AL39" i="8"/>
  <c r="AG80" i="8"/>
  <c r="AL43" i="8"/>
  <c r="AG69" i="8"/>
  <c r="AG142" i="8"/>
  <c r="AG78" i="8"/>
  <c r="AG42" i="8"/>
  <c r="AG138" i="8"/>
  <c r="AL106" i="8"/>
  <c r="AG134" i="8"/>
  <c r="AG92" i="8"/>
  <c r="AG99" i="8"/>
  <c r="AL100" i="8"/>
  <c r="AG90" i="8"/>
  <c r="AG110" i="8"/>
  <c r="AG139" i="8"/>
  <c r="AG88" i="8"/>
  <c r="AG54" i="8"/>
  <c r="AG41" i="8"/>
  <c r="AG8" i="8"/>
  <c r="AG53" i="8"/>
  <c r="AG47" i="8"/>
  <c r="AG133" i="8"/>
  <c r="AG6" i="8"/>
  <c r="AG12" i="8"/>
  <c r="AG94" i="8"/>
  <c r="AL73" i="8"/>
  <c r="AL99" i="8"/>
  <c r="K36" i="1" s="1"/>
  <c r="AG114" i="8"/>
  <c r="AG39" i="8"/>
  <c r="AG67" i="8"/>
  <c r="AG113" i="8"/>
  <c r="AL62" i="8"/>
  <c r="AL29" i="8"/>
  <c r="AG111" i="8"/>
  <c r="AG74" i="8"/>
  <c r="AL56" i="8"/>
  <c r="AG23" i="8"/>
  <c r="AG121" i="8"/>
  <c r="AG46" i="8"/>
  <c r="AG141" i="8"/>
  <c r="AL19" i="8"/>
  <c r="M68" i="1"/>
  <c r="M105" i="1"/>
  <c r="M142" i="1"/>
  <c r="M82" i="1"/>
  <c r="AL96" i="8"/>
  <c r="K122" i="1" s="1"/>
  <c r="AG82" i="8"/>
  <c r="AG31" i="8"/>
  <c r="AG93" i="8"/>
  <c r="AL13" i="8"/>
  <c r="AG98" i="8"/>
  <c r="AG43" i="8"/>
  <c r="AG136" i="8"/>
  <c r="AG36" i="8"/>
  <c r="AG63" i="8"/>
  <c r="AG104" i="8"/>
  <c r="AG48" i="8"/>
  <c r="AG112" i="8"/>
  <c r="AL132" i="8"/>
  <c r="AG118" i="8"/>
  <c r="AL45" i="8"/>
  <c r="AL116" i="8"/>
  <c r="K33" i="1" s="1"/>
  <c r="AL84" i="8"/>
  <c r="AG128" i="8"/>
  <c r="AG10" i="8"/>
  <c r="AG66" i="8"/>
  <c r="M104" i="1"/>
  <c r="M3" i="1"/>
  <c r="M66" i="1"/>
  <c r="M109" i="1"/>
  <c r="M137" i="1"/>
  <c r="M90" i="1"/>
  <c r="M124" i="1"/>
  <c r="M103" i="1"/>
  <c r="M76" i="1"/>
  <c r="M54" i="1"/>
  <c r="M26" i="1"/>
  <c r="M71" i="1"/>
  <c r="M57" i="1"/>
  <c r="M30" i="1"/>
  <c r="M134" i="1"/>
  <c r="M61" i="1"/>
  <c r="M121" i="1"/>
  <c r="M116" i="1"/>
  <c r="M129" i="1"/>
  <c r="M27" i="1"/>
  <c r="M67" i="1"/>
  <c r="M53" i="1"/>
  <c r="M14" i="1"/>
  <c r="M36" i="1"/>
  <c r="M9" i="1"/>
  <c r="M96" i="1"/>
  <c r="M140" i="1"/>
  <c r="M8" i="1"/>
  <c r="M83" i="1"/>
  <c r="M15" i="1"/>
  <c r="M98" i="1"/>
  <c r="M111" i="1"/>
  <c r="M32" i="1"/>
  <c r="M139" i="1"/>
  <c r="M113" i="1"/>
  <c r="G114" i="1"/>
  <c r="G130" i="1"/>
  <c r="H124" i="8"/>
  <c r="G118" i="1"/>
  <c r="H117" i="8"/>
  <c r="G69" i="1"/>
  <c r="H42" i="8"/>
  <c r="G102" i="1"/>
  <c r="H115" i="8"/>
  <c r="G5" i="1"/>
  <c r="H106" i="8"/>
  <c r="G70" i="1"/>
  <c r="H21" i="8"/>
  <c r="G63" i="1"/>
  <c r="H62" i="8"/>
  <c r="H78" i="8"/>
  <c r="H95" i="8"/>
  <c r="H69" i="8"/>
  <c r="H140" i="8"/>
  <c r="H142" i="8"/>
  <c r="H89" i="8"/>
  <c r="H15" i="8"/>
  <c r="H63" i="8"/>
  <c r="H35" i="8"/>
  <c r="H136" i="8"/>
  <c r="H28" i="8"/>
  <c r="J58" i="1" l="1"/>
  <c r="AF143" i="8"/>
  <c r="AI145" i="8" s="1"/>
  <c r="AO145" i="8" s="1"/>
  <c r="E4" i="4"/>
  <c r="F4" i="4" s="1"/>
  <c r="AK143" i="8"/>
  <c r="AL3" i="8"/>
  <c r="J143" i="8"/>
  <c r="K143" i="8"/>
  <c r="Q15" i="1"/>
  <c r="AG143" i="8"/>
  <c r="K6" i="1"/>
  <c r="K93" i="1"/>
  <c r="P93" i="1" s="1"/>
  <c r="E83" i="4"/>
  <c r="H83" i="4" s="1"/>
  <c r="K101" i="1"/>
  <c r="E77" i="4"/>
  <c r="H77" i="4" s="1"/>
  <c r="K57" i="1"/>
  <c r="K75" i="1"/>
  <c r="K135" i="1"/>
  <c r="Q135" i="1" s="1"/>
  <c r="E22" i="4"/>
  <c r="F22" i="4" s="1"/>
  <c r="K7" i="1"/>
  <c r="E66" i="4"/>
  <c r="K118" i="1"/>
  <c r="E48" i="4"/>
  <c r="F48" i="4" s="1"/>
  <c r="K47" i="1"/>
  <c r="K10" i="1"/>
  <c r="K46" i="1"/>
  <c r="J106" i="1"/>
  <c r="K121" i="1"/>
  <c r="F40" i="4"/>
  <c r="T126" i="1"/>
  <c r="T22" i="1"/>
  <c r="T44" i="1"/>
  <c r="T7" i="1"/>
  <c r="T116" i="1"/>
  <c r="T25" i="1"/>
  <c r="J27" i="1"/>
  <c r="T86" i="1"/>
  <c r="T70" i="1"/>
  <c r="T96" i="1"/>
  <c r="K111" i="1"/>
  <c r="I123" i="1"/>
  <c r="J113" i="1"/>
  <c r="K16" i="1"/>
  <c r="T124" i="1"/>
  <c r="T141" i="1"/>
  <c r="T82" i="1"/>
  <c r="T138" i="1"/>
  <c r="T10" i="1"/>
  <c r="T89" i="1"/>
  <c r="T60" i="1"/>
  <c r="T11" i="1"/>
  <c r="T133" i="1"/>
  <c r="K113" i="1"/>
  <c r="D21" i="1"/>
  <c r="T136" i="1"/>
  <c r="E28" i="4"/>
  <c r="F28" i="4" s="1"/>
  <c r="D134" i="1"/>
  <c r="D39" i="1"/>
  <c r="I16" i="1"/>
  <c r="S61" i="1"/>
  <c r="E26" i="4"/>
  <c r="F26" i="4" s="1"/>
  <c r="H83" i="1"/>
  <c r="K80" i="1"/>
  <c r="D56" i="1"/>
  <c r="K31" i="1"/>
  <c r="I69" i="1"/>
  <c r="K74" i="1"/>
  <c r="J86" i="1"/>
  <c r="D24" i="1"/>
  <c r="T83" i="1"/>
  <c r="T103" i="1"/>
  <c r="T61" i="1"/>
  <c r="T43" i="1"/>
  <c r="T79" i="1"/>
  <c r="T97" i="1"/>
  <c r="T134" i="1"/>
  <c r="T42" i="1"/>
  <c r="D71" i="1"/>
  <c r="D90" i="1"/>
  <c r="D82" i="1"/>
  <c r="H7" i="1"/>
  <c r="I48" i="1"/>
  <c r="J79" i="1"/>
  <c r="D109" i="1"/>
  <c r="T139" i="1"/>
  <c r="T68" i="1"/>
  <c r="T37" i="1"/>
  <c r="T106" i="1"/>
  <c r="T108" i="1"/>
  <c r="T56" i="1"/>
  <c r="K119" i="1"/>
  <c r="I139" i="1"/>
  <c r="H64" i="1"/>
  <c r="T48" i="1"/>
  <c r="T13" i="1"/>
  <c r="K139" i="1"/>
  <c r="I15" i="1"/>
  <c r="D19" i="1"/>
  <c r="Q19" i="1" s="1"/>
  <c r="H99" i="1"/>
  <c r="J26" i="1"/>
  <c r="I8" i="1"/>
  <c r="J118" i="1"/>
  <c r="Q118" i="1" s="1"/>
  <c r="J36" i="1"/>
  <c r="J39" i="1"/>
  <c r="H22" i="1"/>
  <c r="H19" i="1"/>
  <c r="K67" i="1"/>
  <c r="J42" i="1"/>
  <c r="J49" i="1"/>
  <c r="I57" i="1"/>
  <c r="T4" i="1"/>
  <c r="T84" i="1"/>
  <c r="T78" i="1"/>
  <c r="T90" i="1"/>
  <c r="T28" i="1"/>
  <c r="T135" i="1"/>
  <c r="T65" i="1"/>
  <c r="T76" i="1"/>
  <c r="T94" i="1"/>
  <c r="T88" i="1"/>
  <c r="T23" i="1"/>
  <c r="T35" i="1"/>
  <c r="T36" i="1"/>
  <c r="H89" i="1"/>
  <c r="J71" i="1"/>
  <c r="H10" i="1"/>
  <c r="T102" i="1"/>
  <c r="K54" i="1"/>
  <c r="J95" i="1"/>
  <c r="D119" i="1"/>
  <c r="K132" i="1"/>
  <c r="Q132" i="1" s="1"/>
  <c r="H68" i="1"/>
  <c r="J131" i="1"/>
  <c r="D126" i="1"/>
  <c r="K84" i="1"/>
  <c r="J129" i="1"/>
  <c r="H93" i="1"/>
  <c r="J74" i="1"/>
  <c r="T59" i="1"/>
  <c r="T92" i="1"/>
  <c r="T91" i="1"/>
  <c r="T17" i="1"/>
  <c r="T38" i="1"/>
  <c r="T71" i="1"/>
  <c r="T6" i="1"/>
  <c r="T57" i="1"/>
  <c r="T67" i="1"/>
  <c r="T24" i="1"/>
  <c r="T15" i="1"/>
  <c r="T77" i="1"/>
  <c r="T46" i="1"/>
  <c r="T104" i="1"/>
  <c r="H112" i="1"/>
  <c r="H130" i="1"/>
  <c r="H39" i="1"/>
  <c r="H106" i="1"/>
  <c r="H134" i="1"/>
  <c r="H98" i="1"/>
  <c r="H138" i="1"/>
  <c r="J47" i="1"/>
  <c r="J68" i="1"/>
  <c r="K4" i="1"/>
  <c r="D120" i="1"/>
  <c r="Q120" i="1" s="1"/>
  <c r="T8" i="1"/>
  <c r="T14" i="1"/>
  <c r="T128" i="1"/>
  <c r="T122" i="1"/>
  <c r="T64" i="1"/>
  <c r="I56" i="1"/>
  <c r="H69" i="1"/>
  <c r="H33" i="1"/>
  <c r="D9" i="1"/>
  <c r="D5" i="1"/>
  <c r="H79" i="1"/>
  <c r="H32" i="1"/>
  <c r="D22" i="1"/>
  <c r="D47" i="1"/>
  <c r="D68" i="1"/>
  <c r="I94" i="1"/>
  <c r="I124" i="1"/>
  <c r="J56" i="1"/>
  <c r="J54" i="1"/>
  <c r="I42" i="1"/>
  <c r="H37" i="1"/>
  <c r="J22" i="1"/>
  <c r="T49" i="1"/>
  <c r="T73" i="1"/>
  <c r="T47" i="1"/>
  <c r="T74" i="1"/>
  <c r="T12" i="1"/>
  <c r="T85" i="1"/>
  <c r="T53" i="1"/>
  <c r="T113" i="1"/>
  <c r="T110" i="1"/>
  <c r="T31" i="1"/>
  <c r="T129" i="1"/>
  <c r="T130" i="1"/>
  <c r="T114" i="1"/>
  <c r="T119" i="1"/>
  <c r="T123" i="1"/>
  <c r="T40" i="1"/>
  <c r="D113" i="1"/>
  <c r="D49" i="1"/>
  <c r="H122" i="1"/>
  <c r="H111" i="1"/>
  <c r="H86" i="1"/>
  <c r="D121" i="1"/>
  <c r="I39" i="1"/>
  <c r="H17" i="1"/>
  <c r="K115" i="1"/>
  <c r="D138" i="1"/>
  <c r="D52" i="1"/>
  <c r="H54" i="1"/>
  <c r="I31" i="1"/>
  <c r="I65" i="1"/>
  <c r="I89" i="1"/>
  <c r="I125" i="1"/>
  <c r="I134" i="1"/>
  <c r="J51" i="1"/>
  <c r="I3" i="1"/>
  <c r="D95" i="1"/>
  <c r="K18" i="1"/>
  <c r="D129" i="1"/>
  <c r="H4" i="1"/>
  <c r="I110" i="1"/>
  <c r="I136" i="1"/>
  <c r="I27" i="1"/>
  <c r="T93" i="1"/>
  <c r="T32" i="1"/>
  <c r="T3" i="1"/>
  <c r="T107" i="1"/>
  <c r="T52" i="1"/>
  <c r="T69" i="1"/>
  <c r="T121" i="1"/>
  <c r="K141" i="1"/>
  <c r="D67" i="1"/>
  <c r="I24" i="1"/>
  <c r="K112" i="1"/>
  <c r="J122" i="1"/>
  <c r="P122" i="1" s="1"/>
  <c r="J111" i="1"/>
  <c r="Q111" i="1" s="1"/>
  <c r="I59" i="1"/>
  <c r="H132" i="1"/>
  <c r="J137" i="1"/>
  <c r="P137" i="1" s="1"/>
  <c r="I46" i="1"/>
  <c r="I81" i="1"/>
  <c r="H135" i="1"/>
  <c r="H62" i="1"/>
  <c r="H41" i="1"/>
  <c r="J107" i="1"/>
  <c r="J75" i="1"/>
  <c r="T5" i="1"/>
  <c r="T27" i="1"/>
  <c r="T137" i="1"/>
  <c r="T132" i="1"/>
  <c r="T21" i="1"/>
  <c r="T20" i="1"/>
  <c r="T87" i="1"/>
  <c r="T112" i="1"/>
  <c r="T50" i="1"/>
  <c r="T30" i="1"/>
  <c r="T34" i="1"/>
  <c r="T29" i="1"/>
  <c r="T41" i="1"/>
  <c r="T118" i="1"/>
  <c r="T98" i="1"/>
  <c r="T26" i="1"/>
  <c r="H26" i="1"/>
  <c r="H95" i="1"/>
  <c r="I80" i="1"/>
  <c r="H121" i="1"/>
  <c r="J23" i="1"/>
  <c r="J8" i="1"/>
  <c r="I71" i="1"/>
  <c r="D117" i="1"/>
  <c r="H43" i="1"/>
  <c r="D101" i="1"/>
  <c r="J97" i="1"/>
  <c r="Q97" i="1" s="1"/>
  <c r="K116" i="1"/>
  <c r="D73" i="1"/>
  <c r="D78" i="1"/>
  <c r="H36" i="1"/>
  <c r="I113" i="1"/>
  <c r="K134" i="1"/>
  <c r="J81" i="1"/>
  <c r="H20" i="1"/>
  <c r="J134" i="1"/>
  <c r="T125" i="1"/>
  <c r="T117" i="1"/>
  <c r="T58" i="1"/>
  <c r="T99" i="1"/>
  <c r="T131" i="1"/>
  <c r="T95" i="1"/>
  <c r="T140" i="1"/>
  <c r="T75" i="1"/>
  <c r="T127" i="1"/>
  <c r="T51" i="1"/>
  <c r="T142" i="1"/>
  <c r="T101" i="1"/>
  <c r="T54" i="1"/>
  <c r="T80" i="1"/>
  <c r="T63" i="1"/>
  <c r="T111" i="1"/>
  <c r="T19" i="1"/>
  <c r="T16" i="1"/>
  <c r="T55" i="1"/>
  <c r="T109" i="1"/>
  <c r="T100" i="1"/>
  <c r="T39" i="1"/>
  <c r="T115" i="1"/>
  <c r="T105" i="1"/>
  <c r="T120" i="1"/>
  <c r="T45" i="1"/>
  <c r="T66" i="1"/>
  <c r="T33" i="1"/>
  <c r="T62" i="1"/>
  <c r="T81" i="1"/>
  <c r="O143" i="1"/>
  <c r="E143" i="1"/>
  <c r="D4" i="1"/>
  <c r="J117" i="1"/>
  <c r="J96" i="1"/>
  <c r="I105" i="1"/>
  <c r="I10" i="1"/>
  <c r="H51" i="1"/>
  <c r="J69" i="1"/>
  <c r="D88" i="1"/>
  <c r="J33" i="1"/>
  <c r="F56" i="1"/>
  <c r="H141" i="1"/>
  <c r="K128" i="1"/>
  <c r="Q128" i="1" s="1"/>
  <c r="D58" i="1"/>
  <c r="D29" i="1"/>
  <c r="K109" i="1"/>
  <c r="F68" i="1"/>
  <c r="K79" i="1"/>
  <c r="K88" i="1"/>
  <c r="K82" i="1"/>
  <c r="K37" i="1"/>
  <c r="K105" i="1"/>
  <c r="K106" i="1"/>
  <c r="K51" i="1"/>
  <c r="K138" i="1"/>
  <c r="K102" i="1"/>
  <c r="K110" i="1"/>
  <c r="K28" i="1"/>
  <c r="K45" i="1"/>
  <c r="K99" i="1"/>
  <c r="H118" i="1"/>
  <c r="F47" i="1"/>
  <c r="K127" i="1"/>
  <c r="Q127" i="1" s="1"/>
  <c r="K24" i="1"/>
  <c r="I130" i="1"/>
  <c r="F135" i="1"/>
  <c r="D70" i="1"/>
  <c r="I38" i="1"/>
  <c r="K13" i="1"/>
  <c r="D105" i="1"/>
  <c r="H125" i="1"/>
  <c r="H65" i="1"/>
  <c r="H94" i="1"/>
  <c r="H124" i="1"/>
  <c r="J99" i="1"/>
  <c r="H80" i="1"/>
  <c r="H25" i="1"/>
  <c r="F74" i="1"/>
  <c r="F44" i="1"/>
  <c r="F105" i="1"/>
  <c r="D142" i="1"/>
  <c r="D3" i="1"/>
  <c r="D79" i="1"/>
  <c r="D42" i="1"/>
  <c r="D80" i="1"/>
  <c r="D89" i="1"/>
  <c r="D16" i="1"/>
  <c r="D72" i="1"/>
  <c r="D112" i="1"/>
  <c r="E64" i="4"/>
  <c r="E20" i="4"/>
  <c r="F20" i="4" s="1"/>
  <c r="I62" i="1"/>
  <c r="F42" i="1"/>
  <c r="D98" i="1"/>
  <c r="J110" i="1"/>
  <c r="D50" i="1"/>
  <c r="D63" i="1"/>
  <c r="F31" i="1"/>
  <c r="I73" i="1"/>
  <c r="E69" i="4"/>
  <c r="J21" i="1"/>
  <c r="D141" i="1"/>
  <c r="I4" i="1"/>
  <c r="I36" i="1"/>
  <c r="H81" i="1"/>
  <c r="F78" i="1"/>
  <c r="F124" i="1"/>
  <c r="D87" i="1"/>
  <c r="D115" i="1"/>
  <c r="F35" i="1"/>
  <c r="D94" i="1"/>
  <c r="D107" i="1"/>
  <c r="D76" i="1"/>
  <c r="E12" i="4"/>
  <c r="F12" i="4" s="1"/>
  <c r="J25" i="1"/>
  <c r="D140" i="1"/>
  <c r="H91" i="1"/>
  <c r="D45" i="1"/>
  <c r="J44" i="1"/>
  <c r="P44" i="1" s="1"/>
  <c r="H58" i="1"/>
  <c r="J85" i="1"/>
  <c r="Q85" i="1" s="1"/>
  <c r="H104" i="1"/>
  <c r="F136" i="1"/>
  <c r="J121" i="1"/>
  <c r="H45" i="1"/>
  <c r="D133" i="1"/>
  <c r="D6" i="1"/>
  <c r="I30" i="1"/>
  <c r="H115" i="1"/>
  <c r="D130" i="1"/>
  <c r="I104" i="1"/>
  <c r="J37" i="1"/>
  <c r="J108" i="1"/>
  <c r="H52" i="1"/>
  <c r="H75" i="1"/>
  <c r="D102" i="1"/>
  <c r="Q102" i="1" s="1"/>
  <c r="D51" i="1"/>
  <c r="D108" i="1"/>
  <c r="J57" i="1"/>
  <c r="H109" i="1"/>
  <c r="E8" i="4"/>
  <c r="F8" i="4" s="1"/>
  <c r="E17" i="4"/>
  <c r="F17" i="4" s="1"/>
  <c r="D84" i="1"/>
  <c r="D35" i="1"/>
  <c r="E14" i="4"/>
  <c r="F14" i="4" s="1"/>
  <c r="I79" i="1"/>
  <c r="D136" i="1"/>
  <c r="I106" i="1"/>
  <c r="D18" i="1"/>
  <c r="I55" i="1"/>
  <c r="I40" i="1"/>
  <c r="J92" i="1"/>
  <c r="D36" i="1"/>
  <c r="J63" i="1"/>
  <c r="D12" i="1"/>
  <c r="H139" i="1"/>
  <c r="J16" i="1"/>
  <c r="H77" i="1"/>
  <c r="I60" i="1"/>
  <c r="H49" i="1"/>
  <c r="I87" i="1"/>
  <c r="F63" i="1"/>
  <c r="J12" i="1"/>
  <c r="E19" i="4"/>
  <c r="F19" i="4" s="1"/>
  <c r="H78" i="1"/>
  <c r="J20" i="1"/>
  <c r="P20" i="1" s="1"/>
  <c r="D7" i="1"/>
  <c r="D65" i="1"/>
  <c r="P15" i="1"/>
  <c r="J116" i="1"/>
  <c r="J84" i="1"/>
  <c r="J77" i="1"/>
  <c r="P77" i="1" s="1"/>
  <c r="J139" i="1"/>
  <c r="Q139" i="1" s="1"/>
  <c r="E58" i="4"/>
  <c r="F58" i="4" s="1"/>
  <c r="J90" i="1"/>
  <c r="J104" i="1"/>
  <c r="J136" i="1"/>
  <c r="J32" i="1"/>
  <c r="K86" i="1"/>
  <c r="K69" i="1"/>
  <c r="J109" i="1"/>
  <c r="E63" i="4"/>
  <c r="J82" i="1"/>
  <c r="J52" i="1"/>
  <c r="K103" i="1"/>
  <c r="J29" i="1"/>
  <c r="J101" i="1"/>
  <c r="J28" i="1"/>
  <c r="K81" i="1"/>
  <c r="J50" i="1"/>
  <c r="K8" i="1"/>
  <c r="J125" i="1"/>
  <c r="J91" i="1"/>
  <c r="Q91" i="1" s="1"/>
  <c r="J45" i="1"/>
  <c r="J7" i="1"/>
  <c r="J76" i="1"/>
  <c r="K29" i="1"/>
  <c r="S58" i="1"/>
  <c r="J80" i="1"/>
  <c r="J72" i="1"/>
  <c r="J11" i="1"/>
  <c r="J65" i="1"/>
  <c r="J119" i="1"/>
  <c r="E70" i="4"/>
  <c r="K9" i="1"/>
  <c r="J87" i="1"/>
  <c r="J6" i="1"/>
  <c r="K125" i="1"/>
  <c r="J13" i="1"/>
  <c r="J17" i="1"/>
  <c r="Q17" i="1" s="1"/>
  <c r="E72" i="4"/>
  <c r="J103" i="1"/>
  <c r="J89" i="1"/>
  <c r="J138" i="1"/>
  <c r="J78" i="1"/>
  <c r="K108" i="1"/>
  <c r="K49" i="1"/>
  <c r="J43" i="1"/>
  <c r="J112" i="1"/>
  <c r="J115" i="1"/>
  <c r="J83" i="1"/>
  <c r="Q83" i="1" s="1"/>
  <c r="J140" i="1"/>
  <c r="J114" i="1"/>
  <c r="P114" i="1" s="1"/>
  <c r="E27" i="4"/>
  <c r="F27" i="4" s="1"/>
  <c r="E7" i="4"/>
  <c r="F7" i="4" s="1"/>
  <c r="E15" i="4"/>
  <c r="F15" i="4" s="1"/>
  <c r="E9" i="4"/>
  <c r="F9" i="4" s="1"/>
  <c r="E10" i="4"/>
  <c r="F10" i="4" s="1"/>
  <c r="E18" i="4"/>
  <c r="F18" i="4" s="1"/>
  <c r="E25" i="4"/>
  <c r="F25" i="4" s="1"/>
  <c r="E21" i="4"/>
  <c r="F21" i="4" s="1"/>
  <c r="E11" i="4"/>
  <c r="F11" i="4" s="1"/>
  <c r="H117" i="1"/>
  <c r="AH127" i="8"/>
  <c r="AI127" i="8" s="1"/>
  <c r="AH124" i="8"/>
  <c r="AI124" i="8" s="1"/>
  <c r="AH105" i="8"/>
  <c r="AI105" i="8" s="1"/>
  <c r="E92" i="5" s="1"/>
  <c r="F92" i="5" s="1"/>
  <c r="AH18" i="8"/>
  <c r="AI18" i="8" s="1"/>
  <c r="AH71" i="8"/>
  <c r="AI71" i="8" s="1"/>
  <c r="AH44" i="8"/>
  <c r="AI44" i="8" s="1"/>
  <c r="AH28" i="8"/>
  <c r="AI28" i="8" s="1"/>
  <c r="AH7" i="8"/>
  <c r="AI7" i="8" s="1"/>
  <c r="E7" i="5" s="1"/>
  <c r="F7" i="5" s="1"/>
  <c r="AH5" i="8"/>
  <c r="AI5" i="8" s="1"/>
  <c r="AH108" i="8"/>
  <c r="AI108" i="8" s="1"/>
  <c r="S17" i="1"/>
  <c r="AH38" i="8"/>
  <c r="AI38" i="8" s="1"/>
  <c r="AH89" i="8"/>
  <c r="AI89" i="8" s="1"/>
  <c r="E85" i="4"/>
  <c r="AL123" i="8"/>
  <c r="K27" i="1" s="1"/>
  <c r="S65" i="1"/>
  <c r="H65" i="4"/>
  <c r="AH27" i="8"/>
  <c r="AI27" i="8" s="1"/>
  <c r="H67" i="4"/>
  <c r="H71" i="4"/>
  <c r="S120" i="1" s="1"/>
  <c r="AH73" i="8"/>
  <c r="AI73" i="8" s="1"/>
  <c r="AH97" i="8"/>
  <c r="AI97" i="8" s="1"/>
  <c r="AH120" i="8"/>
  <c r="AI120" i="8" s="1"/>
  <c r="AH35" i="8"/>
  <c r="AI35" i="8" s="1"/>
  <c r="AH103" i="8"/>
  <c r="AI103" i="8" s="1"/>
  <c r="AH132" i="8"/>
  <c r="AI132" i="8" s="1"/>
  <c r="H47" i="8"/>
  <c r="H77" i="8"/>
  <c r="F118" i="1" s="1"/>
  <c r="AL38" i="8"/>
  <c r="K26" i="1" s="1"/>
  <c r="H73" i="1"/>
  <c r="AL136" i="8"/>
  <c r="K133" i="1" s="1"/>
  <c r="G31" i="1"/>
  <c r="AL30" i="8"/>
  <c r="K78" i="1" s="1"/>
  <c r="H23" i="8"/>
  <c r="H10" i="8"/>
  <c r="H137" i="1"/>
  <c r="G35" i="1"/>
  <c r="AL37" i="8"/>
  <c r="K32" i="1" s="1"/>
  <c r="G51" i="1"/>
  <c r="AL78" i="8"/>
  <c r="K92" i="1" s="1"/>
  <c r="M13" i="1"/>
  <c r="G89" i="1"/>
  <c r="H40" i="8"/>
  <c r="I88" i="1"/>
  <c r="H38" i="8"/>
  <c r="F116" i="1" s="1"/>
  <c r="H131" i="8"/>
  <c r="H12" i="8"/>
  <c r="AL104" i="8"/>
  <c r="AH37" i="8"/>
  <c r="AI37" i="8" s="1"/>
  <c r="AL108" i="8"/>
  <c r="K142" i="1" s="1"/>
  <c r="H59" i="8"/>
  <c r="F10" i="1" s="1"/>
  <c r="H75" i="8"/>
  <c r="F11" i="1" s="1"/>
  <c r="H127" i="8"/>
  <c r="AH131" i="8"/>
  <c r="AI131" i="8" s="1"/>
  <c r="H74" i="8"/>
  <c r="F140" i="1" s="1"/>
  <c r="AH125" i="8"/>
  <c r="AI125" i="8" s="1"/>
  <c r="AH20" i="8"/>
  <c r="AI20" i="8" s="1"/>
  <c r="AL83" i="8"/>
  <c r="AL17" i="8"/>
  <c r="K104" i="1" s="1"/>
  <c r="H3" i="8"/>
  <c r="AH72" i="8"/>
  <c r="AI72" i="8" s="1"/>
  <c r="H49" i="8"/>
  <c r="AH40" i="8"/>
  <c r="AI40" i="8" s="1"/>
  <c r="H9" i="8"/>
  <c r="H120" i="8"/>
  <c r="F76" i="1" s="1"/>
  <c r="H72" i="8"/>
  <c r="AH109" i="8"/>
  <c r="F32" i="1"/>
  <c r="AL35" i="8"/>
  <c r="K52" i="1" s="1"/>
  <c r="H86" i="8"/>
  <c r="F83" i="1" s="1"/>
  <c r="AL118" i="8"/>
  <c r="K62" i="1" s="1"/>
  <c r="AL69" i="8"/>
  <c r="K76" i="1" s="1"/>
  <c r="AL21" i="8"/>
  <c r="K94" i="1" s="1"/>
  <c r="AL117" i="8"/>
  <c r="K11" i="1" s="1"/>
  <c r="AL34" i="8"/>
  <c r="K70" i="1" s="1"/>
  <c r="I92" i="1"/>
  <c r="H70" i="8"/>
  <c r="AH16" i="8"/>
  <c r="AI16" i="8" s="1"/>
  <c r="AL50" i="8"/>
  <c r="AH62" i="8"/>
  <c r="AI62" i="8" s="1"/>
  <c r="H51" i="8"/>
  <c r="AL49" i="8"/>
  <c r="K98" i="1" s="1"/>
  <c r="H56" i="8"/>
  <c r="AL22" i="8"/>
  <c r="K90" i="1" s="1"/>
  <c r="H47" i="1"/>
  <c r="H61" i="1"/>
  <c r="AL126" i="8"/>
  <c r="AL40" i="8"/>
  <c r="K21" i="1" s="1"/>
  <c r="AH83" i="8"/>
  <c r="AI83" i="8" s="1"/>
  <c r="AH96" i="8"/>
  <c r="AI96" i="8" s="1"/>
  <c r="AL79" i="8"/>
  <c r="K66" i="1" s="1"/>
  <c r="AL75" i="8"/>
  <c r="K14" i="1" s="1"/>
  <c r="Q14" i="1" s="1"/>
  <c r="AL46" i="8"/>
  <c r="H14" i="8"/>
  <c r="H26" i="8"/>
  <c r="F55" i="1" s="1"/>
  <c r="M7" i="1"/>
  <c r="M34" i="1"/>
  <c r="I118" i="1"/>
  <c r="I53" i="1"/>
  <c r="G126" i="1"/>
  <c r="H125" i="8"/>
  <c r="H24" i="8"/>
  <c r="H88" i="8"/>
  <c r="AL140" i="8"/>
  <c r="K107" i="1" s="1"/>
  <c r="AL28" i="8"/>
  <c r="K53" i="1" s="1"/>
  <c r="AH61" i="8"/>
  <c r="AI61" i="8" s="1"/>
  <c r="AH51" i="8"/>
  <c r="AI51" i="8" s="1"/>
  <c r="I70" i="1"/>
  <c r="G121" i="1"/>
  <c r="H122" i="8"/>
  <c r="AH6" i="8"/>
  <c r="AI6" i="8" s="1"/>
  <c r="H129" i="8"/>
  <c r="F84" i="1" s="1"/>
  <c r="H22" i="8"/>
  <c r="H58" i="8"/>
  <c r="AL113" i="8"/>
  <c r="AL97" i="8"/>
  <c r="K23" i="1" s="1"/>
  <c r="H110" i="8"/>
  <c r="I58" i="1"/>
  <c r="H87" i="1"/>
  <c r="AH136" i="8"/>
  <c r="AI136" i="8" s="1"/>
  <c r="H32" i="8"/>
  <c r="AL59" i="8"/>
  <c r="K60" i="1" s="1"/>
  <c r="AH32" i="8"/>
  <c r="AI32" i="8" s="1"/>
  <c r="H116" i="8"/>
  <c r="AH49" i="8"/>
  <c r="AI49" i="8" s="1"/>
  <c r="G34" i="1"/>
  <c r="AL44" i="8"/>
  <c r="K30" i="1" s="1"/>
  <c r="Q30" i="1" s="1"/>
  <c r="AH60" i="8"/>
  <c r="AI60" i="8" s="1"/>
  <c r="AH46" i="8"/>
  <c r="AI46" i="8" s="1"/>
  <c r="AH33" i="8"/>
  <c r="AI33" i="8" s="1"/>
  <c r="AL27" i="8"/>
  <c r="K126" i="1" s="1"/>
  <c r="AL120" i="8"/>
  <c r="K39" i="1" s="1"/>
  <c r="H8" i="8"/>
  <c r="AL115" i="8"/>
  <c r="K124" i="1" s="1"/>
  <c r="Q124" i="1" s="1"/>
  <c r="AL63" i="8"/>
  <c r="K136" i="1" s="1"/>
  <c r="AL18" i="8"/>
  <c r="K42" i="1" s="1"/>
  <c r="AH22" i="8"/>
  <c r="AI22" i="8" s="1"/>
  <c r="AH90" i="8"/>
  <c r="AI90" i="8" s="1"/>
  <c r="H11" i="8"/>
  <c r="F52" i="1" s="1"/>
  <c r="H17" i="8"/>
  <c r="AH123" i="8"/>
  <c r="AI123" i="8" s="1"/>
  <c r="H84" i="8"/>
  <c r="AH45" i="8"/>
  <c r="AI45" i="8" s="1"/>
  <c r="G81" i="1"/>
  <c r="H134" i="8"/>
  <c r="F34" i="1" s="1"/>
  <c r="I137" i="1"/>
  <c r="D59" i="1"/>
  <c r="Q59" i="1" s="1"/>
  <c r="AL102" i="8"/>
  <c r="K34" i="1" s="1"/>
  <c r="AH77" i="8"/>
  <c r="AI77" i="8" s="1"/>
  <c r="H54" i="8"/>
  <c r="F73" i="1" s="1"/>
  <c r="H70" i="1"/>
  <c r="AH70" i="8"/>
  <c r="AI70" i="8" s="1"/>
  <c r="AH65" i="8"/>
  <c r="AI65" i="8" s="1"/>
  <c r="H97" i="8"/>
  <c r="I78" i="1"/>
  <c r="AH100" i="8"/>
  <c r="AI100" i="8" s="1"/>
  <c r="AH118" i="8"/>
  <c r="AI118" i="8" s="1"/>
  <c r="G123" i="1"/>
  <c r="G112" i="1"/>
  <c r="H118" i="8"/>
  <c r="M117" i="1"/>
  <c r="D32" i="1"/>
  <c r="Q32" i="1" s="1"/>
  <c r="H25" i="8"/>
  <c r="H123" i="8"/>
  <c r="F66" i="1" s="1"/>
  <c r="H20" i="8"/>
  <c r="F19" i="1" s="1"/>
  <c r="AH66" i="8"/>
  <c r="AI66" i="8" s="1"/>
  <c r="AH130" i="8"/>
  <c r="AI130" i="8" s="1"/>
  <c r="AH106" i="8"/>
  <c r="AI106" i="8" s="1"/>
  <c r="H135" i="8"/>
  <c r="H113" i="8"/>
  <c r="F134" i="1" s="1"/>
  <c r="H6" i="8"/>
  <c r="D34" i="1"/>
  <c r="AL127" i="8"/>
  <c r="H29" i="8"/>
  <c r="H107" i="8"/>
  <c r="F13" i="1" s="1"/>
  <c r="AL12" i="8"/>
  <c r="K38" i="1" s="1"/>
  <c r="AL91" i="8"/>
  <c r="AH68" i="8"/>
  <c r="AI68" i="8" s="1"/>
  <c r="H111" i="8"/>
  <c r="F141" i="1" s="1"/>
  <c r="H50" i="8"/>
  <c r="H52" i="8"/>
  <c r="AH81" i="8"/>
  <c r="AI81" i="8" s="1"/>
  <c r="M56" i="1"/>
  <c r="AL70" i="8"/>
  <c r="K129" i="1" s="1"/>
  <c r="H96" i="8"/>
  <c r="F122" i="1" s="1"/>
  <c r="AH107" i="8"/>
  <c r="AI107" i="8" s="1"/>
  <c r="I93" i="1"/>
  <c r="I107" i="1"/>
  <c r="I64" i="1"/>
  <c r="I47" i="1"/>
  <c r="I108" i="1"/>
  <c r="G22" i="1"/>
  <c r="H7" i="8"/>
  <c r="F22" i="1" s="1"/>
  <c r="I74" i="1"/>
  <c r="G46" i="1"/>
  <c r="H80" i="8"/>
  <c r="G113" i="1"/>
  <c r="H81" i="8"/>
  <c r="F49" i="1" s="1"/>
  <c r="H96" i="1"/>
  <c r="H44" i="1"/>
  <c r="H23" i="1"/>
  <c r="H84" i="1"/>
  <c r="I114" i="1"/>
  <c r="AL6" i="8"/>
  <c r="K40" i="1" s="1"/>
  <c r="I63" i="1"/>
  <c r="H46" i="1"/>
  <c r="H48" i="8"/>
  <c r="F88" i="1" s="1"/>
  <c r="H100" i="1"/>
  <c r="AH9" i="8"/>
  <c r="AI9" i="8" s="1"/>
  <c r="I11" i="1"/>
  <c r="AH36" i="8"/>
  <c r="AI36" i="8" s="1"/>
  <c r="AH64" i="8"/>
  <c r="AI64" i="8" s="1"/>
  <c r="H27" i="8"/>
  <c r="M141" i="1"/>
  <c r="G101" i="1"/>
  <c r="H114" i="8"/>
  <c r="H105" i="1"/>
  <c r="AH17" i="8"/>
  <c r="AI17" i="8" s="1"/>
  <c r="AH84" i="8"/>
  <c r="AI84" i="8" s="1"/>
  <c r="H100" i="8"/>
  <c r="F25" i="1" s="1"/>
  <c r="H15" i="1"/>
  <c r="H5" i="1"/>
  <c r="I14" i="1"/>
  <c r="G3" i="1"/>
  <c r="H65" i="8"/>
  <c r="H43" i="8"/>
  <c r="F93" i="1" s="1"/>
  <c r="AL60" i="8"/>
  <c r="K56" i="1" s="1"/>
  <c r="AH25" i="8"/>
  <c r="AI25" i="8" s="1"/>
  <c r="AL47" i="8"/>
  <c r="K71" i="1" s="1"/>
  <c r="AH75" i="8"/>
  <c r="AI75" i="8" s="1"/>
  <c r="H139" i="8"/>
  <c r="I95" i="1"/>
  <c r="H126" i="1"/>
  <c r="H63" i="1"/>
  <c r="M62" i="1"/>
  <c r="G4" i="1"/>
  <c r="H85" i="8"/>
  <c r="I49" i="1"/>
  <c r="I21" i="1"/>
  <c r="I138" i="1"/>
  <c r="AL95" i="8"/>
  <c r="K95" i="1" s="1"/>
  <c r="H61" i="8"/>
  <c r="H123" i="1"/>
  <c r="H90" i="1"/>
  <c r="H113" i="1"/>
  <c r="I109" i="1"/>
  <c r="I13" i="1"/>
  <c r="AH57" i="8"/>
  <c r="AI57" i="8" s="1"/>
  <c r="AH79" i="8"/>
  <c r="AI79" i="8" s="1"/>
  <c r="AL72" i="8"/>
  <c r="AH47" i="8"/>
  <c r="AI47" i="8" s="1"/>
  <c r="G107" i="1"/>
  <c r="H91" i="8"/>
  <c r="F107" i="1" s="1"/>
  <c r="I115" i="1"/>
  <c r="AL82" i="8"/>
  <c r="K123" i="1" s="1"/>
  <c r="AH52" i="8"/>
  <c r="AI52" i="8" s="1"/>
  <c r="H40" i="1"/>
  <c r="G40" i="1"/>
  <c r="H4" i="8"/>
  <c r="F5" i="1" s="1"/>
  <c r="H67" i="1"/>
  <c r="H35" i="1"/>
  <c r="G12" i="1"/>
  <c r="H112" i="8"/>
  <c r="I140" i="1"/>
  <c r="AH94" i="8"/>
  <c r="AI94" i="8" s="1"/>
  <c r="AL114" i="8"/>
  <c r="K64" i="1" s="1"/>
  <c r="K5" i="1"/>
  <c r="D64" i="1"/>
  <c r="H8" i="1"/>
  <c r="M18" i="1"/>
  <c r="G8" i="1"/>
  <c r="H68" i="8"/>
  <c r="G131" i="1"/>
  <c r="H33" i="8"/>
  <c r="AL111" i="8"/>
  <c r="K41" i="1" s="1"/>
  <c r="Q41" i="1" s="1"/>
  <c r="AL31" i="8"/>
  <c r="K73" i="1" s="1"/>
  <c r="AL66" i="8"/>
  <c r="K48" i="1" s="1"/>
  <c r="Q48" i="1" s="1"/>
  <c r="AL14" i="8"/>
  <c r="K130" i="1" s="1"/>
  <c r="H67" i="8"/>
  <c r="M110" i="1"/>
  <c r="H38" i="1"/>
  <c r="I76" i="1"/>
  <c r="G43" i="1"/>
  <c r="H130" i="8"/>
  <c r="H3" i="1"/>
  <c r="I7" i="1"/>
  <c r="AH24" i="8"/>
  <c r="AI24" i="8" s="1"/>
  <c r="H116" i="1"/>
  <c r="G50" i="1"/>
  <c r="H55" i="8"/>
  <c r="F50" i="1" s="1"/>
  <c r="I6" i="1"/>
  <c r="H55" i="1"/>
  <c r="AL24" i="8"/>
  <c r="AL107" i="8"/>
  <c r="K100" i="1" s="1"/>
  <c r="H45" i="8"/>
  <c r="H12" i="1"/>
  <c r="I101" i="1"/>
  <c r="I52" i="1"/>
  <c r="I82" i="1"/>
  <c r="H29" i="1"/>
  <c r="AH86" i="8"/>
  <c r="AI86" i="8" s="1"/>
  <c r="AH30" i="8"/>
  <c r="AI30" i="8" s="1"/>
  <c r="AH21" i="8"/>
  <c r="AI21" i="8" s="1"/>
  <c r="AH114" i="8"/>
  <c r="AI114" i="8" s="1"/>
  <c r="AH115" i="8"/>
  <c r="AI115" i="8" s="1"/>
  <c r="AH8" i="8"/>
  <c r="AI8" i="8" s="1"/>
  <c r="AH56" i="8"/>
  <c r="AI56" i="8" s="1"/>
  <c r="AH11" i="8"/>
  <c r="AI11" i="8" s="1"/>
  <c r="AH142" i="8"/>
  <c r="AI142" i="8" s="1"/>
  <c r="AH99" i="8"/>
  <c r="AI99" i="8" s="1"/>
  <c r="AH43" i="8"/>
  <c r="AI43" i="8" s="1"/>
  <c r="AH80" i="8"/>
  <c r="AI80" i="8" s="1"/>
  <c r="AH53" i="8"/>
  <c r="AI53" i="8" s="1"/>
  <c r="AH137" i="8"/>
  <c r="AI137" i="8" s="1"/>
  <c r="AH85" i="8"/>
  <c r="AI85" i="8" s="1"/>
  <c r="AH102" i="8"/>
  <c r="AI102" i="8" s="1"/>
  <c r="AH126" i="8"/>
  <c r="AI126" i="8" s="1"/>
  <c r="E110" i="5" s="1"/>
  <c r="F110" i="5" s="1"/>
  <c r="AH117" i="8"/>
  <c r="AI117" i="8" s="1"/>
  <c r="AH98" i="8"/>
  <c r="AI98" i="8" s="1"/>
  <c r="AH13" i="8"/>
  <c r="AI13" i="8" s="1"/>
  <c r="AH23" i="8"/>
  <c r="AI23" i="8" s="1"/>
  <c r="AH78" i="8"/>
  <c r="AI78" i="8" s="1"/>
  <c r="AH39" i="8"/>
  <c r="AI39" i="8" s="1"/>
  <c r="AH135" i="8"/>
  <c r="AI135" i="8" s="1"/>
  <c r="AH31" i="8"/>
  <c r="AI31" i="8" s="1"/>
  <c r="AH122" i="8"/>
  <c r="AH55" i="8"/>
  <c r="AI55" i="8" s="1"/>
  <c r="AH74" i="8"/>
  <c r="AI74" i="8" s="1"/>
  <c r="AH116" i="8"/>
  <c r="AI116" i="8" s="1"/>
  <c r="AH104" i="8"/>
  <c r="AI104" i="8" s="1"/>
  <c r="AH59" i="8"/>
  <c r="AI59" i="8" s="1"/>
  <c r="AH95" i="8"/>
  <c r="AI95" i="8" s="1"/>
  <c r="AH67" i="8"/>
  <c r="AI67" i="8" s="1"/>
  <c r="E127" i="5" s="1"/>
  <c r="H127" i="5" s="1"/>
  <c r="AH112" i="8"/>
  <c r="AI112" i="8" s="1"/>
  <c r="AH12" i="8"/>
  <c r="AI12" i="8" s="1"/>
  <c r="AH3" i="8"/>
  <c r="AH141" i="8"/>
  <c r="AI141" i="8" s="1"/>
  <c r="AH133" i="8"/>
  <c r="AI133" i="8" s="1"/>
  <c r="AH113" i="8"/>
  <c r="AI113" i="8" s="1"/>
  <c r="AH58" i="8"/>
  <c r="AI58" i="8" s="1"/>
  <c r="AH88" i="8"/>
  <c r="AI88" i="8" s="1"/>
  <c r="E80" i="5" s="1"/>
  <c r="F80" i="5" s="1"/>
  <c r="AH69" i="8"/>
  <c r="AI69" i="8" s="1"/>
  <c r="AH48" i="8"/>
  <c r="AI48" i="8" s="1"/>
  <c r="AH42" i="8"/>
  <c r="AI42" i="8" s="1"/>
  <c r="AH10" i="8"/>
  <c r="AI10" i="8" s="1"/>
  <c r="AH76" i="8"/>
  <c r="AI76" i="8" s="1"/>
  <c r="AH92" i="8"/>
  <c r="AI92" i="8" s="1"/>
  <c r="AH26" i="8"/>
  <c r="AI26" i="8" s="1"/>
  <c r="AH119" i="8"/>
  <c r="AI119" i="8" s="1"/>
  <c r="AH101" i="8"/>
  <c r="AI101" i="8" s="1"/>
  <c r="AH121" i="8"/>
  <c r="AI121" i="8" s="1"/>
  <c r="AH134" i="8"/>
  <c r="AI134" i="8" s="1"/>
  <c r="AH19" i="8"/>
  <c r="AI19" i="8" s="1"/>
  <c r="AI140" i="8"/>
  <c r="E130" i="5" s="1"/>
  <c r="H130" i="5" s="1"/>
  <c r="AH54" i="8"/>
  <c r="AI54" i="8" s="1"/>
  <c r="AH50" i="8"/>
  <c r="AI50" i="8" s="1"/>
  <c r="AH41" i="8"/>
  <c r="AI41" i="8" s="1"/>
  <c r="AH91" i="8"/>
  <c r="AI91" i="8" s="1"/>
  <c r="AH63" i="8"/>
  <c r="AI63" i="8" s="1"/>
  <c r="AH138" i="8"/>
  <c r="AI138" i="8" s="1"/>
  <c r="AH111" i="8"/>
  <c r="AI111" i="8" s="1"/>
  <c r="AH128" i="8"/>
  <c r="AI128" i="8" s="1"/>
  <c r="AH129" i="8"/>
  <c r="AI129" i="8" s="1"/>
  <c r="AH34" i="8"/>
  <c r="AI34" i="8" s="1"/>
  <c r="AH110" i="8"/>
  <c r="AI110" i="8" s="1"/>
  <c r="AH87" i="8"/>
  <c r="AI87" i="8" s="1"/>
  <c r="AH14" i="8"/>
  <c r="AI14" i="8" s="1"/>
  <c r="AH82" i="8"/>
  <c r="AI82" i="8" s="1"/>
  <c r="AH93" i="8"/>
  <c r="AH139" i="8"/>
  <c r="AI139" i="8" s="1"/>
  <c r="AH15" i="8"/>
  <c r="AI15" i="8" s="1"/>
  <c r="Q43" i="1" l="1"/>
  <c r="Q37" i="1"/>
  <c r="Q75" i="1"/>
  <c r="H143" i="8"/>
  <c r="Q116" i="1"/>
  <c r="Q36" i="1"/>
  <c r="Q67" i="1"/>
  <c r="Q13" i="1"/>
  <c r="Q11" i="1"/>
  <c r="Q81" i="1"/>
  <c r="Q80" i="1"/>
  <c r="Q142" i="1"/>
  <c r="Q110" i="1"/>
  <c r="Q78" i="1"/>
  <c r="Q27" i="1"/>
  <c r="Q125" i="1"/>
  <c r="Q79" i="1"/>
  <c r="Q99" i="1"/>
  <c r="Q54" i="1"/>
  <c r="Q74" i="1"/>
  <c r="Q62" i="1"/>
  <c r="Q103" i="1"/>
  <c r="Q92" i="1"/>
  <c r="Q108" i="1"/>
  <c r="Q130" i="1"/>
  <c r="Q133" i="1"/>
  <c r="Q45" i="1"/>
  <c r="Q141" i="1"/>
  <c r="Q98" i="1"/>
  <c r="Q105" i="1"/>
  <c r="Q69" i="1"/>
  <c r="Q95" i="1"/>
  <c r="Q47" i="1"/>
  <c r="Q24" i="1"/>
  <c r="Q31" i="1"/>
  <c r="Q134" i="1"/>
  <c r="Q46" i="1"/>
  <c r="Q8" i="1"/>
  <c r="Q86" i="1"/>
  <c r="Q89" i="1"/>
  <c r="P3" i="1"/>
  <c r="Q3" i="1"/>
  <c r="Q76" i="1"/>
  <c r="Q63" i="1"/>
  <c r="Q112" i="1"/>
  <c r="Q101" i="1"/>
  <c r="Q82" i="1"/>
  <c r="Q65" i="1"/>
  <c r="Q35" i="1"/>
  <c r="Q140" i="1"/>
  <c r="Q107" i="1"/>
  <c r="Q87" i="1"/>
  <c r="Q50" i="1"/>
  <c r="Q72" i="1"/>
  <c r="Q42" i="1"/>
  <c r="Q4" i="1"/>
  <c r="Q73" i="1"/>
  <c r="Q129" i="1"/>
  <c r="Q138" i="1"/>
  <c r="Q121" i="1"/>
  <c r="Q49" i="1"/>
  <c r="Q90" i="1"/>
  <c r="Q114" i="1"/>
  <c r="Q93" i="1"/>
  <c r="Q5" i="1"/>
  <c r="P46" i="1"/>
  <c r="Q18" i="1"/>
  <c r="Q51" i="1"/>
  <c r="Q115" i="1"/>
  <c r="Q29" i="1"/>
  <c r="Q52" i="1"/>
  <c r="Q22" i="1"/>
  <c r="Q9" i="1"/>
  <c r="Q109" i="1"/>
  <c r="Q56" i="1"/>
  <c r="Q64" i="1"/>
  <c r="Q34" i="1"/>
  <c r="Q7" i="1"/>
  <c r="Q12" i="1"/>
  <c r="Q136" i="1"/>
  <c r="Q84" i="1"/>
  <c r="Q6" i="1"/>
  <c r="Q94" i="1"/>
  <c r="Q16" i="1"/>
  <c r="Q70" i="1"/>
  <c r="Q88" i="1"/>
  <c r="Q117" i="1"/>
  <c r="Q113" i="1"/>
  <c r="Q68" i="1"/>
  <c r="Q126" i="1"/>
  <c r="Q119" i="1"/>
  <c r="Q71" i="1"/>
  <c r="Q39" i="1"/>
  <c r="Q21" i="1"/>
  <c r="Q20" i="1"/>
  <c r="Q137" i="1"/>
  <c r="Q44" i="1"/>
  <c r="Q122" i="1"/>
  <c r="Q77" i="1"/>
  <c r="S16" i="1"/>
  <c r="S93" i="1"/>
  <c r="P41" i="1"/>
  <c r="S56" i="1"/>
  <c r="P30" i="1"/>
  <c r="P127" i="1"/>
  <c r="P128" i="1"/>
  <c r="S32" i="1"/>
  <c r="P31" i="1"/>
  <c r="AL143" i="8"/>
  <c r="AI3" i="8"/>
  <c r="AH143" i="8"/>
  <c r="P135" i="1"/>
  <c r="P112" i="1"/>
  <c r="E3" i="4"/>
  <c r="P27" i="1"/>
  <c r="P113" i="1"/>
  <c r="F103" i="1"/>
  <c r="F119" i="1"/>
  <c r="P118" i="1"/>
  <c r="F46" i="1"/>
  <c r="S74" i="1"/>
  <c r="S79" i="1"/>
  <c r="P132" i="1"/>
  <c r="P54" i="1"/>
  <c r="P75" i="1"/>
  <c r="P4" i="1"/>
  <c r="P67" i="1"/>
  <c r="P19" i="1"/>
  <c r="P74" i="1"/>
  <c r="P97" i="1"/>
  <c r="P126" i="1"/>
  <c r="F95" i="1"/>
  <c r="F142" i="1"/>
  <c r="F71" i="1"/>
  <c r="F108" i="1"/>
  <c r="F70" i="1"/>
  <c r="P134" i="1"/>
  <c r="P22" i="1"/>
  <c r="F43" i="1"/>
  <c r="F3" i="1"/>
  <c r="F111" i="1"/>
  <c r="F30" i="1"/>
  <c r="F16" i="1"/>
  <c r="P120" i="1"/>
  <c r="T143" i="1"/>
  <c r="P111" i="1"/>
  <c r="P47" i="1"/>
  <c r="F75" i="1"/>
  <c r="P68" i="1"/>
  <c r="F110" i="1"/>
  <c r="P5" i="1"/>
  <c r="F37" i="1"/>
  <c r="P101" i="1"/>
  <c r="F127" i="1"/>
  <c r="F94" i="1"/>
  <c r="F131" i="1"/>
  <c r="F36" i="1"/>
  <c r="F123" i="1"/>
  <c r="F53" i="1"/>
  <c r="F137" i="1"/>
  <c r="P73" i="1"/>
  <c r="F91" i="1"/>
  <c r="F48" i="1"/>
  <c r="F99" i="1"/>
  <c r="F130" i="1"/>
  <c r="F97" i="1"/>
  <c r="F114" i="1"/>
  <c r="F51" i="1"/>
  <c r="F92" i="1"/>
  <c r="F79" i="1"/>
  <c r="F133" i="1"/>
  <c r="J143" i="1"/>
  <c r="H143" i="1"/>
  <c r="C143" i="1"/>
  <c r="I143" i="1"/>
  <c r="G143" i="1"/>
  <c r="K143" i="1"/>
  <c r="F12" i="1"/>
  <c r="P88" i="1"/>
  <c r="F38" i="1"/>
  <c r="P99" i="1"/>
  <c r="F80" i="1"/>
  <c r="F40" i="1"/>
  <c r="P70" i="1"/>
  <c r="P51" i="1"/>
  <c r="P95" i="1"/>
  <c r="P48" i="1"/>
  <c r="F18" i="1"/>
  <c r="P37" i="1"/>
  <c r="P24" i="1"/>
  <c r="F24" i="1"/>
  <c r="F128" i="1"/>
  <c r="P105" i="1"/>
  <c r="P42" i="1"/>
  <c r="P142" i="1"/>
  <c r="P7" i="1"/>
  <c r="P79" i="1"/>
  <c r="P129" i="1"/>
  <c r="F9" i="1"/>
  <c r="F39" i="1"/>
  <c r="F100" i="1"/>
  <c r="F14" i="1"/>
  <c r="P89" i="1"/>
  <c r="F89" i="1"/>
  <c r="F21" i="1"/>
  <c r="F112" i="1"/>
  <c r="F106" i="1"/>
  <c r="F101" i="1"/>
  <c r="F4" i="1"/>
  <c r="F26" i="1"/>
  <c r="F67" i="1"/>
  <c r="F81" i="1"/>
  <c r="P29" i="1"/>
  <c r="P78" i="1"/>
  <c r="P87" i="1"/>
  <c r="P85" i="1"/>
  <c r="P107" i="1"/>
  <c r="P121" i="1"/>
  <c r="P108" i="1"/>
  <c r="P12" i="1"/>
  <c r="P71" i="1"/>
  <c r="S73" i="1"/>
  <c r="P18" i="1"/>
  <c r="P21" i="1"/>
  <c r="P110" i="1"/>
  <c r="P103" i="1"/>
  <c r="P16" i="1"/>
  <c r="P86" i="1"/>
  <c r="P94" i="1"/>
  <c r="P90" i="1"/>
  <c r="F29" i="1"/>
  <c r="F98" i="1"/>
  <c r="P102" i="1"/>
  <c r="F62" i="1"/>
  <c r="F125" i="1"/>
  <c r="F120" i="1"/>
  <c r="F121" i="1"/>
  <c r="P14" i="1"/>
  <c r="F113" i="1"/>
  <c r="F61" i="1"/>
  <c r="F90" i="1"/>
  <c r="P139" i="1"/>
  <c r="F87" i="1"/>
  <c r="F7" i="1"/>
  <c r="P124" i="1"/>
  <c r="F126" i="1"/>
  <c r="P50" i="1"/>
  <c r="P72" i="1"/>
  <c r="P138" i="1"/>
  <c r="F59" i="1"/>
  <c r="F77" i="1"/>
  <c r="P39" i="1"/>
  <c r="F85" i="1"/>
  <c r="F8" i="1"/>
  <c r="F28" i="1"/>
  <c r="F132" i="1"/>
  <c r="P81" i="1"/>
  <c r="P63" i="1"/>
  <c r="P133" i="1"/>
  <c r="F104" i="1"/>
  <c r="F96" i="1"/>
  <c r="F64" i="1"/>
  <c r="F82" i="1"/>
  <c r="F33" i="1"/>
  <c r="F27" i="1"/>
  <c r="F117" i="1"/>
  <c r="F60" i="1"/>
  <c r="F54" i="1"/>
  <c r="P136" i="1"/>
  <c r="P98" i="1"/>
  <c r="P117" i="1"/>
  <c r="F20" i="1"/>
  <c r="F138" i="1"/>
  <c r="F115" i="1"/>
  <c r="P35" i="1"/>
  <c r="F58" i="1"/>
  <c r="F69" i="1"/>
  <c r="F65" i="1"/>
  <c r="F41" i="1"/>
  <c r="P82" i="1"/>
  <c r="P36" i="1"/>
  <c r="F129" i="1"/>
  <c r="F102" i="1"/>
  <c r="F139" i="1"/>
  <c r="F6" i="1"/>
  <c r="F72" i="1"/>
  <c r="F57" i="1"/>
  <c r="F109" i="1"/>
  <c r="P130" i="1"/>
  <c r="F45" i="1"/>
  <c r="F15" i="1"/>
  <c r="F23" i="1"/>
  <c r="F17" i="1"/>
  <c r="F86" i="1"/>
  <c r="P43" i="1"/>
  <c r="P91" i="1"/>
  <c r="P62" i="1"/>
  <c r="P13" i="1"/>
  <c r="P6" i="1"/>
  <c r="P141" i="1"/>
  <c r="S70" i="1"/>
  <c r="P8" i="1"/>
  <c r="P45" i="1"/>
  <c r="P59" i="1"/>
  <c r="P125" i="1"/>
  <c r="P49" i="1"/>
  <c r="P92" i="1"/>
  <c r="P32" i="1"/>
  <c r="P69" i="1"/>
  <c r="P56" i="1"/>
  <c r="P17" i="1"/>
  <c r="P109" i="1"/>
  <c r="P11" i="1"/>
  <c r="P64" i="1"/>
  <c r="P83" i="1"/>
  <c r="P76" i="1"/>
  <c r="P65" i="1"/>
  <c r="P52" i="1"/>
  <c r="P34" i="1"/>
  <c r="P115" i="1"/>
  <c r="P84" i="1"/>
  <c r="P9" i="1"/>
  <c r="P140" i="1"/>
  <c r="P80" i="1"/>
  <c r="P116" i="1"/>
  <c r="P119" i="1"/>
  <c r="S52" i="1"/>
  <c r="E121" i="5"/>
  <c r="H121" i="5" s="1"/>
  <c r="S22" i="1"/>
  <c r="H85" i="4"/>
  <c r="D57" i="1"/>
  <c r="Q57" i="1" s="1"/>
  <c r="D96" i="1"/>
  <c r="Q96" i="1" s="1"/>
  <c r="D106" i="1"/>
  <c r="Q106" i="1" s="1"/>
  <c r="D26" i="1"/>
  <c r="Q26" i="1" s="1"/>
  <c r="D38" i="1"/>
  <c r="Q38" i="1" s="1"/>
  <c r="D55" i="1"/>
  <c r="Q55" i="1" s="1"/>
  <c r="D60" i="1"/>
  <c r="Q60" i="1" s="1"/>
  <c r="D23" i="1"/>
  <c r="Q23" i="1" s="1"/>
  <c r="D131" i="1"/>
  <c r="Q131" i="1" s="1"/>
  <c r="D25" i="1"/>
  <c r="Q25" i="1" s="1"/>
  <c r="D66" i="1"/>
  <c r="Q66" i="1" s="1"/>
  <c r="D123" i="1"/>
  <c r="Q123" i="1" s="1"/>
  <c r="D104" i="1"/>
  <c r="Q104" i="1" s="1"/>
  <c r="D53" i="1"/>
  <c r="Q53" i="1" s="1"/>
  <c r="D28" i="1"/>
  <c r="Q28" i="1" s="1"/>
  <c r="D10" i="1"/>
  <c r="Q10" i="1" s="1"/>
  <c r="D40" i="1"/>
  <c r="Q40" i="1" s="1"/>
  <c r="D61" i="1"/>
  <c r="Q61" i="1" s="1"/>
  <c r="D33" i="1"/>
  <c r="Q33" i="1" s="1"/>
  <c r="D100" i="1"/>
  <c r="Q100" i="1" s="1"/>
  <c r="E41" i="5"/>
  <c r="F41" i="5" s="1"/>
  <c r="E63" i="5"/>
  <c r="F63" i="5" s="1"/>
  <c r="E17" i="5"/>
  <c r="F17" i="5" s="1"/>
  <c r="E94" i="5"/>
  <c r="F94" i="5" s="1"/>
  <c r="E107" i="5"/>
  <c r="F107" i="5" s="1"/>
  <c r="E27" i="5"/>
  <c r="F27" i="5" s="1"/>
  <c r="E28" i="5"/>
  <c r="F28" i="5" s="1"/>
  <c r="E74" i="5"/>
  <c r="F74" i="5" s="1"/>
  <c r="E116" i="5"/>
  <c r="F116" i="5" s="1"/>
  <c r="E123" i="5"/>
  <c r="H123" i="5" s="1"/>
  <c r="E9" i="5"/>
  <c r="F9" i="5" s="1"/>
  <c r="E128" i="5"/>
  <c r="H128" i="5" s="1"/>
  <c r="E30" i="5"/>
  <c r="F30" i="5" s="1"/>
  <c r="E78" i="5"/>
  <c r="F78" i="5" s="1"/>
  <c r="E5" i="5"/>
  <c r="F5" i="5" s="1"/>
  <c r="E129" i="5"/>
  <c r="E48" i="5"/>
  <c r="F48" i="5" s="1"/>
  <c r="E15" i="5"/>
  <c r="F15" i="5" s="1"/>
  <c r="E115" i="5"/>
  <c r="F115" i="5" s="1"/>
  <c r="E103" i="5"/>
  <c r="F103" i="5" s="1"/>
  <c r="E37" i="5"/>
  <c r="F37" i="5" s="1"/>
  <c r="E124" i="5"/>
  <c r="H124" i="5" s="1"/>
  <c r="R34" i="1" s="1"/>
  <c r="E34" i="5"/>
  <c r="F34" i="5" s="1"/>
  <c r="E73" i="5"/>
  <c r="F73" i="5" s="1"/>
  <c r="E69" i="5"/>
  <c r="F69" i="5" s="1"/>
  <c r="E54" i="5"/>
  <c r="F54" i="5" s="1"/>
  <c r="E8" i="5"/>
  <c r="F8" i="5" s="1"/>
  <c r="E97" i="5"/>
  <c r="F97" i="5" s="1"/>
  <c r="E60" i="5"/>
  <c r="F60" i="5" s="1"/>
  <c r="E100" i="5"/>
  <c r="F100" i="5" s="1"/>
  <c r="E88" i="5"/>
  <c r="F88" i="5" s="1"/>
  <c r="E122" i="5"/>
  <c r="H122" i="5" s="1"/>
  <c r="E40" i="5"/>
  <c r="F40" i="5" s="1"/>
  <c r="E61" i="5"/>
  <c r="F61" i="5" s="1"/>
  <c r="E21" i="5"/>
  <c r="F21" i="5" s="1"/>
  <c r="E6" i="5"/>
  <c r="F6" i="5" s="1"/>
  <c r="E82" i="5"/>
  <c r="F82" i="5" s="1"/>
  <c r="E109" i="5"/>
  <c r="F109" i="5" s="1"/>
  <c r="E29" i="5"/>
  <c r="F29" i="5" s="1"/>
  <c r="E57" i="5"/>
  <c r="F57" i="5" s="1"/>
  <c r="E120" i="5"/>
  <c r="H120" i="5" s="1"/>
  <c r="E62" i="5"/>
  <c r="F62" i="5" s="1"/>
  <c r="E77" i="5"/>
  <c r="F77" i="5" s="1"/>
  <c r="E90" i="5"/>
  <c r="F90" i="5" s="1"/>
  <c r="E45" i="5"/>
  <c r="F45" i="5" s="1"/>
  <c r="E108" i="5"/>
  <c r="F108" i="5" s="1"/>
  <c r="E79" i="5"/>
  <c r="F79" i="5" s="1"/>
  <c r="E101" i="5"/>
  <c r="F101" i="5" s="1"/>
  <c r="E38" i="5"/>
  <c r="F38" i="5" s="1"/>
  <c r="E49" i="5"/>
  <c r="F49" i="5" s="1"/>
  <c r="E56" i="5"/>
  <c r="F56" i="5" s="1"/>
  <c r="E26" i="5"/>
  <c r="F26" i="5" s="1"/>
  <c r="E117" i="5"/>
  <c r="F117" i="5" s="1"/>
  <c r="E75" i="5"/>
  <c r="F75" i="5" s="1"/>
  <c r="E58" i="5"/>
  <c r="F58" i="5" s="1"/>
  <c r="E47" i="5"/>
  <c r="F47" i="5" s="1"/>
  <c r="E13" i="5"/>
  <c r="F13" i="5" s="1"/>
  <c r="E89" i="5"/>
  <c r="F89" i="5" s="1"/>
  <c r="E16" i="5"/>
  <c r="F16" i="5" s="1"/>
  <c r="E55" i="5"/>
  <c r="F55" i="5" s="1"/>
  <c r="E118" i="5"/>
  <c r="F118" i="5" s="1"/>
  <c r="E10" i="5"/>
  <c r="F10" i="5" s="1"/>
  <c r="E32" i="5"/>
  <c r="F32" i="5" s="1"/>
  <c r="E33" i="5"/>
  <c r="F33" i="5" s="1"/>
  <c r="E25" i="5"/>
  <c r="F25" i="5" s="1"/>
  <c r="E4" i="5"/>
  <c r="E70" i="5"/>
  <c r="F70" i="5" s="1"/>
  <c r="E64" i="5"/>
  <c r="F64" i="5" s="1"/>
  <c r="E112" i="5"/>
  <c r="F112" i="5" s="1"/>
  <c r="E83" i="5"/>
  <c r="F83" i="5" s="1"/>
  <c r="E11" i="5"/>
  <c r="F11" i="5" s="1"/>
  <c r="E22" i="5"/>
  <c r="F22" i="5" s="1"/>
  <c r="E67" i="5"/>
  <c r="F67" i="5" s="1"/>
  <c r="E104" i="5"/>
  <c r="F104" i="5" s="1"/>
  <c r="E111" i="5"/>
  <c r="F111" i="5" s="1"/>
  <c r="E98" i="5"/>
  <c r="F98" i="5" s="1"/>
  <c r="E12" i="5"/>
  <c r="F12" i="5" s="1"/>
  <c r="E87" i="5"/>
  <c r="F87" i="5" s="1"/>
  <c r="E68" i="5"/>
  <c r="F68" i="5" s="1"/>
  <c r="E126" i="5"/>
  <c r="H126" i="5" s="1"/>
  <c r="E36" i="5"/>
  <c r="F36" i="5" s="1"/>
  <c r="E86" i="5"/>
  <c r="F86" i="5" s="1"/>
  <c r="E43" i="5"/>
  <c r="F43" i="5" s="1"/>
  <c r="E24" i="5"/>
  <c r="F24" i="5" s="1"/>
  <c r="E113" i="5"/>
  <c r="F113" i="5" s="1"/>
  <c r="E81" i="5"/>
  <c r="F81" i="5" s="1"/>
  <c r="E125" i="5"/>
  <c r="H125" i="5" s="1"/>
  <c r="E53" i="5"/>
  <c r="F53" i="5" s="1"/>
  <c r="E20" i="5"/>
  <c r="F20" i="5" s="1"/>
  <c r="E59" i="5"/>
  <c r="F59" i="5" s="1"/>
  <c r="E19" i="5"/>
  <c r="F19" i="5" s="1"/>
  <c r="E44" i="5"/>
  <c r="F44" i="5" s="1"/>
  <c r="E102" i="5"/>
  <c r="F102" i="5" s="1"/>
  <c r="E39" i="5"/>
  <c r="F39" i="5" s="1"/>
  <c r="E119" i="5"/>
  <c r="H119" i="5" s="1"/>
  <c r="E65" i="5"/>
  <c r="F65" i="5" s="1"/>
  <c r="E46" i="5"/>
  <c r="F46" i="5" s="1"/>
  <c r="E91" i="5"/>
  <c r="F91" i="5" s="1"/>
  <c r="E76" i="5"/>
  <c r="F76" i="5" s="1"/>
  <c r="E71" i="5"/>
  <c r="F71" i="5" s="1"/>
  <c r="E35" i="5"/>
  <c r="F35" i="5" s="1"/>
  <c r="E14" i="5"/>
  <c r="F14" i="5" s="1"/>
  <c r="E52" i="5"/>
  <c r="F52" i="5" s="1"/>
  <c r="E23" i="5"/>
  <c r="F23" i="5" s="1"/>
  <c r="E114" i="5"/>
  <c r="F114" i="5" s="1"/>
  <c r="E66" i="5"/>
  <c r="F66" i="5" s="1"/>
  <c r="E51" i="5"/>
  <c r="F51" i="5" s="1"/>
  <c r="E18" i="5"/>
  <c r="F18" i="5" s="1"/>
  <c r="E99" i="5"/>
  <c r="F99" i="5" s="1"/>
  <c r="E50" i="5"/>
  <c r="F50" i="5" s="1"/>
  <c r="E72" i="5"/>
  <c r="F72" i="5" s="1"/>
  <c r="E93" i="5"/>
  <c r="F93" i="5" s="1"/>
  <c r="E42" i="5"/>
  <c r="F42" i="5" s="1"/>
  <c r="E31" i="5"/>
  <c r="F31" i="5" s="1"/>
  <c r="S71" i="1"/>
  <c r="S86" i="1"/>
  <c r="AI109" i="8"/>
  <c r="E96" i="5" s="1"/>
  <c r="F96" i="5" s="1"/>
  <c r="S87" i="1"/>
  <c r="H63" i="4"/>
  <c r="H72" i="4"/>
  <c r="S68" i="1"/>
  <c r="H70" i="4"/>
  <c r="AI93" i="8"/>
  <c r="E85" i="5" s="1"/>
  <c r="F85" i="5" s="1"/>
  <c r="H68" i="4"/>
  <c r="S29" i="1" s="1"/>
  <c r="AI122" i="8"/>
  <c r="E106" i="5" s="1"/>
  <c r="F106" i="5" s="1"/>
  <c r="H66" i="4"/>
  <c r="S53" i="1" s="1"/>
  <c r="H69" i="4"/>
  <c r="S28" i="1" s="1"/>
  <c r="S99" i="1"/>
  <c r="H64" i="4"/>
  <c r="M58" i="1"/>
  <c r="M143" i="1" s="1"/>
  <c r="Q58" i="1" l="1"/>
  <c r="Q143" i="1" s="1"/>
  <c r="AI143" i="8"/>
  <c r="F3" i="4"/>
  <c r="I2" i="4" s="1"/>
  <c r="S34" i="1"/>
  <c r="D143" i="1"/>
  <c r="F143" i="1"/>
  <c r="P40" i="1"/>
  <c r="P53" i="1"/>
  <c r="P104" i="1"/>
  <c r="P66" i="1"/>
  <c r="P131" i="1"/>
  <c r="P96" i="1"/>
  <c r="P61" i="1"/>
  <c r="P57" i="1"/>
  <c r="P10" i="1"/>
  <c r="P28" i="1"/>
  <c r="P25" i="1"/>
  <c r="P55" i="1"/>
  <c r="P123" i="1"/>
  <c r="P58" i="1"/>
  <c r="P38" i="1"/>
  <c r="P23" i="1"/>
  <c r="P60" i="1"/>
  <c r="P100" i="1"/>
  <c r="P26" i="1"/>
  <c r="P33" i="1"/>
  <c r="P106" i="1"/>
  <c r="S80" i="1"/>
  <c r="S35" i="1"/>
  <c r="S84" i="1"/>
  <c r="S47" i="1"/>
  <c r="S67" i="1"/>
  <c r="S30" i="1"/>
  <c r="S104" i="1"/>
  <c r="S78" i="1"/>
  <c r="H129" i="5"/>
  <c r="F4" i="5"/>
  <c r="E95" i="5"/>
  <c r="F95" i="5" s="1"/>
  <c r="E84" i="5"/>
  <c r="E3" i="5" s="1"/>
  <c r="E105" i="5"/>
  <c r="F105" i="5" s="1"/>
  <c r="P143" i="1" l="1"/>
  <c r="M146" i="9"/>
  <c r="F84" i="5"/>
  <c r="F3" i="5" s="1"/>
  <c r="I2" i="5" s="1"/>
  <c r="G93" i="5" s="1"/>
  <c r="G39" i="4"/>
  <c r="H39" i="4" s="1"/>
  <c r="I39" i="4" s="1"/>
  <c r="K154" i="1" l="1"/>
  <c r="G59" i="4"/>
  <c r="H59" i="4" s="1"/>
  <c r="I59" i="4" s="1"/>
  <c r="G55" i="4"/>
  <c r="H55" i="4" s="1"/>
  <c r="I55" i="4" s="1"/>
  <c r="G8" i="4"/>
  <c r="H8" i="4" s="1"/>
  <c r="S124" i="1" s="1"/>
  <c r="G4" i="4"/>
  <c r="H4" i="4" s="1"/>
  <c r="G30" i="4"/>
  <c r="H30" i="4" s="1"/>
  <c r="I30" i="4" s="1"/>
  <c r="G46" i="4"/>
  <c r="H46" i="4" s="1"/>
  <c r="I46" i="4" s="1"/>
  <c r="G40" i="4"/>
  <c r="H40" i="4" s="1"/>
  <c r="I40" i="4" s="1"/>
  <c r="G35" i="4"/>
  <c r="H35" i="4" s="1"/>
  <c r="I35" i="4" s="1"/>
  <c r="G33" i="4"/>
  <c r="H33" i="4" s="1"/>
  <c r="I33" i="4" s="1"/>
  <c r="G32" i="4"/>
  <c r="H32" i="4" s="1"/>
  <c r="I32" i="4" s="1"/>
  <c r="G48" i="4"/>
  <c r="H48" i="4" s="1"/>
  <c r="I48" i="4" s="1"/>
  <c r="G34" i="4"/>
  <c r="H34" i="4" s="1"/>
  <c r="I34" i="4" s="1"/>
  <c r="G49" i="4"/>
  <c r="H49" i="4" s="1"/>
  <c r="I49" i="4" s="1"/>
  <c r="G50" i="4"/>
  <c r="H50" i="4" s="1"/>
  <c r="I50" i="4" s="1"/>
  <c r="G43" i="4"/>
  <c r="H43" i="4" s="1"/>
  <c r="I43" i="4" s="1"/>
  <c r="G36" i="4"/>
  <c r="H36" i="4" s="1"/>
  <c r="I36" i="4" s="1"/>
  <c r="G44" i="4"/>
  <c r="H44" i="4" s="1"/>
  <c r="I44" i="4" s="1"/>
  <c r="G38" i="4"/>
  <c r="H38" i="4" s="1"/>
  <c r="I38" i="4" s="1"/>
  <c r="G53" i="4"/>
  <c r="H53" i="4" s="1"/>
  <c r="I53" i="4" s="1"/>
  <c r="G54" i="4"/>
  <c r="H54" i="4" s="1"/>
  <c r="I54" i="4" s="1"/>
  <c r="G56" i="4"/>
  <c r="H56" i="4" s="1"/>
  <c r="I56" i="4" s="1"/>
  <c r="G47" i="4"/>
  <c r="H47" i="4" s="1"/>
  <c r="I47" i="4" s="1"/>
  <c r="G51" i="4"/>
  <c r="H51" i="4" s="1"/>
  <c r="I51" i="4" s="1"/>
  <c r="G42" i="4"/>
  <c r="H42" i="4" s="1"/>
  <c r="I42" i="4" s="1"/>
  <c r="G57" i="4"/>
  <c r="H57" i="4" s="1"/>
  <c r="I57" i="4" s="1"/>
  <c r="G31" i="4"/>
  <c r="H31" i="4" s="1"/>
  <c r="I31" i="4" s="1"/>
  <c r="G41" i="4"/>
  <c r="H41" i="4" s="1"/>
  <c r="I41" i="4" s="1"/>
  <c r="G37" i="4"/>
  <c r="H37" i="4" s="1"/>
  <c r="I37" i="4" s="1"/>
  <c r="G45" i="4"/>
  <c r="H45" i="4" s="1"/>
  <c r="I45" i="4" s="1"/>
  <c r="G52" i="4"/>
  <c r="H52" i="4" s="1"/>
  <c r="I52" i="4" s="1"/>
  <c r="G29" i="4"/>
  <c r="H29" i="4" s="1"/>
  <c r="I29" i="4" s="1"/>
  <c r="G16" i="4"/>
  <c r="H16" i="4" s="1"/>
  <c r="I16" i="4" s="1"/>
  <c r="G22" i="4"/>
  <c r="H22" i="4" s="1"/>
  <c r="I22" i="4" s="1"/>
  <c r="G23" i="4"/>
  <c r="H23" i="4" s="1"/>
  <c r="I23" i="4" s="1"/>
  <c r="G24" i="4"/>
  <c r="H24" i="4" s="1"/>
  <c r="I24" i="4" s="1"/>
  <c r="G112" i="5"/>
  <c r="H112" i="5" s="1"/>
  <c r="G15" i="4"/>
  <c r="H15" i="4" s="1"/>
  <c r="S26" i="1" s="1"/>
  <c r="S83" i="1"/>
  <c r="G18" i="4"/>
  <c r="H18" i="4" s="1"/>
  <c r="S121" i="1" s="1"/>
  <c r="G12" i="4"/>
  <c r="H12" i="4" s="1"/>
  <c r="S59" i="1" s="1"/>
  <c r="S23" i="1"/>
  <c r="G5" i="4"/>
  <c r="H5" i="4" s="1"/>
  <c r="S33" i="1"/>
  <c r="G13" i="4"/>
  <c r="H13" i="4" s="1"/>
  <c r="G10" i="4"/>
  <c r="H10" i="4" s="1"/>
  <c r="G11" i="4"/>
  <c r="H11" i="4" s="1"/>
  <c r="G60" i="4"/>
  <c r="H60" i="4" s="1"/>
  <c r="G58" i="4"/>
  <c r="H58" i="4" s="1"/>
  <c r="S50" i="1"/>
  <c r="G17" i="4"/>
  <c r="H17" i="4" s="1"/>
  <c r="S137" i="1" s="1"/>
  <c r="G14" i="4"/>
  <c r="H14" i="4" s="1"/>
  <c r="G20" i="4"/>
  <c r="H20" i="4" s="1"/>
  <c r="G19" i="4"/>
  <c r="H19" i="4" s="1"/>
  <c r="G9" i="4"/>
  <c r="H9" i="4" s="1"/>
  <c r="G6" i="4"/>
  <c r="H6" i="4" s="1"/>
  <c r="G25" i="4"/>
  <c r="H25" i="4" s="1"/>
  <c r="G27" i="4"/>
  <c r="H27" i="4" s="1"/>
  <c r="S92" i="1" s="1"/>
  <c r="G28" i="4"/>
  <c r="H28" i="4" s="1"/>
  <c r="G7" i="4"/>
  <c r="H7" i="4" s="1"/>
  <c r="S38" i="1" s="1"/>
  <c r="S82" i="1"/>
  <c r="G21" i="4"/>
  <c r="H21" i="4" s="1"/>
  <c r="G26" i="4"/>
  <c r="H26" i="4" s="1"/>
  <c r="S89" i="1"/>
  <c r="H3" i="4" l="1"/>
  <c r="S4" i="1"/>
  <c r="S114" i="1"/>
  <c r="S131" i="1"/>
  <c r="S129" i="1"/>
  <c r="S116" i="1"/>
  <c r="S69" i="1"/>
  <c r="S141" i="1"/>
  <c r="S20" i="1"/>
  <c r="S6" i="1"/>
  <c r="S139" i="1"/>
  <c r="S96" i="1"/>
  <c r="S12" i="1"/>
  <c r="S19" i="1"/>
  <c r="S113" i="1"/>
  <c r="S63" i="1"/>
  <c r="S15" i="1"/>
  <c r="S128" i="1"/>
  <c r="S142" i="1"/>
  <c r="S27" i="1"/>
  <c r="S122" i="1"/>
  <c r="S5" i="1"/>
  <c r="S3" i="1"/>
  <c r="S112" i="1"/>
  <c r="S97" i="1"/>
  <c r="S44" i="1"/>
  <c r="S110" i="1"/>
  <c r="S11" i="1"/>
  <c r="S134" i="1"/>
  <c r="S90" i="1"/>
  <c r="S111" i="1"/>
  <c r="S135" i="1"/>
  <c r="S117" i="1"/>
  <c r="S95" i="1"/>
  <c r="S105" i="1"/>
  <c r="S118" i="1"/>
  <c r="S75" i="1"/>
  <c r="S77" i="1"/>
  <c r="S133" i="1"/>
  <c r="S10" i="1"/>
  <c r="S88" i="1"/>
  <c r="S126" i="1"/>
  <c r="S98" i="1"/>
  <c r="S138" i="1"/>
  <c r="S49" i="1"/>
  <c r="S136" i="1"/>
  <c r="S103" i="1"/>
  <c r="S8" i="1"/>
  <c r="G63" i="5"/>
  <c r="H63" i="5" s="1"/>
  <c r="I63" i="5" s="1"/>
  <c r="G23" i="5"/>
  <c r="H23" i="5" s="1"/>
  <c r="I23" i="5" s="1"/>
  <c r="G28" i="5"/>
  <c r="H28" i="5" s="1"/>
  <c r="G4" i="5"/>
  <c r="H4" i="5" s="1"/>
  <c r="R81" i="1" s="1"/>
  <c r="G74" i="5"/>
  <c r="H74" i="5" s="1"/>
  <c r="I74" i="5" s="1"/>
  <c r="G116" i="5"/>
  <c r="H116" i="5" s="1"/>
  <c r="I116" i="5" s="1"/>
  <c r="G50" i="5"/>
  <c r="H50" i="5" s="1"/>
  <c r="G49" i="5"/>
  <c r="H49" i="5" s="1"/>
  <c r="R105" i="1" s="1"/>
  <c r="G100" i="5"/>
  <c r="H100" i="5" s="1"/>
  <c r="I100" i="5" s="1"/>
  <c r="G61" i="5"/>
  <c r="H61" i="5" s="1"/>
  <c r="I61" i="5" s="1"/>
  <c r="G54" i="5"/>
  <c r="H54" i="5" s="1"/>
  <c r="R60" i="1" s="1"/>
  <c r="G98" i="5"/>
  <c r="H98" i="5" s="1"/>
  <c r="I98" i="5" s="1"/>
  <c r="G103" i="5"/>
  <c r="H103" i="5" s="1"/>
  <c r="I103" i="5" s="1"/>
  <c r="G30" i="5"/>
  <c r="H30" i="5" s="1"/>
  <c r="I30" i="5" s="1"/>
  <c r="G104" i="5"/>
  <c r="H104" i="5" s="1"/>
  <c r="I104" i="5" s="1"/>
  <c r="G46" i="5"/>
  <c r="H46" i="5" s="1"/>
  <c r="I46" i="5" s="1"/>
  <c r="G70" i="5"/>
  <c r="H70" i="5" s="1"/>
  <c r="I70" i="5" s="1"/>
  <c r="G40" i="5"/>
  <c r="H40" i="5" s="1"/>
  <c r="I40" i="5" s="1"/>
  <c r="G41" i="5"/>
  <c r="H41" i="5" s="1"/>
  <c r="G101" i="5"/>
  <c r="H101" i="5" s="1"/>
  <c r="G36" i="5"/>
  <c r="H36" i="5" s="1"/>
  <c r="H93" i="5"/>
  <c r="R17" i="1" s="1"/>
  <c r="G95" i="5"/>
  <c r="H95" i="5" s="1"/>
  <c r="I95" i="5" s="1"/>
  <c r="G37" i="5"/>
  <c r="H37" i="5" s="1"/>
  <c r="I37" i="5" s="1"/>
  <c r="G102" i="5"/>
  <c r="H102" i="5" s="1"/>
  <c r="I102" i="5" s="1"/>
  <c r="G13" i="5"/>
  <c r="H13" i="5" s="1"/>
  <c r="I13" i="5" s="1"/>
  <c r="G84" i="5"/>
  <c r="H84" i="5" s="1"/>
  <c r="G52" i="5"/>
  <c r="H52" i="5" s="1"/>
  <c r="I52" i="5" s="1"/>
  <c r="G60" i="5"/>
  <c r="H60" i="5" s="1"/>
  <c r="I60" i="5" s="1"/>
  <c r="G111" i="5"/>
  <c r="H111" i="5" s="1"/>
  <c r="G68" i="5"/>
  <c r="H68" i="5" s="1"/>
  <c r="I68" i="5" s="1"/>
  <c r="G18" i="5"/>
  <c r="H18" i="5" s="1"/>
  <c r="G62" i="5"/>
  <c r="H62" i="5" s="1"/>
  <c r="I62" i="5" s="1"/>
  <c r="G71" i="5"/>
  <c r="H71" i="5" s="1"/>
  <c r="I71" i="5" s="1"/>
  <c r="G48" i="5"/>
  <c r="H48" i="5" s="1"/>
  <c r="I48" i="5" s="1"/>
  <c r="G51" i="5"/>
  <c r="H51" i="5" s="1"/>
  <c r="R80" i="1" s="1"/>
  <c r="G42" i="5"/>
  <c r="H42" i="5" s="1"/>
  <c r="I42" i="5" s="1"/>
  <c r="G76" i="5"/>
  <c r="H76" i="5" s="1"/>
  <c r="I76" i="5" s="1"/>
  <c r="G92" i="5"/>
  <c r="H92" i="5" s="1"/>
  <c r="I92" i="5" s="1"/>
  <c r="G72" i="5"/>
  <c r="H72" i="5" s="1"/>
  <c r="G80" i="5"/>
  <c r="H80" i="5" s="1"/>
  <c r="G32" i="5"/>
  <c r="H32" i="5" s="1"/>
  <c r="I32" i="5" s="1"/>
  <c r="G107" i="5"/>
  <c r="H107" i="5" s="1"/>
  <c r="I107" i="5" s="1"/>
  <c r="G38" i="5"/>
  <c r="H38" i="5" s="1"/>
  <c r="I38" i="5" s="1"/>
  <c r="G8" i="5"/>
  <c r="H8" i="5" s="1"/>
  <c r="G64" i="5"/>
  <c r="H64" i="5" s="1"/>
  <c r="R141" i="1" s="1"/>
  <c r="G14" i="5"/>
  <c r="H14" i="5" s="1"/>
  <c r="I14" i="5" s="1"/>
  <c r="G25" i="5"/>
  <c r="H25" i="5" s="1"/>
  <c r="I25" i="5" s="1"/>
  <c r="G44" i="5"/>
  <c r="H44" i="5" s="1"/>
  <c r="G9" i="5"/>
  <c r="H9" i="5" s="1"/>
  <c r="I9" i="5" s="1"/>
  <c r="G31" i="5"/>
  <c r="H31" i="5" s="1"/>
  <c r="I31" i="5" s="1"/>
  <c r="G69" i="5"/>
  <c r="H69" i="5" s="1"/>
  <c r="I69" i="5" s="1"/>
  <c r="G81" i="5"/>
  <c r="H81" i="5" s="1"/>
  <c r="I81" i="5" s="1"/>
  <c r="G110" i="5"/>
  <c r="H110" i="5" s="1"/>
  <c r="G106" i="5"/>
  <c r="H106" i="5" s="1"/>
  <c r="I106" i="5" s="1"/>
  <c r="G29" i="5"/>
  <c r="H29" i="5" s="1"/>
  <c r="G43" i="5"/>
  <c r="H43" i="5" s="1"/>
  <c r="G113" i="5"/>
  <c r="H113" i="5" s="1"/>
  <c r="I113" i="5" s="1"/>
  <c r="G75" i="5"/>
  <c r="H75" i="5" s="1"/>
  <c r="I75" i="5" s="1"/>
  <c r="G47" i="5"/>
  <c r="H47" i="5" s="1"/>
  <c r="I47" i="5" s="1"/>
  <c r="G20" i="5"/>
  <c r="H20" i="5" s="1"/>
  <c r="G53" i="5"/>
  <c r="H53" i="5" s="1"/>
  <c r="G12" i="5"/>
  <c r="H12" i="5" s="1"/>
  <c r="I12" i="5" s="1"/>
  <c r="G67" i="5"/>
  <c r="H67" i="5" s="1"/>
  <c r="G57" i="5"/>
  <c r="H57" i="5" s="1"/>
  <c r="G85" i="5"/>
  <c r="H85" i="5" s="1"/>
  <c r="G45" i="5"/>
  <c r="H45" i="5" s="1"/>
  <c r="I45" i="5" s="1"/>
  <c r="G78" i="5"/>
  <c r="H78" i="5" s="1"/>
  <c r="I78" i="5" s="1"/>
  <c r="G33" i="5"/>
  <c r="H33" i="5" s="1"/>
  <c r="I33" i="5" s="1"/>
  <c r="G99" i="5"/>
  <c r="H99" i="5" s="1"/>
  <c r="I99" i="5" s="1"/>
  <c r="G26" i="5"/>
  <c r="H26" i="5" s="1"/>
  <c r="G88" i="5"/>
  <c r="H88" i="5" s="1"/>
  <c r="G117" i="5"/>
  <c r="H117" i="5" s="1"/>
  <c r="I117" i="5" s="1"/>
  <c r="G82" i="5"/>
  <c r="H82" i="5" s="1"/>
  <c r="I82" i="5" s="1"/>
  <c r="G5" i="5"/>
  <c r="H5" i="5" s="1"/>
  <c r="R5" i="1" s="1"/>
  <c r="G16" i="5"/>
  <c r="H16" i="5" s="1"/>
  <c r="I16" i="5" s="1"/>
  <c r="G19" i="5"/>
  <c r="H19" i="5" s="1"/>
  <c r="I19" i="5" s="1"/>
  <c r="G66" i="5"/>
  <c r="H66" i="5" s="1"/>
  <c r="G22" i="5"/>
  <c r="H22" i="5" s="1"/>
  <c r="R111" i="1" s="1"/>
  <c r="G15" i="5"/>
  <c r="H15" i="5" s="1"/>
  <c r="I15" i="5" s="1"/>
  <c r="G55" i="5"/>
  <c r="H55" i="5" s="1"/>
  <c r="G73" i="5"/>
  <c r="H73" i="5" s="1"/>
  <c r="G35" i="5"/>
  <c r="H35" i="5" s="1"/>
  <c r="G118" i="5"/>
  <c r="H118" i="5" s="1"/>
  <c r="G58" i="5"/>
  <c r="H58" i="5" s="1"/>
  <c r="G96" i="5"/>
  <c r="H96" i="5" s="1"/>
  <c r="G97" i="5"/>
  <c r="H97" i="5" s="1"/>
  <c r="G65" i="5"/>
  <c r="H65" i="5" s="1"/>
  <c r="I65" i="5" s="1"/>
  <c r="G91" i="5"/>
  <c r="H91" i="5" s="1"/>
  <c r="G105" i="5"/>
  <c r="H105" i="5" s="1"/>
  <c r="G83" i="5"/>
  <c r="H83" i="5" s="1"/>
  <c r="G39" i="5"/>
  <c r="H39" i="5" s="1"/>
  <c r="I39" i="5" s="1"/>
  <c r="G27" i="5"/>
  <c r="H27" i="5" s="1"/>
  <c r="G114" i="5"/>
  <c r="H114" i="5" s="1"/>
  <c r="G94" i="5"/>
  <c r="H94" i="5" s="1"/>
  <c r="G34" i="5"/>
  <c r="H34" i="5" s="1"/>
  <c r="G56" i="5"/>
  <c r="H56" i="5" s="1"/>
  <c r="I56" i="5" s="1"/>
  <c r="G77" i="5"/>
  <c r="H77" i="5" s="1"/>
  <c r="R72" i="1" s="1"/>
  <c r="G87" i="5"/>
  <c r="H87" i="5" s="1"/>
  <c r="G109" i="5"/>
  <c r="H109" i="5" s="1"/>
  <c r="G11" i="5"/>
  <c r="H11" i="5" s="1"/>
  <c r="G6" i="5"/>
  <c r="H6" i="5" s="1"/>
  <c r="I6" i="5" s="1"/>
  <c r="G79" i="5"/>
  <c r="H79" i="5" s="1"/>
  <c r="I79" i="5" s="1"/>
  <c r="G115" i="5"/>
  <c r="H115" i="5" s="1"/>
  <c r="I115" i="5" s="1"/>
  <c r="G17" i="5"/>
  <c r="H17" i="5" s="1"/>
  <c r="G21" i="5"/>
  <c r="H21" i="5" s="1"/>
  <c r="I21" i="5" s="1"/>
  <c r="G59" i="5"/>
  <c r="H59" i="5" s="1"/>
  <c r="I59" i="5" s="1"/>
  <c r="R68" i="1"/>
  <c r="G108" i="5"/>
  <c r="H108" i="5" s="1"/>
  <c r="R74" i="1" s="1"/>
  <c r="G10" i="5"/>
  <c r="H10" i="5" s="1"/>
  <c r="G24" i="5"/>
  <c r="H24" i="5" s="1"/>
  <c r="G90" i="5"/>
  <c r="H90" i="5" s="1"/>
  <c r="G86" i="5"/>
  <c r="H86" i="5" s="1"/>
  <c r="G7" i="5"/>
  <c r="H7" i="5" s="1"/>
  <c r="R37" i="1" s="1"/>
  <c r="G89" i="5"/>
  <c r="H89" i="5" s="1"/>
  <c r="R63" i="1" s="1"/>
  <c r="R64" i="1"/>
  <c r="R62" i="1"/>
  <c r="R3" i="1"/>
  <c r="I112" i="5"/>
  <c r="I21" i="4"/>
  <c r="S36" i="1"/>
  <c r="S94" i="1"/>
  <c r="S13" i="1"/>
  <c r="I20" i="4"/>
  <c r="I14" i="4"/>
  <c r="S60" i="1"/>
  <c r="I19" i="4"/>
  <c r="S7" i="1"/>
  <c r="S101" i="1"/>
  <c r="S115" i="1"/>
  <c r="I7" i="4"/>
  <c r="S100" i="1"/>
  <c r="S106" i="1"/>
  <c r="S39" i="1"/>
  <c r="I8" i="4"/>
  <c r="S45" i="1"/>
  <c r="I13" i="4"/>
  <c r="I5" i="4"/>
  <c r="S40" i="1"/>
  <c r="S9" i="1"/>
  <c r="S42" i="1"/>
  <c r="S48" i="1"/>
  <c r="S91" i="1"/>
  <c r="S55" i="1"/>
  <c r="I12" i="4"/>
  <c r="S41" i="1"/>
  <c r="I26" i="4"/>
  <c r="S64" i="1"/>
  <c r="S123" i="1"/>
  <c r="S46" i="1"/>
  <c r="I27" i="4"/>
  <c r="I25" i="4"/>
  <c r="S62" i="1"/>
  <c r="S102" i="1"/>
  <c r="S130" i="1"/>
  <c r="S57" i="1"/>
  <c r="S24" i="1"/>
  <c r="I6" i="4"/>
  <c r="I58" i="4"/>
  <c r="S127" i="1"/>
  <c r="I18" i="4"/>
  <c r="I11" i="4"/>
  <c r="S54" i="1"/>
  <c r="S14" i="1"/>
  <c r="S37" i="1"/>
  <c r="I4" i="4"/>
  <c r="I28" i="4"/>
  <c r="S108" i="1"/>
  <c r="I17" i="4"/>
  <c r="S109" i="1"/>
  <c r="S76" i="1"/>
  <c r="S140" i="1"/>
  <c r="S125" i="1"/>
  <c r="S31" i="1"/>
  <c r="S107" i="1"/>
  <c r="S51" i="1"/>
  <c r="S25" i="1"/>
  <c r="I60" i="4"/>
  <c r="S72" i="1"/>
  <c r="I15" i="4"/>
  <c r="S132" i="1"/>
  <c r="S43" i="1"/>
  <c r="I10" i="4"/>
  <c r="S18" i="1"/>
  <c r="S119" i="1"/>
  <c r="S85" i="1"/>
  <c r="I9" i="4"/>
  <c r="S21" i="1"/>
  <c r="S81" i="1"/>
  <c r="S66" i="1"/>
  <c r="R138" i="1" l="1"/>
  <c r="U138" i="1" s="1"/>
  <c r="R23" i="1"/>
  <c r="R134" i="1"/>
  <c r="R10" i="1"/>
  <c r="R85" i="1"/>
  <c r="R121" i="1"/>
  <c r="R54" i="1"/>
  <c r="R41" i="1"/>
  <c r="R136" i="1"/>
  <c r="R110" i="1"/>
  <c r="R103" i="1"/>
  <c r="R122" i="1"/>
  <c r="I84" i="5"/>
  <c r="R106" i="1"/>
  <c r="R30" i="1"/>
  <c r="R86" i="1"/>
  <c r="R127" i="1"/>
  <c r="R58" i="1"/>
  <c r="R12" i="1"/>
  <c r="R140" i="1"/>
  <c r="R139" i="1"/>
  <c r="R117" i="1"/>
  <c r="R115" i="1"/>
  <c r="R32" i="1"/>
  <c r="R53" i="1"/>
  <c r="I17" i="5"/>
  <c r="R95" i="1"/>
  <c r="R45" i="1"/>
  <c r="R56" i="1"/>
  <c r="R47" i="1"/>
  <c r="R36" i="1"/>
  <c r="R99" i="1"/>
  <c r="R50" i="1"/>
  <c r="R7" i="1"/>
  <c r="R120" i="1"/>
  <c r="R46" i="1"/>
  <c r="R42" i="1"/>
  <c r="R33" i="1"/>
  <c r="U5" i="1"/>
  <c r="R118" i="1"/>
  <c r="R112" i="1"/>
  <c r="U112" i="1" s="1"/>
  <c r="R82" i="1"/>
  <c r="I28" i="5"/>
  <c r="R129" i="1"/>
  <c r="I4" i="5"/>
  <c r="U17" i="1"/>
  <c r="U134" i="1"/>
  <c r="U10" i="1"/>
  <c r="I50" i="5"/>
  <c r="U141" i="1"/>
  <c r="U68" i="1"/>
  <c r="U74" i="1"/>
  <c r="R132" i="1"/>
  <c r="I49" i="5"/>
  <c r="I54" i="5"/>
  <c r="R84" i="1"/>
  <c r="R123" i="1"/>
  <c r="U81" i="1"/>
  <c r="R124" i="1"/>
  <c r="R39" i="1"/>
  <c r="R78" i="1"/>
  <c r="R98" i="1"/>
  <c r="R114" i="1"/>
  <c r="I41" i="5"/>
  <c r="I101" i="5"/>
  <c r="I93" i="5"/>
  <c r="R26" i="1"/>
  <c r="R11" i="1"/>
  <c r="R131" i="1"/>
  <c r="R92" i="1"/>
  <c r="I36" i="5"/>
  <c r="R76" i="1"/>
  <c r="R142" i="1"/>
  <c r="R97" i="1"/>
  <c r="I111" i="5"/>
  <c r="R107" i="1"/>
  <c r="R14" i="1"/>
  <c r="I51" i="5"/>
  <c r="R59" i="1"/>
  <c r="I64" i="5"/>
  <c r="R65" i="1"/>
  <c r="R130" i="1"/>
  <c r="I18" i="5"/>
  <c r="R48" i="1"/>
  <c r="R137" i="1"/>
  <c r="R57" i="1"/>
  <c r="R128" i="1"/>
  <c r="R109" i="1"/>
  <c r="R96" i="1"/>
  <c r="R51" i="1"/>
  <c r="R27" i="1"/>
  <c r="I80" i="5"/>
  <c r="I72" i="5"/>
  <c r="I8" i="5"/>
  <c r="R73" i="1"/>
  <c r="R88" i="1"/>
  <c r="R125" i="1"/>
  <c r="R24" i="1"/>
  <c r="R20" i="1"/>
  <c r="R35" i="1"/>
  <c r="R135" i="1"/>
  <c r="I44" i="5"/>
  <c r="R71" i="1"/>
  <c r="R15" i="1"/>
  <c r="R13" i="1"/>
  <c r="R91" i="1"/>
  <c r="R89" i="1"/>
  <c r="R31" i="1"/>
  <c r="I43" i="5"/>
  <c r="R40" i="1"/>
  <c r="R67" i="1"/>
  <c r="R55" i="1"/>
  <c r="R43" i="1"/>
  <c r="R100" i="1"/>
  <c r="R44" i="1"/>
  <c r="R102" i="1"/>
  <c r="R79" i="1"/>
  <c r="I27" i="5"/>
  <c r="R126" i="1"/>
  <c r="I66" i="5"/>
  <c r="R93" i="1"/>
  <c r="R104" i="1"/>
  <c r="R69" i="1"/>
  <c r="R38" i="1"/>
  <c r="I91" i="5"/>
  <c r="R49" i="1"/>
  <c r="R70" i="1"/>
  <c r="R101" i="1"/>
  <c r="R108" i="1"/>
  <c r="I53" i="5"/>
  <c r="R119" i="1"/>
  <c r="R16" i="1"/>
  <c r="I58" i="5"/>
  <c r="R116" i="1"/>
  <c r="I29" i="5"/>
  <c r="R75" i="1"/>
  <c r="R28" i="1"/>
  <c r="R77" i="1"/>
  <c r="I22" i="5"/>
  <c r="R90" i="1"/>
  <c r="I5" i="5"/>
  <c r="R9" i="1"/>
  <c r="I110" i="5"/>
  <c r="R21" i="1"/>
  <c r="R83" i="1"/>
  <c r="R113" i="1"/>
  <c r="R29" i="1"/>
  <c r="R8" i="1"/>
  <c r="R61" i="1"/>
  <c r="R66" i="1"/>
  <c r="R133" i="1"/>
  <c r="I85" i="5"/>
  <c r="R4" i="1"/>
  <c r="R6" i="1"/>
  <c r="R87" i="1"/>
  <c r="H3" i="5"/>
  <c r="I57" i="5"/>
  <c r="I20" i="5"/>
  <c r="I67" i="5"/>
  <c r="I96" i="5"/>
  <c r="I118" i="5"/>
  <c r="I88" i="5"/>
  <c r="I35" i="5"/>
  <c r="I87" i="5"/>
  <c r="I26" i="5"/>
  <c r="I105" i="5"/>
  <c r="I55" i="5"/>
  <c r="I73" i="5"/>
  <c r="I77" i="5"/>
  <c r="I34" i="5"/>
  <c r="I97" i="5"/>
  <c r="I11" i="5"/>
  <c r="I83" i="5"/>
  <c r="I94" i="5"/>
  <c r="I109" i="5"/>
  <c r="I114" i="5"/>
  <c r="U60" i="1"/>
  <c r="U62" i="1"/>
  <c r="I86" i="5"/>
  <c r="I10" i="5"/>
  <c r="R52" i="1"/>
  <c r="R19" i="1"/>
  <c r="I89" i="5"/>
  <c r="I7" i="5"/>
  <c r="R22" i="1"/>
  <c r="I90" i="5"/>
  <c r="R25" i="1"/>
  <c r="I24" i="5"/>
  <c r="R18" i="1"/>
  <c r="R94" i="1"/>
  <c r="I108" i="5"/>
  <c r="U105" i="1"/>
  <c r="U63" i="1"/>
  <c r="U80" i="1"/>
  <c r="U64" i="1"/>
  <c r="U37" i="1"/>
  <c r="U111" i="1"/>
  <c r="U72" i="1"/>
  <c r="U3" i="1"/>
  <c r="S143" i="1"/>
  <c r="U46" i="1" l="1"/>
  <c r="U45" i="1"/>
  <c r="U140" i="1"/>
  <c r="U122" i="1"/>
  <c r="U132" i="1"/>
  <c r="U36" i="1"/>
  <c r="U115" i="1"/>
  <c r="U103" i="1"/>
  <c r="U129" i="1"/>
  <c r="U118" i="1"/>
  <c r="U99" i="1"/>
  <c r="U32" i="1"/>
  <c r="U86" i="1"/>
  <c r="U41" i="1"/>
  <c r="U14" i="1"/>
  <c r="U120" i="1"/>
  <c r="U95" i="1"/>
  <c r="U12" i="1"/>
  <c r="U30" i="1"/>
  <c r="U54" i="1"/>
  <c r="U82" i="1"/>
  <c r="U33" i="1"/>
  <c r="U7" i="1"/>
  <c r="U47" i="1"/>
  <c r="U117" i="1"/>
  <c r="U58" i="1"/>
  <c r="U106" i="1"/>
  <c r="U110" i="1"/>
  <c r="U121" i="1"/>
  <c r="U23" i="1"/>
  <c r="U42" i="1"/>
  <c r="U50" i="1"/>
  <c r="U56" i="1"/>
  <c r="U53" i="1"/>
  <c r="U139" i="1"/>
  <c r="U127" i="1"/>
  <c r="U136" i="1"/>
  <c r="U85" i="1"/>
  <c r="U9" i="1"/>
  <c r="U70" i="1"/>
  <c r="U67" i="1"/>
  <c r="U88" i="1"/>
  <c r="U130" i="1"/>
  <c r="U26" i="1"/>
  <c r="U87" i="1"/>
  <c r="U4" i="1"/>
  <c r="U90" i="1"/>
  <c r="U38" i="1"/>
  <c r="U31" i="1"/>
  <c r="U59" i="1"/>
  <c r="U6" i="1"/>
  <c r="U34" i="1"/>
  <c r="U69" i="1"/>
  <c r="U89" i="1"/>
  <c r="U114" i="1"/>
  <c r="U77" i="1"/>
  <c r="U104" i="1"/>
  <c r="U98" i="1"/>
  <c r="U73" i="1"/>
  <c r="U93" i="1"/>
  <c r="U91" i="1"/>
  <c r="U27" i="1"/>
  <c r="U107" i="1"/>
  <c r="U78" i="1"/>
  <c r="U65" i="1"/>
  <c r="U133" i="1"/>
  <c r="U75" i="1"/>
  <c r="U13" i="1"/>
  <c r="U51" i="1"/>
  <c r="U39" i="1"/>
  <c r="U19" i="1"/>
  <c r="U15" i="1"/>
  <c r="U96" i="1"/>
  <c r="U124" i="1"/>
  <c r="U49" i="1"/>
  <c r="U52" i="1"/>
  <c r="U28" i="1"/>
  <c r="U126" i="1"/>
  <c r="U94" i="1"/>
  <c r="U61" i="1"/>
  <c r="U116" i="1"/>
  <c r="U71" i="1"/>
  <c r="U109" i="1"/>
  <c r="U97" i="1"/>
  <c r="U40" i="1"/>
  <c r="U79" i="1"/>
  <c r="U128" i="1"/>
  <c r="U142" i="1"/>
  <c r="U29" i="1"/>
  <c r="U16" i="1"/>
  <c r="U102" i="1"/>
  <c r="U135" i="1"/>
  <c r="U76" i="1"/>
  <c r="U123" i="1"/>
  <c r="U66" i="1"/>
  <c r="U113" i="1"/>
  <c r="U119" i="1"/>
  <c r="U44" i="1"/>
  <c r="U35" i="1"/>
  <c r="U57" i="1"/>
  <c r="U84" i="1"/>
  <c r="U8" i="1"/>
  <c r="U83" i="1"/>
  <c r="U100" i="1"/>
  <c r="U20" i="1"/>
  <c r="U137" i="1"/>
  <c r="U92" i="1"/>
  <c r="U25" i="1"/>
  <c r="U22" i="1"/>
  <c r="U108" i="1"/>
  <c r="U43" i="1"/>
  <c r="U24" i="1"/>
  <c r="U48" i="1"/>
  <c r="U131" i="1"/>
  <c r="U18" i="1"/>
  <c r="U21" i="1"/>
  <c r="U101" i="1"/>
  <c r="U55" i="1"/>
  <c r="U125" i="1"/>
  <c r="U11" i="1"/>
  <c r="R143" i="1"/>
  <c r="U143" i="1" l="1"/>
  <c r="K147" i="1" l="1"/>
  <c r="M147" i="9"/>
  <c r="K153" i="1" l="1"/>
  <c r="K155" i="1" s="1"/>
  <c r="K156" i="1" l="1"/>
  <c r="K148" i="1" l="1"/>
  <c r="K149" i="1" s="1"/>
  <c r="K150" i="1" s="1"/>
  <c r="V65" i="1" s="1"/>
  <c r="V49" i="1" l="1"/>
  <c r="W49" i="1" s="1"/>
  <c r="V131" i="1"/>
  <c r="W131" i="1" s="1"/>
  <c r="V48" i="1"/>
  <c r="W48" i="1" s="1"/>
  <c r="V50" i="1"/>
  <c r="W50" i="1" s="1"/>
  <c r="V51" i="1"/>
  <c r="W51" i="1" s="1"/>
  <c r="V137" i="1"/>
  <c r="W137" i="1" s="1"/>
  <c r="V27" i="1"/>
  <c r="W27" i="1" s="1"/>
  <c r="V12" i="1"/>
  <c r="W12" i="1" s="1"/>
  <c r="V96" i="1"/>
  <c r="W96" i="1" s="1"/>
  <c r="V141" i="1"/>
  <c r="W141" i="1" s="1"/>
  <c r="V28" i="1"/>
  <c r="W28" i="1" s="1"/>
  <c r="V15" i="1"/>
  <c r="W15" i="1" s="1"/>
  <c r="V82" i="1"/>
  <c r="W82" i="1" s="1"/>
  <c r="V23" i="1"/>
  <c r="W23" i="1" s="1"/>
  <c r="V89" i="1"/>
  <c r="W89" i="1" s="1"/>
  <c r="V56" i="1"/>
  <c r="W56" i="1" s="1"/>
  <c r="V79" i="1"/>
  <c r="W79" i="1" s="1"/>
  <c r="V129" i="1"/>
  <c r="W129" i="1" s="1"/>
  <c r="V91" i="1"/>
  <c r="W91" i="1" s="1"/>
  <c r="V103" i="1"/>
  <c r="W103" i="1" s="1"/>
  <c r="V63" i="1"/>
  <c r="W63" i="1" s="1"/>
  <c r="V33" i="1"/>
  <c r="W33" i="1" s="1"/>
  <c r="V117" i="1"/>
  <c r="W117" i="1" s="1"/>
  <c r="V61" i="1"/>
  <c r="W61" i="1" s="1"/>
  <c r="V62" i="1"/>
  <c r="W62" i="1" s="1"/>
  <c r="V84" i="1"/>
  <c r="W84" i="1" s="1"/>
  <c r="V20" i="1"/>
  <c r="W20" i="1" s="1"/>
  <c r="V25" i="1"/>
  <c r="W25" i="1" s="1"/>
  <c r="V86" i="1"/>
  <c r="W86" i="1" s="1"/>
  <c r="V123" i="1"/>
  <c r="W123" i="1" s="1"/>
  <c r="V72" i="1"/>
  <c r="W72" i="1" s="1"/>
  <c r="V17" i="1"/>
  <c r="W17" i="1" s="1"/>
  <c r="V60" i="1"/>
  <c r="W60" i="1" s="1"/>
  <c r="V92" i="1"/>
  <c r="W92" i="1" s="1"/>
  <c r="V76" i="1"/>
  <c r="W76" i="1" s="1"/>
  <c r="V100" i="1"/>
  <c r="W100" i="1" s="1"/>
  <c r="V110" i="1"/>
  <c r="W110" i="1" s="1"/>
  <c r="V6" i="1"/>
  <c r="W6" i="1" s="1"/>
  <c r="V78" i="1"/>
  <c r="W78" i="1" s="1"/>
  <c r="V29" i="1"/>
  <c r="W29" i="1" s="1"/>
  <c r="V75" i="1"/>
  <c r="W75" i="1" s="1"/>
  <c r="V80" i="1"/>
  <c r="W80" i="1" s="1"/>
  <c r="V133" i="1"/>
  <c r="W133" i="1" s="1"/>
  <c r="V14" i="1"/>
  <c r="W14" i="1" s="1"/>
  <c r="V102" i="1"/>
  <c r="W102" i="1" s="1"/>
  <c r="V71" i="1"/>
  <c r="W71" i="1" s="1"/>
  <c r="V26" i="1"/>
  <c r="W26" i="1" s="1"/>
  <c r="V116" i="1"/>
  <c r="W116" i="1" s="1"/>
  <c r="V98" i="1"/>
  <c r="W98" i="1" s="1"/>
  <c r="V101" i="1"/>
  <c r="W101" i="1" s="1"/>
  <c r="V64" i="1"/>
  <c r="W64" i="1" s="1"/>
  <c r="V30" i="1"/>
  <c r="W30" i="1" s="1"/>
  <c r="V90" i="1"/>
  <c r="W90" i="1" s="1"/>
  <c r="V142" i="1"/>
  <c r="W142" i="1" s="1"/>
  <c r="V13" i="1"/>
  <c r="W13" i="1" s="1"/>
  <c r="V114" i="1"/>
  <c r="W114" i="1" s="1"/>
  <c r="V127" i="1"/>
  <c r="W127" i="1" s="1"/>
  <c r="V105" i="1"/>
  <c r="W105" i="1" s="1"/>
  <c r="V106" i="1"/>
  <c r="W106" i="1" s="1"/>
  <c r="V54" i="1"/>
  <c r="W54" i="1" s="1"/>
  <c r="V11" i="1"/>
  <c r="W11" i="1" s="1"/>
  <c r="V138" i="1"/>
  <c r="W138" i="1" s="1"/>
  <c r="V67" i="1"/>
  <c r="W67" i="1" s="1"/>
  <c r="V87" i="1"/>
  <c r="W87" i="1" s="1"/>
  <c r="V3" i="1"/>
  <c r="W3" i="1" s="1"/>
  <c r="V59" i="1"/>
  <c r="W59" i="1" s="1"/>
  <c r="V73" i="1"/>
  <c r="W73" i="1" s="1"/>
  <c r="V57" i="1"/>
  <c r="W57" i="1" s="1"/>
  <c r="V122" i="1"/>
  <c r="W122" i="1" s="1"/>
  <c r="V125" i="1"/>
  <c r="W125" i="1" s="1"/>
  <c r="V113" i="1"/>
  <c r="W113" i="1" s="1"/>
  <c r="V31" i="1"/>
  <c r="W31" i="1" s="1"/>
  <c r="V37" i="1"/>
  <c r="W37" i="1" s="1"/>
  <c r="V43" i="1"/>
  <c r="W43" i="1" s="1"/>
  <c r="V8" i="1"/>
  <c r="W8" i="1" s="1"/>
  <c r="V136" i="1"/>
  <c r="W136" i="1" s="1"/>
  <c r="V68" i="1"/>
  <c r="W68" i="1" s="1"/>
  <c r="V47" i="1"/>
  <c r="W47" i="1" s="1"/>
  <c r="V39" i="1"/>
  <c r="W39" i="1" s="1"/>
  <c r="V9" i="1"/>
  <c r="W9" i="1" s="1"/>
  <c r="V118" i="1"/>
  <c r="W118" i="1" s="1"/>
  <c r="V58" i="1"/>
  <c r="W58" i="1" s="1"/>
  <c r="V52" i="1"/>
  <c r="W52" i="1" s="1"/>
  <c r="V53" i="1"/>
  <c r="W53" i="1" s="1"/>
  <c r="V124" i="1"/>
  <c r="W124" i="1" s="1"/>
  <c r="Y124" i="1" s="1"/>
  <c r="V120" i="1"/>
  <c r="W120" i="1" s="1"/>
  <c r="V83" i="1"/>
  <c r="W83" i="1" s="1"/>
  <c r="V46" i="1"/>
  <c r="W46" i="1" s="1"/>
  <c r="V88" i="1"/>
  <c r="W88" i="1" s="1"/>
  <c r="V41" i="1"/>
  <c r="W41" i="1" s="1"/>
  <c r="V128" i="1"/>
  <c r="W128" i="1" s="1"/>
  <c r="V24" i="1"/>
  <c r="W24" i="1" s="1"/>
  <c r="V38" i="1"/>
  <c r="W38" i="1" s="1"/>
  <c r="V18" i="1"/>
  <c r="W18" i="1" s="1"/>
  <c r="V95" i="1"/>
  <c r="W95" i="1" s="1"/>
  <c r="V140" i="1"/>
  <c r="W140" i="1" s="1"/>
  <c r="V69" i="1"/>
  <c r="W69" i="1" s="1"/>
  <c r="V74" i="1"/>
  <c r="W74" i="1" s="1"/>
  <c r="V7" i="1"/>
  <c r="W7" i="1" s="1"/>
  <c r="V21" i="1"/>
  <c r="W21" i="1" s="1"/>
  <c r="V34" i="1"/>
  <c r="W34" i="1" s="1"/>
  <c r="V104" i="1"/>
  <c r="W104" i="1" s="1"/>
  <c r="V111" i="1"/>
  <c r="W111" i="1" s="1"/>
  <c r="V42" i="1"/>
  <c r="W42" i="1" s="1"/>
  <c r="V99" i="1"/>
  <c r="W99" i="1" s="1"/>
  <c r="V94" i="1"/>
  <c r="W94" i="1" s="1"/>
  <c r="V5" i="1"/>
  <c r="W5" i="1" s="1"/>
  <c r="V45" i="1"/>
  <c r="W45" i="1" s="1"/>
  <c r="V85" i="1"/>
  <c r="W85" i="1" s="1"/>
  <c r="V134" i="1"/>
  <c r="W134" i="1" s="1"/>
  <c r="V112" i="1"/>
  <c r="V19" i="1"/>
  <c r="W19" i="1" s="1"/>
  <c r="V115" i="1"/>
  <c r="W115" i="1" s="1"/>
  <c r="V40" i="1"/>
  <c r="W40" i="1" s="1"/>
  <c r="V135" i="1"/>
  <c r="W135" i="1" s="1"/>
  <c r="V139" i="1"/>
  <c r="W139" i="1" s="1"/>
  <c r="V66" i="1"/>
  <c r="W66" i="1" s="1"/>
  <c r="V10" i="1"/>
  <c r="W10" i="1" s="1"/>
  <c r="V121" i="1"/>
  <c r="W121" i="1" s="1"/>
  <c r="V44" i="1"/>
  <c r="W44" i="1" s="1"/>
  <c r="V132" i="1"/>
  <c r="W132" i="1" s="1"/>
  <c r="V126" i="1"/>
  <c r="W126" i="1" s="1"/>
  <c r="V119" i="1"/>
  <c r="W119" i="1" s="1"/>
  <c r="V108" i="1"/>
  <c r="W108" i="1" s="1"/>
  <c r="V81" i="1"/>
  <c r="W81" i="1" s="1"/>
  <c r="V16" i="1"/>
  <c r="W16" i="1" s="1"/>
  <c r="V109" i="1"/>
  <c r="W109" i="1" s="1"/>
  <c r="V4" i="1"/>
  <c r="W4" i="1" s="1"/>
  <c r="V22" i="1"/>
  <c r="W22" i="1" s="1"/>
  <c r="V130" i="1"/>
  <c r="W130" i="1" s="1"/>
  <c r="V55" i="1"/>
  <c r="W55" i="1" s="1"/>
  <c r="V35" i="1"/>
  <c r="W35" i="1" s="1"/>
  <c r="V93" i="1"/>
  <c r="W93" i="1" s="1"/>
  <c r="V107" i="1"/>
  <c r="W107" i="1" s="1"/>
  <c r="W65" i="1"/>
  <c r="V97" i="1"/>
  <c r="W97" i="1" s="1"/>
  <c r="V32" i="1"/>
  <c r="W32" i="1" s="1"/>
  <c r="V36" i="1"/>
  <c r="W36" i="1" s="1"/>
  <c r="V70" i="1"/>
  <c r="W70" i="1" s="1"/>
  <c r="V77" i="1"/>
  <c r="W77" i="1" s="1"/>
  <c r="Y77" i="1" l="1"/>
  <c r="Y108" i="1"/>
  <c r="Y139" i="1"/>
  <c r="Y42" i="1"/>
  <c r="Y24" i="1"/>
  <c r="Y9" i="1"/>
  <c r="Y57" i="1"/>
  <c r="Y114" i="1"/>
  <c r="Y14" i="1"/>
  <c r="Y25" i="1"/>
  <c r="Y56" i="1"/>
  <c r="Y50" i="1"/>
  <c r="Y65" i="1"/>
  <c r="Y55" i="1"/>
  <c r="Y109" i="1"/>
  <c r="Y119" i="1"/>
  <c r="Y121" i="1"/>
  <c r="Y135" i="1"/>
  <c r="V143" i="1"/>
  <c r="W112" i="1"/>
  <c r="Y5" i="1"/>
  <c r="Y111" i="1"/>
  <c r="Y7" i="1"/>
  <c r="Y95" i="1"/>
  <c r="Y128" i="1"/>
  <c r="Y83" i="1"/>
  <c r="Y52" i="1"/>
  <c r="Y39" i="1"/>
  <c r="Y8" i="1"/>
  <c r="Y113" i="1"/>
  <c r="Y73" i="1"/>
  <c r="Y67" i="1"/>
  <c r="Y106" i="1"/>
  <c r="Y13" i="1"/>
  <c r="Y64" i="1"/>
  <c r="Y26" i="1"/>
  <c r="Y133" i="1"/>
  <c r="Y78" i="1"/>
  <c r="Y76" i="1"/>
  <c r="Y72" i="1"/>
  <c r="Y20" i="1"/>
  <c r="Y117" i="1"/>
  <c r="Y91" i="1"/>
  <c r="Y89" i="1"/>
  <c r="Y28" i="1"/>
  <c r="Y27" i="1"/>
  <c r="Y48" i="1"/>
  <c r="Y35" i="1"/>
  <c r="Y44" i="1"/>
  <c r="Y45" i="1"/>
  <c r="Y140" i="1"/>
  <c r="Y53" i="1"/>
  <c r="Y31" i="1"/>
  <c r="Y54" i="1"/>
  <c r="Y116" i="1"/>
  <c r="Y100" i="1"/>
  <c r="Y61" i="1"/>
  <c r="Y12" i="1"/>
  <c r="Y36" i="1"/>
  <c r="Y130" i="1"/>
  <c r="Y16" i="1"/>
  <c r="Y126" i="1"/>
  <c r="Y10" i="1"/>
  <c r="Y40" i="1"/>
  <c r="Y134" i="1"/>
  <c r="Y94" i="1"/>
  <c r="Y104" i="1"/>
  <c r="Y74" i="1"/>
  <c r="Y18" i="1"/>
  <c r="Y41" i="1"/>
  <c r="Y120" i="1"/>
  <c r="Y58" i="1"/>
  <c r="Y47" i="1"/>
  <c r="Y43" i="1"/>
  <c r="Y125" i="1"/>
  <c r="Y59" i="1"/>
  <c r="Y138" i="1"/>
  <c r="Y105" i="1"/>
  <c r="Y142" i="1"/>
  <c r="Y101" i="1"/>
  <c r="Y71" i="1"/>
  <c r="Y80" i="1"/>
  <c r="Y6" i="1"/>
  <c r="Y92" i="1"/>
  <c r="Y123" i="1"/>
  <c r="Y84" i="1"/>
  <c r="Y33" i="1"/>
  <c r="Y129" i="1"/>
  <c r="Y23" i="1"/>
  <c r="Y141" i="1"/>
  <c r="Y137" i="1"/>
  <c r="Y131" i="1"/>
  <c r="Y97" i="1"/>
  <c r="Y4" i="1"/>
  <c r="Y19" i="1"/>
  <c r="Y21" i="1"/>
  <c r="Y46" i="1"/>
  <c r="Y136" i="1"/>
  <c r="Y87" i="1"/>
  <c r="Y30" i="1"/>
  <c r="Y29" i="1"/>
  <c r="Y17" i="1"/>
  <c r="Y103" i="1"/>
  <c r="Y15" i="1"/>
  <c r="Y70" i="1"/>
  <c r="Y107" i="1"/>
  <c r="Y32" i="1"/>
  <c r="Y93" i="1"/>
  <c r="Y22" i="1"/>
  <c r="Y81" i="1"/>
  <c r="Y132" i="1"/>
  <c r="Y66" i="1"/>
  <c r="Y115" i="1"/>
  <c r="Y85" i="1"/>
  <c r="Y99" i="1"/>
  <c r="Y34" i="1"/>
  <c r="Y69" i="1"/>
  <c r="Y38" i="1"/>
  <c r="Y88" i="1"/>
  <c r="Y118" i="1"/>
  <c r="Y68" i="1"/>
  <c r="Y37" i="1"/>
  <c r="Y122" i="1"/>
  <c r="Y3" i="1"/>
  <c r="Y11" i="1"/>
  <c r="Y127" i="1"/>
  <c r="Y90" i="1"/>
  <c r="Y98" i="1"/>
  <c r="Y102" i="1"/>
  <c r="Y75" i="1"/>
  <c r="Y110" i="1"/>
  <c r="Y60" i="1"/>
  <c r="Y86" i="1"/>
  <c r="Y62" i="1"/>
  <c r="Y63" i="1"/>
  <c r="Y79" i="1"/>
  <c r="Y82" i="1"/>
  <c r="Y96" i="1"/>
  <c r="Y51" i="1"/>
  <c r="Y49" i="1"/>
  <c r="Z49" i="1" l="1"/>
  <c r="AA49" i="1"/>
  <c r="Z98" i="1"/>
  <c r="AA98" i="1"/>
  <c r="Z37" i="1"/>
  <c r="AA37" i="1"/>
  <c r="Z69" i="1"/>
  <c r="AA69" i="1"/>
  <c r="Z132" i="1"/>
  <c r="AA132" i="1"/>
  <c r="Z32" i="1"/>
  <c r="AA32" i="1"/>
  <c r="Z29" i="1"/>
  <c r="AA29" i="1"/>
  <c r="Z46" i="1"/>
  <c r="AA46" i="1"/>
  <c r="Z97" i="1"/>
  <c r="AA97" i="1"/>
  <c r="Z6" i="1"/>
  <c r="AA6" i="1"/>
  <c r="Z125" i="1"/>
  <c r="AA125" i="1"/>
  <c r="Z120" i="1"/>
  <c r="AA120" i="1"/>
  <c r="Z104" i="1"/>
  <c r="AA104" i="1"/>
  <c r="Z10" i="1"/>
  <c r="AA10" i="1"/>
  <c r="Z36" i="1"/>
  <c r="AA36" i="1"/>
  <c r="Z116" i="1"/>
  <c r="AA116" i="1"/>
  <c r="Z44" i="1"/>
  <c r="AA44" i="1"/>
  <c r="Z28" i="1"/>
  <c r="AA28" i="1"/>
  <c r="Z20" i="1"/>
  <c r="AA20" i="1"/>
  <c r="AA133" i="1"/>
  <c r="Z133" i="1"/>
  <c r="Z8" i="1"/>
  <c r="AA8" i="1"/>
  <c r="Z128" i="1"/>
  <c r="AA128" i="1"/>
  <c r="AA5" i="1"/>
  <c r="Z5" i="1"/>
  <c r="Z119" i="1"/>
  <c r="AA119" i="1"/>
  <c r="AA50" i="1"/>
  <c r="Z50" i="1"/>
  <c r="Z108" i="1"/>
  <c r="AA108" i="1"/>
  <c r="AA62" i="1"/>
  <c r="Z62" i="1"/>
  <c r="Z33" i="1"/>
  <c r="AA33" i="1"/>
  <c r="Z142" i="1"/>
  <c r="AA142" i="1"/>
  <c r="Z140" i="1"/>
  <c r="AA140" i="1"/>
  <c r="Z106" i="1"/>
  <c r="AA106" i="1"/>
  <c r="Z135" i="1"/>
  <c r="AA135" i="1"/>
  <c r="Z114" i="1"/>
  <c r="AA114" i="1"/>
  <c r="Z96" i="1"/>
  <c r="AA96" i="1"/>
  <c r="Z60" i="1"/>
  <c r="AA60" i="1"/>
  <c r="Z127" i="1"/>
  <c r="AA127" i="1"/>
  <c r="Z118" i="1"/>
  <c r="AA118" i="1"/>
  <c r="Z99" i="1"/>
  <c r="AA99" i="1"/>
  <c r="Z22" i="1"/>
  <c r="AA22" i="1"/>
  <c r="Z70" i="1"/>
  <c r="AA70" i="1"/>
  <c r="Z87" i="1"/>
  <c r="AA87" i="1"/>
  <c r="Z19" i="1"/>
  <c r="AA19" i="1"/>
  <c r="Z137" i="1"/>
  <c r="AA137" i="1"/>
  <c r="Z123" i="1"/>
  <c r="AA123" i="1"/>
  <c r="Z71" i="1"/>
  <c r="AA71" i="1"/>
  <c r="Z138" i="1"/>
  <c r="AA138" i="1"/>
  <c r="Z47" i="1"/>
  <c r="AA47" i="1"/>
  <c r="AA18" i="1"/>
  <c r="Z18" i="1"/>
  <c r="Z134" i="1"/>
  <c r="AA134" i="1"/>
  <c r="Z16" i="1"/>
  <c r="AA16" i="1"/>
  <c r="AA61" i="1"/>
  <c r="Z61" i="1"/>
  <c r="AA31" i="1"/>
  <c r="Z31" i="1"/>
  <c r="Z48" i="1"/>
  <c r="AA48" i="1"/>
  <c r="Z91" i="1"/>
  <c r="AA91" i="1"/>
  <c r="Z76" i="1"/>
  <c r="AA76" i="1"/>
  <c r="AA64" i="1"/>
  <c r="Z64" i="1"/>
  <c r="Z73" i="1"/>
  <c r="AA73" i="1"/>
  <c r="Z52" i="1"/>
  <c r="AA52" i="1"/>
  <c r="Z7" i="1"/>
  <c r="AA7" i="1"/>
  <c r="Z55" i="1"/>
  <c r="AA55" i="1"/>
  <c r="Z25" i="1"/>
  <c r="AA25" i="1"/>
  <c r="Z9" i="1"/>
  <c r="AA9" i="1"/>
  <c r="Z42" i="1"/>
  <c r="AA42" i="1"/>
  <c r="AA82" i="1"/>
  <c r="Z82" i="1"/>
  <c r="Z63" i="1"/>
  <c r="AA63" i="1"/>
  <c r="AA86" i="1"/>
  <c r="Z86" i="1"/>
  <c r="Z110" i="1"/>
  <c r="AA110" i="1"/>
  <c r="Z102" i="1"/>
  <c r="AA102" i="1"/>
  <c r="Z11" i="1"/>
  <c r="AA11" i="1"/>
  <c r="Z122" i="1"/>
  <c r="AA122" i="1"/>
  <c r="Z68" i="1"/>
  <c r="AA68" i="1"/>
  <c r="Z124" i="1"/>
  <c r="AA124" i="1"/>
  <c r="Z38" i="1"/>
  <c r="AA38" i="1"/>
  <c r="Z34" i="1"/>
  <c r="AA34" i="1"/>
  <c r="Z85" i="1"/>
  <c r="AA85" i="1"/>
  <c r="Z66" i="1"/>
  <c r="AA66" i="1"/>
  <c r="Z81" i="1"/>
  <c r="AA81" i="1"/>
  <c r="Z93" i="1"/>
  <c r="AA93" i="1"/>
  <c r="Z107" i="1"/>
  <c r="AA107" i="1"/>
  <c r="Z15" i="1"/>
  <c r="AA15" i="1"/>
  <c r="Z17" i="1"/>
  <c r="AA17" i="1"/>
  <c r="Z136" i="1"/>
  <c r="AA136" i="1"/>
  <c r="Z21" i="1"/>
  <c r="AA21" i="1"/>
  <c r="AA4" i="1"/>
  <c r="Z4" i="1"/>
  <c r="Z131" i="1"/>
  <c r="AA131" i="1"/>
  <c r="Z141" i="1"/>
  <c r="AA141" i="1"/>
  <c r="Z129" i="1"/>
  <c r="AA129" i="1"/>
  <c r="Z84" i="1"/>
  <c r="AA84" i="1"/>
  <c r="Z80" i="1"/>
  <c r="AA80" i="1"/>
  <c r="AA101" i="1"/>
  <c r="Z101" i="1"/>
  <c r="AA105" i="1"/>
  <c r="Z105" i="1"/>
  <c r="Z59" i="1"/>
  <c r="AA59" i="1"/>
  <c r="Z43" i="1"/>
  <c r="AA43" i="1"/>
  <c r="Z58" i="1"/>
  <c r="AA58" i="1"/>
  <c r="Z41" i="1"/>
  <c r="AA41" i="1"/>
  <c r="Z74" i="1"/>
  <c r="AA74" i="1"/>
  <c r="Z94" i="1"/>
  <c r="AA94" i="1"/>
  <c r="Z40" i="1"/>
  <c r="AA40" i="1"/>
  <c r="Z126" i="1"/>
  <c r="AA126" i="1"/>
  <c r="Z130" i="1"/>
  <c r="AA130" i="1"/>
  <c r="AA12" i="1"/>
  <c r="Z12" i="1"/>
  <c r="Z54" i="1"/>
  <c r="AA54" i="1"/>
  <c r="Z53" i="1"/>
  <c r="AA53" i="1"/>
  <c r="AA45" i="1"/>
  <c r="Z45" i="1"/>
  <c r="Z35" i="1"/>
  <c r="AA35" i="1"/>
  <c r="AA27" i="1"/>
  <c r="Z27" i="1"/>
  <c r="Z89" i="1"/>
  <c r="AA89" i="1"/>
  <c r="Z117" i="1"/>
  <c r="AA117" i="1"/>
  <c r="Z72" i="1"/>
  <c r="AA72" i="1"/>
  <c r="Z78" i="1"/>
  <c r="AA78" i="1"/>
  <c r="Z26" i="1"/>
  <c r="AA26" i="1"/>
  <c r="Z13" i="1"/>
  <c r="AA13" i="1"/>
  <c r="Z113" i="1"/>
  <c r="AA113" i="1"/>
  <c r="Z39" i="1"/>
  <c r="AA39" i="1"/>
  <c r="AA95" i="1"/>
  <c r="Z95" i="1"/>
  <c r="Z111" i="1"/>
  <c r="AA111" i="1"/>
  <c r="W143" i="1"/>
  <c r="Y112" i="1"/>
  <c r="Z121" i="1"/>
  <c r="AA121" i="1"/>
  <c r="Z109" i="1"/>
  <c r="AA109" i="1"/>
  <c r="Z65" i="1"/>
  <c r="AA65" i="1"/>
  <c r="Z56" i="1"/>
  <c r="AA56" i="1"/>
  <c r="Z14" i="1"/>
  <c r="AA14" i="1"/>
  <c r="Z57" i="1"/>
  <c r="AA57" i="1"/>
  <c r="AA24" i="1"/>
  <c r="Z24" i="1"/>
  <c r="Z77" i="1"/>
  <c r="AA77" i="1"/>
  <c r="Z79" i="1"/>
  <c r="AA79" i="1"/>
  <c r="Z75" i="1"/>
  <c r="AA75" i="1"/>
  <c r="Z3" i="1"/>
  <c r="AA3" i="1"/>
  <c r="Z88" i="1"/>
  <c r="AA88" i="1"/>
  <c r="Z115" i="1"/>
  <c r="AA115" i="1"/>
  <c r="Z103" i="1"/>
  <c r="AA103" i="1"/>
  <c r="Z23" i="1"/>
  <c r="AA23" i="1"/>
  <c r="AA51" i="1"/>
  <c r="Z51" i="1"/>
  <c r="Z90" i="1"/>
  <c r="AA90" i="1"/>
  <c r="Z30" i="1"/>
  <c r="AA30" i="1"/>
  <c r="Z92" i="1"/>
  <c r="AA92" i="1"/>
  <c r="AA100" i="1"/>
  <c r="Z100" i="1"/>
  <c r="Z67" i="1"/>
  <c r="AA67" i="1"/>
  <c r="AA83" i="1"/>
  <c r="Z83" i="1"/>
  <c r="Z139" i="1"/>
  <c r="AA139" i="1"/>
  <c r="AF13" i="1" l="1"/>
  <c r="AG13" i="1"/>
  <c r="AE13" i="1"/>
  <c r="AG40" i="1"/>
  <c r="AF40" i="1"/>
  <c r="AE40" i="1"/>
  <c r="AG59" i="1"/>
  <c r="AF59" i="1"/>
  <c r="AE59" i="1"/>
  <c r="AF136" i="1"/>
  <c r="AE136" i="1"/>
  <c r="AG136" i="1"/>
  <c r="AG66" i="1"/>
  <c r="AF66" i="1"/>
  <c r="AE66" i="1"/>
  <c r="AE122" i="1"/>
  <c r="AF122" i="1"/>
  <c r="AG122" i="1"/>
  <c r="AE55" i="1"/>
  <c r="AG55" i="1"/>
  <c r="AF55" i="1"/>
  <c r="AE138" i="1"/>
  <c r="AG138" i="1"/>
  <c r="AF138" i="1"/>
  <c r="AG19" i="1"/>
  <c r="AE19" i="1"/>
  <c r="AF19" i="1"/>
  <c r="AE70" i="1"/>
  <c r="AF70" i="1"/>
  <c r="AG70" i="1"/>
  <c r="AF127" i="1"/>
  <c r="AE127" i="1"/>
  <c r="AG127" i="1"/>
  <c r="AG135" i="1"/>
  <c r="AE135" i="1"/>
  <c r="AF135" i="1"/>
  <c r="AF140" i="1"/>
  <c r="AE140" i="1"/>
  <c r="AG140" i="1"/>
  <c r="AE33" i="1"/>
  <c r="AF33" i="1"/>
  <c r="AG33" i="1"/>
  <c r="AF108" i="1"/>
  <c r="AG108" i="1"/>
  <c r="AE108" i="1"/>
  <c r="AG119" i="1"/>
  <c r="AE119" i="1"/>
  <c r="AF119" i="1"/>
  <c r="AF128" i="1"/>
  <c r="AE128" i="1"/>
  <c r="AG128" i="1"/>
  <c r="AG28" i="1"/>
  <c r="AE28" i="1"/>
  <c r="AF28" i="1"/>
  <c r="AF116" i="1"/>
  <c r="AE116" i="1"/>
  <c r="AG116" i="1"/>
  <c r="AF10" i="1"/>
  <c r="AE10" i="1"/>
  <c r="AG10" i="1"/>
  <c r="AE120" i="1"/>
  <c r="AG120" i="1"/>
  <c r="AF120" i="1"/>
  <c r="AG6" i="1"/>
  <c r="AF6" i="1"/>
  <c r="AE6" i="1"/>
  <c r="AG46" i="1"/>
  <c r="AE46" i="1"/>
  <c r="AF46" i="1"/>
  <c r="AE32" i="1"/>
  <c r="AF32" i="1"/>
  <c r="AG32" i="1"/>
  <c r="AE69" i="1"/>
  <c r="AF69" i="1"/>
  <c r="AG69" i="1"/>
  <c r="AF98" i="1"/>
  <c r="AG98" i="1"/>
  <c r="AE98" i="1"/>
  <c r="AG30" i="1"/>
  <c r="AF30" i="1"/>
  <c r="AE30" i="1"/>
  <c r="AG103" i="1"/>
  <c r="AE103" i="1"/>
  <c r="AF103" i="1"/>
  <c r="AF88" i="1"/>
  <c r="AG88" i="1"/>
  <c r="AE88" i="1"/>
  <c r="AE75" i="1"/>
  <c r="AG75" i="1"/>
  <c r="AF75" i="1"/>
  <c r="AE77" i="1"/>
  <c r="AG77" i="1"/>
  <c r="AF77" i="1"/>
  <c r="AG57" i="1"/>
  <c r="AF57" i="1"/>
  <c r="AE57" i="1"/>
  <c r="AF56" i="1"/>
  <c r="AG56" i="1"/>
  <c r="AE56" i="1"/>
  <c r="AG109" i="1"/>
  <c r="AF109" i="1"/>
  <c r="AE109" i="1"/>
  <c r="Z112" i="1"/>
  <c r="AA112" i="1"/>
  <c r="AF27" i="1"/>
  <c r="AG27" i="1"/>
  <c r="AE27" i="1"/>
  <c r="AF45" i="1"/>
  <c r="AE45" i="1"/>
  <c r="AG45" i="1"/>
  <c r="AF101" i="1"/>
  <c r="AE101" i="1"/>
  <c r="AG101" i="1"/>
  <c r="AF4" i="1"/>
  <c r="AE4" i="1"/>
  <c r="AG4" i="1"/>
  <c r="AE86" i="1"/>
  <c r="AG86" i="1"/>
  <c r="AF86" i="1"/>
  <c r="AE82" i="1"/>
  <c r="AF82" i="1"/>
  <c r="AG82" i="1"/>
  <c r="AE64" i="1"/>
  <c r="AF64" i="1"/>
  <c r="AG64" i="1"/>
  <c r="AF31" i="1"/>
  <c r="AE31" i="1"/>
  <c r="AG31" i="1"/>
  <c r="AE18" i="1"/>
  <c r="AF18" i="1"/>
  <c r="AG18" i="1"/>
  <c r="AE133" i="1"/>
  <c r="AG133" i="1"/>
  <c r="AF133" i="1"/>
  <c r="AG24" i="1"/>
  <c r="AE24" i="1"/>
  <c r="AF24" i="1"/>
  <c r="AG111" i="1"/>
  <c r="AF111" i="1"/>
  <c r="AE111" i="1"/>
  <c r="AG78" i="1"/>
  <c r="AE78" i="1"/>
  <c r="AF78" i="1"/>
  <c r="AE54" i="1"/>
  <c r="AF54" i="1"/>
  <c r="AG54" i="1"/>
  <c r="AG74" i="1"/>
  <c r="AE74" i="1"/>
  <c r="AF74" i="1"/>
  <c r="AE141" i="1"/>
  <c r="AG141" i="1"/>
  <c r="AF141" i="1"/>
  <c r="AG15" i="1"/>
  <c r="AF15" i="1"/>
  <c r="AE15" i="1"/>
  <c r="AE34" i="1"/>
  <c r="AF34" i="1"/>
  <c r="AG34" i="1"/>
  <c r="AE102" i="1"/>
  <c r="AG102" i="1"/>
  <c r="AF102" i="1"/>
  <c r="AG9" i="1"/>
  <c r="AE9" i="1"/>
  <c r="AF9" i="1"/>
  <c r="AF16" i="1"/>
  <c r="AG16" i="1"/>
  <c r="AE16" i="1"/>
  <c r="AG99" i="1"/>
  <c r="AF99" i="1"/>
  <c r="AE99" i="1"/>
  <c r="AE83" i="1"/>
  <c r="AG83" i="1"/>
  <c r="AF83" i="1"/>
  <c r="AF26" i="1"/>
  <c r="AG26" i="1"/>
  <c r="AE26" i="1"/>
  <c r="AG35" i="1"/>
  <c r="AF35" i="1"/>
  <c r="AE35" i="1"/>
  <c r="AE94" i="1"/>
  <c r="AG94" i="1"/>
  <c r="AF94" i="1"/>
  <c r="AG43" i="1"/>
  <c r="AE43" i="1"/>
  <c r="AF43" i="1"/>
  <c r="AE80" i="1"/>
  <c r="AF80" i="1"/>
  <c r="AG80" i="1"/>
  <c r="AF129" i="1"/>
  <c r="AE129" i="1"/>
  <c r="AG129" i="1"/>
  <c r="AF21" i="1"/>
  <c r="AG21" i="1"/>
  <c r="AE21" i="1"/>
  <c r="AE17" i="1"/>
  <c r="AG17" i="1"/>
  <c r="AF17" i="1"/>
  <c r="AF107" i="1"/>
  <c r="AG107" i="1"/>
  <c r="AE107" i="1"/>
  <c r="AF81" i="1"/>
  <c r="AG81" i="1"/>
  <c r="AE81" i="1"/>
  <c r="AF85" i="1"/>
  <c r="AG85" i="1"/>
  <c r="AE85" i="1"/>
  <c r="AE38" i="1"/>
  <c r="AG38" i="1"/>
  <c r="AF38" i="1"/>
  <c r="AG68" i="1"/>
  <c r="AF68" i="1"/>
  <c r="AE68" i="1"/>
  <c r="AE11" i="1"/>
  <c r="AG11" i="1"/>
  <c r="AF11" i="1"/>
  <c r="AF110" i="1"/>
  <c r="AG110" i="1"/>
  <c r="AE110" i="1"/>
  <c r="AF63" i="1"/>
  <c r="AG63" i="1"/>
  <c r="AE63" i="1"/>
  <c r="AG42" i="1"/>
  <c r="AF42" i="1"/>
  <c r="AE42" i="1"/>
  <c r="AG25" i="1"/>
  <c r="AE25" i="1"/>
  <c r="AF25" i="1"/>
  <c r="AG7" i="1"/>
  <c r="AE7" i="1"/>
  <c r="AF7" i="1"/>
  <c r="AF73" i="1"/>
  <c r="AE73" i="1"/>
  <c r="AG73" i="1"/>
  <c r="AE76" i="1"/>
  <c r="AG76" i="1"/>
  <c r="AF76" i="1"/>
  <c r="AG48" i="1"/>
  <c r="AE48" i="1"/>
  <c r="AF48" i="1"/>
  <c r="AE134" i="1"/>
  <c r="AG134" i="1"/>
  <c r="AF134" i="1"/>
  <c r="AE47" i="1"/>
  <c r="AF47" i="1"/>
  <c r="AG47" i="1"/>
  <c r="AE71" i="1"/>
  <c r="AG71" i="1"/>
  <c r="AF71" i="1"/>
  <c r="AF137" i="1"/>
  <c r="AE137" i="1"/>
  <c r="AG137" i="1"/>
  <c r="AG87" i="1"/>
  <c r="AF87" i="1"/>
  <c r="AE87" i="1"/>
  <c r="AG22" i="1"/>
  <c r="AF22" i="1"/>
  <c r="AE22" i="1"/>
  <c r="AF118" i="1"/>
  <c r="AE118" i="1"/>
  <c r="AG118" i="1"/>
  <c r="AE60" i="1"/>
  <c r="AG60" i="1"/>
  <c r="AF60" i="1"/>
  <c r="AF114" i="1"/>
  <c r="AG114" i="1"/>
  <c r="AE114" i="1"/>
  <c r="AG106" i="1"/>
  <c r="AF106" i="1"/>
  <c r="AE106" i="1"/>
  <c r="AG8" i="1"/>
  <c r="AF8" i="1"/>
  <c r="AE8" i="1"/>
  <c r="AE20" i="1"/>
  <c r="AF20" i="1"/>
  <c r="AG20" i="1"/>
  <c r="AE44" i="1"/>
  <c r="AG44" i="1"/>
  <c r="AF44" i="1"/>
  <c r="AF36" i="1"/>
  <c r="AE36" i="1"/>
  <c r="AG36" i="1"/>
  <c r="AG104" i="1"/>
  <c r="AF104" i="1"/>
  <c r="AE104" i="1"/>
  <c r="AE125" i="1"/>
  <c r="AG125" i="1"/>
  <c r="AF125" i="1"/>
  <c r="AF97" i="1"/>
  <c r="AE97" i="1"/>
  <c r="AG97" i="1"/>
  <c r="AG29" i="1"/>
  <c r="AF29" i="1"/>
  <c r="AE29" i="1"/>
  <c r="AE132" i="1"/>
  <c r="AG132" i="1"/>
  <c r="AF132" i="1"/>
  <c r="AF37" i="1"/>
  <c r="AG37" i="1"/>
  <c r="AE37" i="1"/>
  <c r="AF49" i="1"/>
  <c r="AG49" i="1"/>
  <c r="AE49" i="1"/>
  <c r="AE39" i="1"/>
  <c r="AF39" i="1"/>
  <c r="AG39" i="1"/>
  <c r="AE117" i="1"/>
  <c r="AF117" i="1"/>
  <c r="AG117" i="1"/>
  <c r="AG130" i="1"/>
  <c r="AF130" i="1"/>
  <c r="AE130" i="1"/>
  <c r="AF58" i="1"/>
  <c r="AG58" i="1"/>
  <c r="AE58" i="1"/>
  <c r="AG84" i="1"/>
  <c r="AF84" i="1"/>
  <c r="AE84" i="1"/>
  <c r="AE93" i="1"/>
  <c r="AF93" i="1"/>
  <c r="AG93" i="1"/>
  <c r="AE124" i="1"/>
  <c r="AF124" i="1"/>
  <c r="AG124" i="1"/>
  <c r="AG52" i="1"/>
  <c r="AE52" i="1"/>
  <c r="AF52" i="1"/>
  <c r="AE91" i="1"/>
  <c r="AF91" i="1"/>
  <c r="AG91" i="1"/>
  <c r="AF123" i="1"/>
  <c r="AG123" i="1"/>
  <c r="AE123" i="1"/>
  <c r="AE96" i="1"/>
  <c r="AF96" i="1"/>
  <c r="AG96" i="1"/>
  <c r="AF100" i="1"/>
  <c r="AE100" i="1"/>
  <c r="AG100" i="1"/>
  <c r="AE51" i="1"/>
  <c r="AF51" i="1"/>
  <c r="AG51" i="1"/>
  <c r="AE113" i="1"/>
  <c r="AG113" i="1"/>
  <c r="AF113" i="1"/>
  <c r="AG72" i="1"/>
  <c r="AF72" i="1"/>
  <c r="AE72" i="1"/>
  <c r="AE89" i="1"/>
  <c r="AF89" i="1"/>
  <c r="AG89" i="1"/>
  <c r="AE53" i="1"/>
  <c r="AG53" i="1"/>
  <c r="AF53" i="1"/>
  <c r="AF126" i="1"/>
  <c r="AE126" i="1"/>
  <c r="AG126" i="1"/>
  <c r="AG41" i="1"/>
  <c r="AE41" i="1"/>
  <c r="AF41" i="1"/>
  <c r="AG131" i="1"/>
  <c r="AF131" i="1"/>
  <c r="AE131" i="1"/>
  <c r="AE139" i="1"/>
  <c r="AG139" i="1"/>
  <c r="AF139" i="1"/>
  <c r="AG67" i="1"/>
  <c r="AF67" i="1"/>
  <c r="AE67" i="1"/>
  <c r="AG92" i="1"/>
  <c r="AE92" i="1"/>
  <c r="AF92" i="1"/>
  <c r="AE90" i="1"/>
  <c r="AF90" i="1"/>
  <c r="AG90" i="1"/>
  <c r="AG23" i="1"/>
  <c r="AF23" i="1"/>
  <c r="AE23" i="1"/>
  <c r="AF115" i="1"/>
  <c r="AE115" i="1"/>
  <c r="AG115" i="1"/>
  <c r="AE3" i="1"/>
  <c r="AF3" i="1"/>
  <c r="AG3" i="1"/>
  <c r="AE79" i="1"/>
  <c r="AG79" i="1"/>
  <c r="AF79" i="1"/>
  <c r="AG14" i="1"/>
  <c r="AE14" i="1"/>
  <c r="AF14" i="1"/>
  <c r="AG65" i="1"/>
  <c r="AF65" i="1"/>
  <c r="AE65" i="1"/>
  <c r="AG121" i="1"/>
  <c r="AF121" i="1"/>
  <c r="AE121" i="1"/>
  <c r="AE95" i="1"/>
  <c r="AG95" i="1"/>
  <c r="AF95" i="1"/>
  <c r="AG12" i="1"/>
  <c r="AE12" i="1"/>
  <c r="AF12" i="1"/>
  <c r="AE105" i="1"/>
  <c r="AF105" i="1"/>
  <c r="AG105" i="1"/>
  <c r="AG61" i="1"/>
  <c r="AF61" i="1"/>
  <c r="AE61" i="1"/>
  <c r="AG62" i="1"/>
  <c r="AF62" i="1"/>
  <c r="AE62" i="1"/>
  <c r="AE50" i="1"/>
  <c r="AG50" i="1"/>
  <c r="AF50" i="1"/>
  <c r="AG5" i="1"/>
  <c r="AE5" i="1"/>
  <c r="AF5" i="1"/>
  <c r="AF112" i="1" l="1"/>
  <c r="AF142" i="1" s="1"/>
  <c r="AG112" i="1"/>
  <c r="AG142" i="1" s="1"/>
  <c r="AE112" i="1"/>
  <c r="AE142" i="1" s="1"/>
  <c r="AA1" i="1"/>
</calcChain>
</file>

<file path=xl/sharedStrings.xml><?xml version="1.0" encoding="utf-8"?>
<sst xmlns="http://schemas.openxmlformats.org/spreadsheetml/2006/main" count="1043" uniqueCount="382">
  <si>
    <t>Regnearket "D-Alt"</t>
  </si>
  <si>
    <t>Grensesnittsnorm</t>
  </si>
  <si>
    <t>KPI-justert normkostnad knyttett il anlegg i grensesnitt i distribusjonsnettet</t>
  </si>
  <si>
    <t>Kalibrert kostnadsnorm fra distribusjonsnettet pluss kostnader knyttet til grensesnittsanlegg (O)</t>
  </si>
  <si>
    <t>Inntektsramme før kalibrering og korrigering</t>
  </si>
  <si>
    <t>Kalibrering slik at IR= K</t>
  </si>
  <si>
    <t>AKG (inkl. 1 % arbeids-kapital)</t>
  </si>
  <si>
    <t>Kalibrert DEA resultat</t>
  </si>
  <si>
    <t>Alternativ benchmarkingmodell</t>
  </si>
  <si>
    <t>Evalueres ikke i noen modell</t>
  </si>
  <si>
    <t>Herøya Nett AS</t>
  </si>
  <si>
    <t>VOKKS Nett AS</t>
  </si>
  <si>
    <t>Kalibrert kostnadsnorm fra regionalnettet pluss kostnader knyttet til utredningsansvar (N) og nettap i regionalnett (K)</t>
  </si>
  <si>
    <t>Ny K* etter kalibr. = K* - AKG(år t) x ΔK  / 0,6</t>
  </si>
  <si>
    <t>Driftsresultat etter korrigering (DR 2) = IR 2 - totale kostnader</t>
  </si>
  <si>
    <t>Avkastning etter korrigering (AVK 2) = DR 2 / AKG</t>
  </si>
  <si>
    <t>Regnearket "DEAnorm D-nett"</t>
  </si>
  <si>
    <t>Kalibrert DEAnorm</t>
  </si>
  <si>
    <t>Distribusjons-nettets kostnads-grunnlag (K)</t>
  </si>
  <si>
    <t>Differanse sum av K- sum av DEAnorm:</t>
  </si>
  <si>
    <t>Inntektsramme før korrigering (IR 1) = 0,4 x K + 0,6 x K*</t>
  </si>
  <si>
    <t>Driftsresultat før korrigering (DR1) = IR - totale kostnader</t>
  </si>
  <si>
    <t>Avkastn før korrigering (AVK 1) = DR / AKG</t>
  </si>
  <si>
    <t>Inntektsramme før korrigering (IR 1)</t>
  </si>
  <si>
    <t>DEAnorm     (DEA-resultat*K)</t>
  </si>
  <si>
    <t>DEAnorm (DEA-resultat*K)</t>
  </si>
  <si>
    <t>BFV</t>
  </si>
  <si>
    <t>Bokført verdi, BFV</t>
  </si>
  <si>
    <t>Avkastningsgrunnlag, BFV + 1 % arbeidskapital</t>
  </si>
  <si>
    <t xml:space="preserve">KILE </t>
  </si>
  <si>
    <t>KPI-justert KILE</t>
  </si>
  <si>
    <t xml:space="preserve">Inflasjonsjustert KILE </t>
  </si>
  <si>
    <t>Kostnads-grunnlag (K) Distribusjons-nett uten grensesnittskostnader</t>
  </si>
  <si>
    <t>KPI-justert norm knyttet til grensesnitt i Dnett</t>
  </si>
  <si>
    <t xml:space="preserve">D&amp;V-kostnader </t>
  </si>
  <si>
    <t>Norm knyttet til grensesnitt</t>
  </si>
  <si>
    <t>Inneholder resultater fra alternativ modell for sammenligning i distribusjonsnettet</t>
  </si>
  <si>
    <t>Distribusjonsnettet</t>
  </si>
  <si>
    <t>For kalibrer-ingen</t>
  </si>
  <si>
    <t>Sum K fra vedtak</t>
  </si>
  <si>
    <t>Kraftpris kr pr MWh (inkludert 11 kr påslag)</t>
  </si>
  <si>
    <t>Sum (IR-K)/Sum AKG</t>
  </si>
  <si>
    <t>Statkraft Energi AS</t>
  </si>
  <si>
    <t>AKG inkl 1% arbeids-kapital</t>
  </si>
  <si>
    <t>Nettap MWh i regionalnettet</t>
  </si>
  <si>
    <t>Kostnadsgrunnlag pr. selskap</t>
  </si>
  <si>
    <t>DV</t>
  </si>
  <si>
    <t>Sum</t>
  </si>
  <si>
    <t>Sum IR</t>
  </si>
  <si>
    <t>Sum K</t>
  </si>
  <si>
    <t>Sum (IR-K)</t>
  </si>
  <si>
    <t>Sum(IR-K)/Sum AKG</t>
  </si>
  <si>
    <t>AVS</t>
  </si>
  <si>
    <t>ID</t>
  </si>
  <si>
    <t>Selskap</t>
  </si>
  <si>
    <t>D&amp;V-kostnader</t>
  </si>
  <si>
    <t>Nettap MWh</t>
  </si>
  <si>
    <t>KILE (fq)</t>
  </si>
  <si>
    <t>Aktieselskabet Saudefaldene</t>
  </si>
  <si>
    <t>Nettaps-pris</t>
  </si>
  <si>
    <t xml:space="preserve">Regnearket "IRData" </t>
  </si>
  <si>
    <t>BV</t>
  </si>
  <si>
    <t>Sum kostnader (D+E+J+K+M+N)</t>
  </si>
  <si>
    <t>Kostnadsgrunnlag ( D+E+J+K+M+N+G*referanserente)</t>
  </si>
  <si>
    <t>DEA-resultat til kalibrering</t>
  </si>
  <si>
    <t>Distribusjons-nettets avkastnings-grunnlag</t>
  </si>
  <si>
    <t>Viser forutsetninger og sentrale parametere i beregningene</t>
  </si>
  <si>
    <t>Drifts- og vedlikeholdskostnader, D&amp;V-kostnader</t>
  </si>
  <si>
    <t>Avskrivninger, AVS</t>
  </si>
  <si>
    <t>Nettaps- kostnad</t>
  </si>
  <si>
    <t xml:space="preserve">Kolonne </t>
  </si>
  <si>
    <t>Beskrivelse av innhold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</si>
  <si>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</si>
  <si>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</si>
  <si>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</si>
  <si>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</si>
  <si>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</si>
  <si>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</si>
  <si>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</si>
  <si>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</si>
  <si>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</si>
  <si>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</si>
  <si>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</si>
  <si>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D</t>
  </si>
  <si>
    <t>Navn på selskap</t>
  </si>
  <si>
    <t>Selskapets ID</t>
  </si>
  <si>
    <t>Sum kostnader</t>
  </si>
  <si>
    <t>Referanserente</t>
  </si>
  <si>
    <t>Nettaps- kostnad i Dnett</t>
  </si>
  <si>
    <t>Nettap MWh i Dnett</t>
  </si>
  <si>
    <t>Nettap MWh i distribusjonsnettet</t>
  </si>
  <si>
    <t>Nettapskostnader i distribusjonsnettet</t>
  </si>
  <si>
    <t>Y</t>
  </si>
  <si>
    <t>Z</t>
  </si>
  <si>
    <t>Nettaps- kostnad i Rnett</t>
  </si>
  <si>
    <t>Nettap MWh i Rnett</t>
  </si>
  <si>
    <t>Kostnads-grunnlag</t>
  </si>
  <si>
    <t>Kostnader knyttet til utrednings-ansvar</t>
  </si>
  <si>
    <t>DV uten kostnader knyttet til utrednings-ansvar</t>
  </si>
  <si>
    <t>Nettapskostnader i regionalnettet</t>
  </si>
  <si>
    <t>C - Q</t>
  </si>
  <si>
    <t>AKG inkl. arb.kap.</t>
  </si>
  <si>
    <t>Krafttap MWh i Dnett</t>
  </si>
  <si>
    <t>Distribusjonsnett</t>
  </si>
  <si>
    <t>Regnearket "Forutsetninger"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</si>
  <si>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</si>
  <si>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</si>
  <si>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</si>
  <si>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</si>
  <si>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</si>
  <si>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</si>
  <si>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</si>
  <si>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</si>
  <si>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</si>
  <si>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</si>
  <si>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</si>
  <si>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</si>
  <si>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Om regnearkene i filen</t>
  </si>
  <si>
    <t>KPI-justering</t>
  </si>
  <si>
    <t>År</t>
  </si>
  <si>
    <t>KPI</t>
  </si>
  <si>
    <t>KPI t/KPI t-2</t>
  </si>
  <si>
    <t>Rho (vektlegging av normkostnad)</t>
  </si>
  <si>
    <t>DEA-resultat</t>
  </si>
  <si>
    <t>Resultater og kalibrering av DEA-resultat for distribusjonsnettet</t>
  </si>
  <si>
    <t>Meløy Energi AS</t>
  </si>
  <si>
    <t>Tillegg i norm</t>
  </si>
  <si>
    <t>Kostnadsnorm (K*) Distribusjonsnett</t>
  </si>
  <si>
    <t>Kostnads-norm (K*) Regionalnett</t>
  </si>
  <si>
    <t>Sum kostnader uten avskrivinger</t>
  </si>
  <si>
    <t>Sammenlagt for distribusjonsnett, regional- og sentralnett</t>
  </si>
  <si>
    <t>Regionalnett</t>
  </si>
  <si>
    <t>Sentralnett</t>
  </si>
  <si>
    <t>Kostnadsnorm (K*) Sentralnett</t>
  </si>
  <si>
    <t>Krafttap MWh i Rnett</t>
  </si>
  <si>
    <t>Krafttap MWh i Snett</t>
  </si>
  <si>
    <t>Kostnads-grunnlag (K) regionalnett uten nettap og utrednings kostnader</t>
  </si>
  <si>
    <t>Regionalnetts avkastnings-grunnlag</t>
  </si>
  <si>
    <t>Regionalnetts kostnadsgrunnlag (K)</t>
  </si>
  <si>
    <t>Resultater, kalibrering og justering av DEA-resultat for regionalnett</t>
  </si>
  <si>
    <t>MØRENETT AS</t>
  </si>
  <si>
    <t>LYSE SENTRALNETT AS</t>
  </si>
  <si>
    <t>GASSCO AS</t>
  </si>
  <si>
    <t xml:space="preserve">Årslønn </t>
  </si>
  <si>
    <t>Årslønn t/Årslønn t-2</t>
  </si>
  <si>
    <t>Kostnads-grunnlag Sentralnett</t>
  </si>
  <si>
    <t>Årslønn-justerte D&amp;V-kostnader</t>
  </si>
  <si>
    <t xml:space="preserve">Årslønn-justerte D&amp;V-kostnader </t>
  </si>
  <si>
    <t>Årslønn-justerte kostnader knyttet til utred.ansvar og KDS</t>
  </si>
  <si>
    <t>R - W</t>
  </si>
  <si>
    <t>X - AA</t>
  </si>
  <si>
    <t xml:space="preserve">Inflasjonsjusterte drifts- og vedlikeholdskostnader, D&amp;V-kostnader Årslønn-justerte </t>
  </si>
  <si>
    <t>Årslønn-justerte kostnader knyttet til utredningsansvar</t>
  </si>
  <si>
    <t>AA</t>
  </si>
  <si>
    <t>Kalibrert kostnadsnorm fra sentralnettet (kostnadsnorm=kostandsgrunnlag)</t>
  </si>
  <si>
    <t>Inneholder  DEA-resultater og kalibrering av norm fra DEA i regionalnettsanalysene</t>
  </si>
  <si>
    <t>Inneholder resultater fra alternativ modell for sammenligning i regionalnettet</t>
  </si>
  <si>
    <t>Inneholder  DEA-resultater og kalibrering av norm fra DEA i distribusjonsnettsanalysene</t>
  </si>
  <si>
    <t xml:space="preserve">Regnearket "DEAnorm R-nett" </t>
  </si>
  <si>
    <t>Regnearket "R-Alt"</t>
  </si>
  <si>
    <t>ARENDALS FOSSEKOMPANI ASA</t>
  </si>
  <si>
    <t>BALLANGEN ENERGI AS</t>
  </si>
  <si>
    <t>DRANGEDAL EVERK KF</t>
  </si>
  <si>
    <t>ETNE ELEKTRISITETSLAG SA</t>
  </si>
  <si>
    <t>JÆREN EVERK KOMMUNALT FORETAK I HÅ</t>
  </si>
  <si>
    <t>KVÆNANGEN KRAFTVERK AS</t>
  </si>
  <si>
    <t>LÆRDAL ENERGI AS</t>
  </si>
  <si>
    <t>NORD-ØSTERDAL KRAFTLAG SA</t>
  </si>
  <si>
    <t>EVENES KRAFTFORSYNING AS</t>
  </si>
  <si>
    <t>PORSA KRAFTLAG AS</t>
  </si>
  <si>
    <t>RAULAND KRAFTFORSYNINGSLAG SA</t>
  </si>
  <si>
    <t>RAUMA ENERGI AS</t>
  </si>
  <si>
    <t>RØROS ELEKTRISITETSVERK AS</t>
  </si>
  <si>
    <t>SELBU ENERGIVERK AS</t>
  </si>
  <si>
    <t>STRANDA ENERGI AS</t>
  </si>
  <si>
    <t>TINFOS AS</t>
  </si>
  <si>
    <t>HARDANGER ENERGI AS</t>
  </si>
  <si>
    <t>SVORKA ENERGI AS</t>
  </si>
  <si>
    <t>USTEKVEIKJA KRAFTVERK DA</t>
  </si>
  <si>
    <t>VINSTRA KRAFTSELSKAP DA</t>
  </si>
  <si>
    <t>HEMSEDAL ENERGI KF</t>
  </si>
  <si>
    <t>E-CO ENERGI AS</t>
  </si>
  <si>
    <t>TRØNDERENERGI KRAFT AS</t>
  </si>
  <si>
    <t>LYSE PRODUKSJON AS</t>
  </si>
  <si>
    <t>MIDT-TELEMARK ENERGI AS</t>
  </si>
  <si>
    <t>YARA NORGE AS</t>
  </si>
  <si>
    <t>MO INDUSTRIPARK AS</t>
  </si>
  <si>
    <t>LØVENSKIOLD FOSSUM KRAFT</t>
  </si>
  <si>
    <t>HYDRO ENERGI AS</t>
  </si>
  <si>
    <t>Selskap med IR 2015</t>
  </si>
  <si>
    <t>Faktiske kostnader i 2015</t>
  </si>
  <si>
    <t>Avvik i 2015-vedtak og kostnader i 2015 + renter for 2015 og 2016</t>
  </si>
  <si>
    <t>Forutsetninger i beregning av inntektsrammer for 2017</t>
  </si>
  <si>
    <t>ALTA KRAFTLAG SA</t>
  </si>
  <si>
    <t>ANDØY ENERGI AS</t>
  </si>
  <si>
    <t>ASKØY NETT AS</t>
  </si>
  <si>
    <t>AUSTEVOLL KRAFTLAG SA</t>
  </si>
  <si>
    <t>BINDAL KRAFTLAG SA</t>
  </si>
  <si>
    <t>NORGESNETT AS</t>
  </si>
  <si>
    <t>AS EIDEFOSS</t>
  </si>
  <si>
    <t>ISE NETT AS</t>
  </si>
  <si>
    <t>FINNÅS KRAFTLAG SA</t>
  </si>
  <si>
    <t>FITJAR KRAFTLAG SA</t>
  </si>
  <si>
    <t>FJELBERG KRAFTLAG SA</t>
  </si>
  <si>
    <t>FORSAND ELVERK KOMMUNALT FØRETAK I FORSAND</t>
  </si>
  <si>
    <t>FOSEN NETT AS</t>
  </si>
  <si>
    <t>FUSA KRAFTLAG SA</t>
  </si>
  <si>
    <t>SUNNFJORD ENERGI AS</t>
  </si>
  <si>
    <t>HADELAND ENERGINETT AS</t>
  </si>
  <si>
    <t>TROLLFJORD KRAFT AS</t>
  </si>
  <si>
    <t>HAMMERFEST ENERGI NETT AS</t>
  </si>
  <si>
    <t>HELGELAND KRAFT AS</t>
  </si>
  <si>
    <t>HEMNE KRAFTLAG SA</t>
  </si>
  <si>
    <t>HURUM ENERGIVERK AS</t>
  </si>
  <si>
    <t>HØLAND OG SETSKOG ELVERK SA</t>
  </si>
  <si>
    <t>ISTAD NETT AS</t>
  </si>
  <si>
    <t>KLEPP ENERGI AS</t>
  </si>
  <si>
    <t>KRAGERØ ENERGI AS</t>
  </si>
  <si>
    <t>KRØDSHERAD EVERK KF</t>
  </si>
  <si>
    <t>KVAM KRAFTVERK AS</t>
  </si>
  <si>
    <t>KVINNHERAD ENERGI AS</t>
  </si>
  <si>
    <t>LIER NETT AS</t>
  </si>
  <si>
    <t>LUOSTEJOK KRAFTLAG SA</t>
  </si>
  <si>
    <t>LUSTER ENERGIVERK AS</t>
  </si>
  <si>
    <t>MELØY ENERGI AS</t>
  </si>
  <si>
    <t>GAULDAL NETT AS</t>
  </si>
  <si>
    <t>MODALEN KRAFTLAG SA</t>
  </si>
  <si>
    <t>NORD-SALTEN KRAFT AS</t>
  </si>
  <si>
    <t>YMBER AS</t>
  </si>
  <si>
    <t>NORDKYN KRAFTLAG SA</t>
  </si>
  <si>
    <t>ODDA ENERGI AS</t>
  </si>
  <si>
    <t>OPPDAL EVERK AS</t>
  </si>
  <si>
    <t>OPPLANDSKRAFT DA</t>
  </si>
  <si>
    <t>ORKDAL ENERGI AS</t>
  </si>
  <si>
    <t>RAKKESTAD ENERGI AS</t>
  </si>
  <si>
    <t>KVIKNE-RENNEBU KRAFTLAG SA</t>
  </si>
  <si>
    <t>REPVÅG KRAFTLAG SA</t>
  </si>
  <si>
    <t>ROLLAG ELEKTRISITETSVERK SA</t>
  </si>
  <si>
    <t>RØDØY-LURØY KRAFTVERK AS</t>
  </si>
  <si>
    <t>SANDØY ENERGI AS</t>
  </si>
  <si>
    <t>HJARTDAL ELVERK AS</t>
  </si>
  <si>
    <t>SIRA KVINA KRAFTSELSKAP</t>
  </si>
  <si>
    <t>SKJÅK ENERGI KF</t>
  </si>
  <si>
    <t>SKÅNEVIK ØLEN KRAFTLAG SA</t>
  </si>
  <si>
    <t>SOGNEKRAFT AS</t>
  </si>
  <si>
    <t>STRYN ENERGI AS</t>
  </si>
  <si>
    <t>SULDAL ELVERK KF</t>
  </si>
  <si>
    <t>SKL NETT AS</t>
  </si>
  <si>
    <t>SYKKYLVEN ENERGI AS</t>
  </si>
  <si>
    <t>SØR AURDAL ENERGI AS</t>
  </si>
  <si>
    <t>TRØNDERENERGI NETT AS</t>
  </si>
  <si>
    <t>TINN ENERGI AS</t>
  </si>
  <si>
    <t>TROMS KRAFT NETT AS</t>
  </si>
  <si>
    <t>TRØGSTAD ELVERK AS</t>
  </si>
  <si>
    <t>TYSNES KRAFTLAG SA</t>
  </si>
  <si>
    <t>UVDAL KRAFTFORSYNING SA</t>
  </si>
  <si>
    <t>VANG ENERGIVERK KF</t>
  </si>
  <si>
    <t>VARANGER KRAFTNETT AS</t>
  </si>
  <si>
    <t>VEST-TELEMARK KRAFTLAG AS</t>
  </si>
  <si>
    <t>DALANE ENERGI IKS</t>
  </si>
  <si>
    <t>ØVRE EIKER NETT AS</t>
  </si>
  <si>
    <t>ÅRDAL ENERGI KF</t>
  </si>
  <si>
    <t>SFE NETT AS</t>
  </si>
  <si>
    <t>DRIVA KRAFTVERK</t>
  </si>
  <si>
    <t>HALLINGDAL KRAFTNETT AS</t>
  </si>
  <si>
    <t>KRAFTVERKENE I ORKLA DA</t>
  </si>
  <si>
    <t>HYDRO ALUMINIUM AS</t>
  </si>
  <si>
    <t>GUDBRANDSDAL ENERGI NETT AS</t>
  </si>
  <si>
    <t>VALDRES ENERGIVERK AS</t>
  </si>
  <si>
    <t>NORDMØRE ENERGIVERK AS</t>
  </si>
  <si>
    <t>NOTODDEN ENERGI NETT AS</t>
  </si>
  <si>
    <t>LOFOTKRAFT AS</t>
  </si>
  <si>
    <t>NORE ENERGI AS</t>
  </si>
  <si>
    <t>AURLAND ENERGIVERK AS</t>
  </si>
  <si>
    <t>HÅLOGALAND KRAFT PRODUKSJON AS</t>
  </si>
  <si>
    <t>VESTERÅLSKRAFT NETT AS</t>
  </si>
  <si>
    <t>HAUGALAND KRAFT PRODUKSJON AS</t>
  </si>
  <si>
    <t>LYSE ELNETT AS</t>
  </si>
  <si>
    <t>VOKKS NETT AS</t>
  </si>
  <si>
    <t>BKK NETT AS</t>
  </si>
  <si>
    <t>EIDSIVA NETT AS</t>
  </si>
  <si>
    <t>FLESBERG ELEKTRISITETSVERK AS</t>
  </si>
  <si>
    <t>MIDT NETT BUSKERUD AS</t>
  </si>
  <si>
    <t>NESSET KRAFT AS</t>
  </si>
  <si>
    <t>SUNNDAL ENERGI KF</t>
  </si>
  <si>
    <t>SKAGERAK NETT AS</t>
  </si>
  <si>
    <t>NORDVEST NETT AS</t>
  </si>
  <si>
    <t>FOLLO NETT AS</t>
  </si>
  <si>
    <t>EB NETT AS</t>
  </si>
  <si>
    <t>AGDER ENERGI NETT AS</t>
  </si>
  <si>
    <t>VOSS ENERGI AS</t>
  </si>
  <si>
    <t>NORDKRAFT NETT AS</t>
  </si>
  <si>
    <t>SVORKA PRODUKSJON AS</t>
  </si>
  <si>
    <t>STANGE ENERGI NETT AS</t>
  </si>
  <si>
    <t>HAFSLUND NETT AS</t>
  </si>
  <si>
    <t>STATKRAFT ENERGI AS</t>
  </si>
  <si>
    <t>RINGERIKS-KRAFT NETT AS</t>
  </si>
  <si>
    <t>NTE NETT AS</t>
  </si>
  <si>
    <t>NORDLANDSNETT AS</t>
  </si>
  <si>
    <t>HERØYA NETT AS</t>
  </si>
  <si>
    <t>2015-data for fastsettelse av inntektsrammen for 2017</t>
  </si>
  <si>
    <t>Sum kostnadsgrunnlag u/kap.kostn. fra vedtak om IR for 2015</t>
  </si>
  <si>
    <t>Regnearket "Inntektsramme 2017"</t>
  </si>
  <si>
    <t>Detaljert beskrivelse av kolonne C-P i regnearket "Inntektsramme 2017"</t>
  </si>
  <si>
    <t>Detaljert beskrivelse av kolonne R-AA i regnearket "Inntektsramme 2017"</t>
  </si>
  <si>
    <t>IR når K* er korrigert for avvik i kostnadsgrunnlaget benyttet i vedtak om IR for 2015 = 0,6 x Ny K* + 0,4 x K</t>
  </si>
  <si>
    <t>Kostnadsgrunnlag 2015</t>
  </si>
  <si>
    <t>Inneholder selskapenes faktiske kostnader i 2015 med nettapspris fra 2015-vedtaket</t>
  </si>
  <si>
    <t>Inneholder kostnadsdata 2015 differensiert på nettnivåer og samlet</t>
  </si>
  <si>
    <t>Inntektsramme og resultat før korrigering for for avvik i estimerte og faktiske kostnader i 2015</t>
  </si>
  <si>
    <t>Inntektsramme og resultat etter korrigering for for avvik i estimerte og faktiske kostnader i 2015</t>
  </si>
  <si>
    <t>NB NVE har lagt til grunn skattesats på 25 %</t>
  </si>
  <si>
    <t>Infl = 2.38 %</t>
  </si>
  <si>
    <t>Swap = 1.25 %</t>
  </si>
  <si>
    <t>KP = 0.78 %</t>
  </si>
  <si>
    <t>Avvik i faktisk kostnadsgrunnlag for 2015 og kostnadsgrunnlag benyttet i vedtak om IR for 2015</t>
  </si>
  <si>
    <t>Kostnadsgrunnlag for fastsettelse av inntektsramme 2017 (2015-data)</t>
  </si>
  <si>
    <t>K* etter kalibrering inkl korrigering for 2015-grunnlag</t>
  </si>
  <si>
    <t>IR etter kalibrering inkl korrigering for avvik i K brukt i IR-2015 og faktisk K i 2015 (IR2)</t>
  </si>
  <si>
    <t>Sum faktisk kostnadsgrunnlag u/kap.kostn. for bransjen i 2015</t>
  </si>
  <si>
    <t>Inntektsramme 2017</t>
  </si>
  <si>
    <t>Estimert kraftpris for 2015</t>
  </si>
  <si>
    <t>DALANE ENERGI AS</t>
  </si>
  <si>
    <t>HAUGALAND KRAFT AS</t>
  </si>
  <si>
    <t>HÅLOGALAND KRAFT AS</t>
  </si>
  <si>
    <t>AKTIESELSKABET SAUDEFALDENE</t>
  </si>
  <si>
    <t>NO1</t>
  </si>
  <si>
    <t>NO2</t>
  </si>
  <si>
    <t>NO3</t>
  </si>
  <si>
    <t>NO4</t>
  </si>
  <si>
    <t>NO5</t>
  </si>
  <si>
    <t>sørvest</t>
  </si>
  <si>
    <t>sørøst</t>
  </si>
  <si>
    <t>vest</t>
  </si>
  <si>
    <t>midt</t>
  </si>
  <si>
    <t>nord</t>
  </si>
  <si>
    <t>Diff ny beregning - vedtak</t>
  </si>
  <si>
    <t>Diff %</t>
  </si>
  <si>
    <t>Diff hvis positiv</t>
  </si>
  <si>
    <t>Andel IR2016 Dnett</t>
  </si>
  <si>
    <t>Andel IR2016 Rnett</t>
  </si>
  <si>
    <t>Andel IR2016 Snett</t>
  </si>
  <si>
    <t>Økning Dnett</t>
  </si>
  <si>
    <t>Økning Rnett</t>
  </si>
  <si>
    <t>Økning Snett</t>
  </si>
  <si>
    <t>IR etter kal og korr for 2015-kostnadsgrunnlag</t>
  </si>
  <si>
    <t>HÅLOGALAND KRAFT NETT AS</t>
  </si>
  <si>
    <t>GLITRE ENERGI NETT AS</t>
  </si>
  <si>
    <t>MIDTKRAFT AS</t>
  </si>
  <si>
    <t>STATNETT SF</t>
  </si>
  <si>
    <t>KVIKNE-RENNEBU KRAFTLAG AS</t>
  </si>
  <si>
    <t>SODVIN SA</t>
  </si>
  <si>
    <t>VOSS ENERGI NETT AS</t>
  </si>
  <si>
    <t>DALANE NETT AS</t>
  </si>
  <si>
    <t>TROLLFJORD NETT AS</t>
  </si>
  <si>
    <t>HURUM NETT AS</t>
  </si>
  <si>
    <t>SØR-NORGE ALUMINIUM AS</t>
  </si>
  <si>
    <t>HAUGALAND KRAFT NETT AS</t>
  </si>
  <si>
    <t>ORKDAL ENERGINETT AS</t>
  </si>
  <si>
    <t>Justert tillatt inntekt fordelt på nettnivå_S_KKr</t>
  </si>
  <si>
    <t>Justert tillatt inntekt fordelt på nettnivå_R_KKr</t>
  </si>
  <si>
    <t>Justert tillatt inntekt fordelt på nettnivå_D_KKr</t>
  </si>
  <si>
    <t>selskap</t>
  </si>
  <si>
    <t>aar</t>
  </si>
  <si>
    <t>idaar</t>
  </si>
  <si>
    <t>Andel DN</t>
  </si>
  <si>
    <t>Andel RN</t>
  </si>
  <si>
    <t>Andel SN</t>
  </si>
  <si>
    <t>orgn</t>
  </si>
  <si>
    <t>TROLLFJORD KRAFT AS (Inaktiv i brreg)</t>
  </si>
  <si>
    <t>Lier Everk AS</t>
  </si>
  <si>
    <t>Rødøy-Lurøy Kraftverk AS</t>
  </si>
  <si>
    <t>SKÅNEVIK ØLEN KRAFTLAG AS</t>
  </si>
  <si>
    <t>SKL Nett AS</t>
  </si>
  <si>
    <t>Dalane energi IKS</t>
  </si>
  <si>
    <t>Hålogaland Kraft AS</t>
  </si>
  <si>
    <t>Haugaland Kraft AS</t>
  </si>
  <si>
    <t>VOSS ENERGI PRODUKSJON AS</t>
  </si>
  <si>
    <t>STATNETT ROGALAND AS</t>
  </si>
  <si>
    <t>D&amp;V-kostnader_2012</t>
  </si>
  <si>
    <t>Post 391</t>
  </si>
  <si>
    <t>Inntektsramme vedtak 16.2.2018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</si>
</sst>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* #,##0.00_ ;_ * \-#,##0.00_ ;_ * &quot;-&quot;??_ ;_ @_ "/>
    <numFmt numFmtId="165" formatCode="_(* #,##0.00_);_(* \(#,##0.00\);_(* &quot;-&quot;??_);_(@_)"/>
    <numFmt numFmtId="166" formatCode="0.0\ %"/>
    <numFmt numFmtId="167" formatCode="#,##0.000"/>
    <numFmt numFmtId="168" formatCode="0.0"/>
    <numFmt numFmtId="169" formatCode="0.0000\ %"/>
    <numFmt numFmtId="170" formatCode="_(* #,##0_);_(* \(#,##0\);_(* &quot;-&quot;??_);_(@_)"/>
    <numFmt numFmtId="171" formatCode="0.00000"/>
    <numFmt numFmtId="173" formatCode="0.000"/>
    <numFmt numFmtId="174" formatCode="#,##0.0"/>
    <numFmt numFmtId="175" formatCode="_-* #,##0_-;\-* #,##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b/>
      <sz val="12"/>
      <name val="Times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Times"/>
      <family val="1"/>
    </font>
    <font>
      <sz val="11"/>
      <color indexed="8"/>
      <name val="Calibri"/>
      <family val="2"/>
    </font>
    <font>
      <sz val="10"/>
      <name val="Times"/>
      <family val="1"/>
    </font>
    <font>
      <sz val="11"/>
      <color theme="1"/>
      <name val="Calibri"/>
      <family val="2"/>
      <scheme val="minor"/>
    </font>
    <font>
      <sz val="9.75"/>
      <color indexed="8"/>
      <name val="Times New Roman"/>
      <family val="1"/>
    </font>
    <font>
      <sz val="10"/>
      <name val="Arial"/>
      <family val="2"/>
    </font>
    <font>
      <sz val="10"/>
      <name val="Times"/>
    </font>
    <font>
      <b/>
      <sz val="10"/>
      <name val="Times"/>
    </font>
    <font>
      <sz val="10"/>
      <color rgb="FFFF0000"/>
      <name val="Arial"/>
      <family val="2"/>
    </font>
    <font>
      <sz val="18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3" fillId="13" borderId="51" applyNumberFormat="0" applyFont="0" applyAlignment="0" applyProtection="0"/>
    <xf numFmtId="0" fontId="15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3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Fill="1"/>
    <xf numFmtId="0" fontId="7" fillId="0" borderId="0" xfId="0" applyFont="1" applyFill="1"/>
    <xf numFmtId="0" fontId="7" fillId="0" borderId="0" xfId="0" applyFont="1" applyAlignment="1"/>
    <xf numFmtId="0" fontId="7" fillId="0" borderId="0" xfId="0" applyFont="1" applyFill="1" applyAlignment="1"/>
    <xf numFmtId="0" fontId="7" fillId="2" borderId="1" xfId="0" applyFont="1" applyFill="1" applyBorder="1" applyAlignment="1"/>
    <xf numFmtId="0" fontId="7" fillId="3" borderId="1" xfId="0" applyFont="1" applyFill="1" applyBorder="1" applyAlignment="1">
      <alignment horizontal="left"/>
    </xf>
    <xf numFmtId="0" fontId="8" fillId="2" borderId="1" xfId="0" applyFont="1" applyFill="1" applyBorder="1" applyAlignment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10" fontId="7" fillId="4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3" fontId="8" fillId="2" borderId="1" xfId="0" applyNumberFormat="1" applyFont="1" applyFill="1" applyBorder="1" applyAlignment="1"/>
    <xf numFmtId="0" fontId="8" fillId="3" borderId="3" xfId="0" applyFont="1" applyFill="1" applyBorder="1" applyAlignment="1"/>
    <xf numFmtId="0" fontId="8" fillId="5" borderId="3" xfId="0" applyFont="1" applyFill="1" applyBorder="1" applyAlignment="1"/>
    <xf numFmtId="0" fontId="8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3" fontId="5" fillId="0" borderId="4" xfId="0" applyNumberFormat="1" applyFont="1" applyBorder="1" applyProtection="1"/>
    <xf numFmtId="3" fontId="7" fillId="5" borderId="1" xfId="0" applyNumberFormat="1" applyFont="1" applyFill="1" applyBorder="1" applyAlignment="1"/>
    <xf numFmtId="0" fontId="8" fillId="2" borderId="1" xfId="0" applyFont="1" applyFill="1" applyBorder="1" applyAlignment="1">
      <alignment horizontal="center"/>
    </xf>
    <xf numFmtId="10" fontId="7" fillId="2" borderId="1" xfId="0" applyNumberFormat="1" applyFont="1" applyFill="1" applyBorder="1" applyAlignment="1"/>
    <xf numFmtId="0" fontId="8" fillId="3" borderId="1" xfId="0" applyFont="1" applyFill="1" applyBorder="1" applyAlignment="1"/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6" borderId="1" xfId="0" applyFont="1" applyFill="1" applyBorder="1" applyAlignment="1"/>
    <xf numFmtId="0" fontId="7" fillId="3" borderId="6" xfId="0" applyFont="1" applyFill="1" applyBorder="1" applyAlignment="1"/>
    <xf numFmtId="0" fontId="7" fillId="4" borderId="6" xfId="0" applyFont="1" applyFill="1" applyBorder="1" applyAlignment="1"/>
    <xf numFmtId="0" fontId="7" fillId="5" borderId="6" xfId="0" applyFont="1" applyFill="1" applyBorder="1" applyAlignment="1"/>
    <xf numFmtId="0" fontId="8" fillId="7" borderId="0" xfId="0" applyFont="1" applyFill="1" applyBorder="1" applyAlignment="1"/>
    <xf numFmtId="0" fontId="8" fillId="6" borderId="4" xfId="0" applyFont="1" applyFill="1" applyBorder="1" applyAlignment="1"/>
    <xf numFmtId="0" fontId="8" fillId="7" borderId="3" xfId="0" applyFont="1" applyFill="1" applyBorder="1"/>
    <xf numFmtId="0" fontId="8" fillId="7" borderId="2" xfId="0" applyFont="1" applyFill="1" applyBorder="1"/>
    <xf numFmtId="0" fontId="7" fillId="7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0" borderId="0" xfId="0" applyFont="1" applyAlignment="1"/>
    <xf numFmtId="3" fontId="5" fillId="0" borderId="1" xfId="0" applyNumberFormat="1" applyFont="1" applyBorder="1" applyProtection="1"/>
    <xf numFmtId="3" fontId="5" fillId="0" borderId="1" xfId="0" applyNumberFormat="1" applyFont="1" applyFill="1" applyBorder="1" applyProtection="1"/>
    <xf numFmtId="3" fontId="10" fillId="0" borderId="4" xfId="4" applyNumberFormat="1" applyFont="1" applyFill="1" applyBorder="1" applyAlignment="1" applyProtection="1"/>
    <xf numFmtId="3" fontId="10" fillId="0" borderId="7" xfId="4" applyNumberFormat="1" applyFont="1" applyFill="1" applyBorder="1" applyAlignment="1" applyProtection="1"/>
    <xf numFmtId="3" fontId="10" fillId="0" borderId="1" xfId="4" applyNumberFormat="1" applyFont="1" applyFill="1" applyBorder="1" applyAlignment="1" applyProtection="1">
      <alignment horizontal="right"/>
    </xf>
    <xf numFmtId="3" fontId="5" fillId="0" borderId="9" xfId="0" applyNumberFormat="1" applyFont="1" applyBorder="1" applyProtection="1"/>
    <xf numFmtId="3" fontId="5" fillId="0" borderId="7" xfId="0" applyNumberFormat="1" applyFont="1" applyBorder="1" applyProtection="1"/>
    <xf numFmtId="0" fontId="7" fillId="0" borderId="0" xfId="0" applyFont="1" applyFill="1" applyProtection="1"/>
    <xf numFmtId="0" fontId="7" fillId="0" borderId="0" xfId="0" applyFont="1" applyProtection="1"/>
    <xf numFmtId="0" fontId="5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3" fillId="2" borderId="16" xfId="0" applyFont="1" applyFill="1" applyBorder="1" applyAlignment="1" applyProtection="1">
      <alignment horizontal="center" wrapText="1"/>
    </xf>
    <xf numFmtId="0" fontId="0" fillId="2" borderId="17" xfId="0" applyFill="1" applyBorder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3" fontId="5" fillId="5" borderId="8" xfId="0" applyNumberFormat="1" applyFont="1" applyFill="1" applyBorder="1" applyAlignment="1" applyProtection="1">
      <alignment horizontal="center" wrapText="1"/>
    </xf>
    <xf numFmtId="3" fontId="5" fillId="5" borderId="18" xfId="0" applyNumberFormat="1" applyFont="1" applyFill="1" applyBorder="1" applyAlignment="1" applyProtection="1">
      <alignment horizontal="center" wrapText="1"/>
    </xf>
    <xf numFmtId="0" fontId="3" fillId="5" borderId="19" xfId="0" applyFont="1" applyFill="1" applyBorder="1" applyAlignment="1" applyProtection="1">
      <alignment horizontal="center" wrapText="1"/>
    </xf>
    <xf numFmtId="3" fontId="5" fillId="4" borderId="8" xfId="0" applyNumberFormat="1" applyFont="1" applyFill="1" applyBorder="1" applyAlignment="1" applyProtection="1">
      <alignment horizontal="center" wrapText="1"/>
    </xf>
    <xf numFmtId="3" fontId="5" fillId="4" borderId="18" xfId="0" applyNumberFormat="1" applyFont="1" applyFill="1" applyBorder="1" applyAlignment="1" applyProtection="1">
      <alignment horizontal="center" wrapText="1"/>
    </xf>
    <xf numFmtId="0" fontId="5" fillId="0" borderId="0" xfId="0" applyFont="1" applyProtection="1"/>
    <xf numFmtId="3" fontId="5" fillId="0" borderId="0" xfId="0" applyNumberFormat="1" applyFont="1" applyBorder="1" applyProtection="1"/>
    <xf numFmtId="0" fontId="5" fillId="0" borderId="0" xfId="0" applyFont="1" applyFill="1" applyProtection="1"/>
    <xf numFmtId="0" fontId="5" fillId="0" borderId="0" xfId="0" applyFont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Fill="1" applyBorder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Protection="1"/>
    <xf numFmtId="3" fontId="3" fillId="0" borderId="0" xfId="0" applyNumberFormat="1" applyFont="1" applyFill="1" applyBorder="1" applyProtection="1"/>
    <xf numFmtId="10" fontId="5" fillId="0" borderId="0" xfId="0" applyNumberFormat="1" applyFont="1" applyProtection="1"/>
    <xf numFmtId="3" fontId="5" fillId="10" borderId="12" xfId="0" applyNumberFormat="1" applyFont="1" applyFill="1" applyBorder="1" applyProtection="1"/>
    <xf numFmtId="3" fontId="5" fillId="10" borderId="13" xfId="0" applyNumberFormat="1" applyFont="1" applyFill="1" applyBorder="1" applyProtection="1"/>
    <xf numFmtId="169" fontId="5" fillId="10" borderId="15" xfId="0" applyNumberFormat="1" applyFont="1" applyFill="1" applyBorder="1" applyProtection="1"/>
    <xf numFmtId="166" fontId="3" fillId="0" borderId="0" xfId="6" applyNumberFormat="1" applyFont="1" applyFill="1" applyBorder="1" applyProtection="1"/>
    <xf numFmtId="167" fontId="3" fillId="0" borderId="0" xfId="0" applyNumberFormat="1" applyFont="1" applyFill="1" applyBorder="1" applyProtection="1"/>
    <xf numFmtId="3" fontId="3" fillId="3" borderId="18" xfId="0" applyNumberFormat="1" applyFont="1" applyFill="1" applyBorder="1" applyAlignment="1" applyProtection="1">
      <alignment horizontal="center" wrapText="1"/>
    </xf>
    <xf numFmtId="3" fontId="3" fillId="3" borderId="21" xfId="0" applyNumberFormat="1" applyFont="1" applyFill="1" applyBorder="1" applyAlignment="1" applyProtection="1">
      <alignment horizontal="center" wrapText="1"/>
    </xf>
    <xf numFmtId="169" fontId="5" fillId="0" borderId="0" xfId="0" applyNumberFormat="1" applyFont="1" applyProtection="1"/>
    <xf numFmtId="169" fontId="5" fillId="0" borderId="0" xfId="0" applyNumberFormat="1" applyFont="1" applyFill="1" applyBorder="1" applyProtection="1"/>
    <xf numFmtId="3" fontId="3" fillId="11" borderId="1" xfId="0" applyNumberFormat="1" applyFont="1" applyFill="1" applyBorder="1" applyProtection="1"/>
    <xf numFmtId="10" fontId="3" fillId="11" borderId="1" xfId="0" applyNumberFormat="1" applyFont="1" applyFill="1" applyBorder="1" applyProtection="1"/>
    <xf numFmtId="10" fontId="5" fillId="0" borderId="0" xfId="0" applyNumberFormat="1" applyFont="1" applyFill="1" applyBorder="1" applyProtection="1"/>
    <xf numFmtId="3" fontId="4" fillId="0" borderId="9" xfId="4" applyNumberFormat="1" applyFont="1" applyFill="1" applyBorder="1" applyAlignment="1" applyProtection="1"/>
    <xf numFmtId="3" fontId="4" fillId="0" borderId="4" xfId="4" applyNumberFormat="1" applyFont="1" applyFill="1" applyBorder="1" applyAlignment="1" applyProtection="1">
      <alignment horizontal="right"/>
    </xf>
    <xf numFmtId="3" fontId="4" fillId="0" borderId="25" xfId="4" applyNumberFormat="1" applyFont="1" applyFill="1" applyBorder="1" applyAlignment="1" applyProtection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10" fontId="7" fillId="0" borderId="0" xfId="6" applyNumberFormat="1" applyFont="1" applyFill="1" applyBorder="1"/>
    <xf numFmtId="0" fontId="8" fillId="0" borderId="0" xfId="0" applyFont="1" applyFill="1" applyBorder="1" applyAlignment="1"/>
    <xf numFmtId="3" fontId="10" fillId="0" borderId="11" xfId="4" applyNumberFormat="1" applyFont="1" applyFill="1" applyBorder="1" applyAlignment="1" applyProtection="1"/>
    <xf numFmtId="3" fontId="10" fillId="0" borderId="27" xfId="4" applyNumberFormat="1" applyFont="1" applyFill="1" applyBorder="1" applyAlignment="1" applyProtection="1"/>
    <xf numFmtId="0" fontId="3" fillId="2" borderId="23" xfId="0" applyFont="1" applyFill="1" applyBorder="1" applyAlignment="1" applyProtection="1">
      <alignment horizontal="center" wrapText="1"/>
    </xf>
    <xf numFmtId="0" fontId="3" fillId="2" borderId="5" xfId="0" applyFont="1" applyFill="1" applyBorder="1" applyProtection="1"/>
    <xf numFmtId="0" fontId="3" fillId="2" borderId="5" xfId="0" applyFont="1" applyFill="1" applyBorder="1" applyAlignment="1" applyProtection="1">
      <alignment horizontal="center" wrapText="1"/>
    </xf>
    <xf numFmtId="0" fontId="3" fillId="2" borderId="30" xfId="0" applyFont="1" applyFill="1" applyBorder="1" applyProtection="1"/>
    <xf numFmtId="0" fontId="3" fillId="14" borderId="5" xfId="0" applyFont="1" applyFill="1" applyBorder="1" applyAlignment="1" applyProtection="1">
      <alignment wrapText="1"/>
    </xf>
    <xf numFmtId="170" fontId="0" fillId="0" borderId="0" xfId="8" applyNumberFormat="1" applyFont="1"/>
    <xf numFmtId="3" fontId="0" fillId="0" borderId="0" xfId="0" applyNumberFormat="1" applyFill="1"/>
    <xf numFmtId="0" fontId="2" fillId="0" borderId="0" xfId="0" applyFont="1" applyBorder="1" applyProtection="1"/>
    <xf numFmtId="3" fontId="2" fillId="5" borderId="21" xfId="0" applyNumberFormat="1" applyFont="1" applyFill="1" applyBorder="1" applyAlignment="1" applyProtection="1">
      <alignment horizontal="center" wrapText="1"/>
    </xf>
    <xf numFmtId="0" fontId="2" fillId="2" borderId="31" xfId="0" applyFont="1" applyFill="1" applyBorder="1" applyProtection="1"/>
    <xf numFmtId="3" fontId="2" fillId="0" borderId="1" xfId="0" applyNumberFormat="1" applyFont="1" applyBorder="1" applyProtection="1"/>
    <xf numFmtId="0" fontId="2" fillId="2" borderId="5" xfId="0" applyFont="1" applyFill="1" applyBorder="1" applyProtection="1"/>
    <xf numFmtId="3" fontId="2" fillId="0" borderId="1" xfId="0" applyNumberFormat="1" applyFont="1" applyFill="1" applyBorder="1" applyProtection="1"/>
    <xf numFmtId="166" fontId="2" fillId="0" borderId="1" xfId="6" applyNumberFormat="1" applyFont="1" applyFill="1" applyBorder="1" applyProtection="1"/>
    <xf numFmtId="3" fontId="3" fillId="14" borderId="50" xfId="0" applyNumberFormat="1" applyFont="1" applyFill="1" applyBorder="1" applyProtection="1"/>
    <xf numFmtId="0" fontId="14" fillId="0" borderId="0" xfId="0" applyFont="1" applyFill="1" applyAlignment="1">
      <alignment wrapText="1"/>
    </xf>
    <xf numFmtId="10" fontId="5" fillId="0" borderId="0" xfId="6" applyNumberFormat="1" applyFont="1" applyProtection="1"/>
    <xf numFmtId="3" fontId="0" fillId="0" borderId="0" xfId="0" applyNumberFormat="1" applyFont="1" applyProtection="1"/>
    <xf numFmtId="171" fontId="0" fillId="0" borderId="0" xfId="0" applyNumberFormat="1" applyFill="1" applyBorder="1"/>
    <xf numFmtId="3" fontId="0" fillId="0" borderId="0" xfId="0" applyNumberFormat="1" applyFont="1" applyFill="1" applyProtection="1"/>
    <xf numFmtId="3" fontId="10" fillId="0" borderId="1" xfId="4" applyNumberFormat="1" applyFont="1" applyFill="1" applyBorder="1" applyAlignment="1" applyProtection="1"/>
    <xf numFmtId="0" fontId="17" fillId="0" borderId="0" xfId="0" applyFont="1" applyProtection="1"/>
    <xf numFmtId="0" fontId="18" fillId="0" borderId="0" xfId="0" applyFont="1" applyFill="1"/>
    <xf numFmtId="0" fontId="19" fillId="0" borderId="0" xfId="0" applyNumberFormat="1" applyFont="1" applyFill="1"/>
    <xf numFmtId="0" fontId="19" fillId="0" borderId="0" xfId="0" applyFont="1" applyFill="1" applyBorder="1"/>
    <xf numFmtId="0" fontId="19" fillId="0" borderId="0" xfId="0" applyFont="1" applyFill="1"/>
    <xf numFmtId="3" fontId="17" fillId="0" borderId="7" xfId="0" applyNumberFormat="1" applyFont="1" applyBorder="1" applyProtection="1"/>
    <xf numFmtId="3" fontId="17" fillId="0" borderId="0" xfId="0" applyNumberFormat="1" applyFont="1" applyProtection="1"/>
    <xf numFmtId="0" fontId="0" fillId="0" borderId="0" xfId="0" applyBorder="1"/>
    <xf numFmtId="3" fontId="2" fillId="19" borderId="1" xfId="0" applyNumberFormat="1" applyFont="1" applyFill="1" applyBorder="1" applyProtection="1"/>
    <xf numFmtId="3" fontId="2" fillId="16" borderId="1" xfId="0" applyNumberFormat="1" applyFont="1" applyFill="1" applyBorder="1" applyProtection="1"/>
    <xf numFmtId="168" fontId="18" fillId="0" borderId="0" xfId="6" applyNumberFormat="1" applyFont="1" applyFill="1"/>
    <xf numFmtId="0" fontId="10" fillId="20" borderId="8" xfId="5" applyFont="1" applyFill="1" applyBorder="1" applyAlignment="1" applyProtection="1">
      <alignment horizontal="center" wrapText="1"/>
    </xf>
    <xf numFmtId="0" fontId="10" fillId="18" borderId="18" xfId="5" applyFont="1" applyFill="1" applyBorder="1" applyAlignment="1" applyProtection="1">
      <alignment horizontal="center" wrapText="1"/>
    </xf>
    <xf numFmtId="0" fontId="10" fillId="20" borderId="18" xfId="5" applyFont="1" applyFill="1" applyBorder="1" applyAlignment="1" applyProtection="1">
      <alignment horizontal="center" wrapText="1"/>
    </xf>
    <xf numFmtId="0" fontId="4" fillId="20" borderId="18" xfId="5" applyFont="1" applyFill="1" applyBorder="1" applyAlignment="1" applyProtection="1">
      <alignment horizontal="center" wrapText="1"/>
    </xf>
    <xf numFmtId="0" fontId="4" fillId="20" borderId="21" xfId="5" applyFont="1" applyFill="1" applyBorder="1" applyAlignment="1" applyProtection="1">
      <alignment horizontal="center" wrapText="1"/>
    </xf>
    <xf numFmtId="0" fontId="10" fillId="20" borderId="19" xfId="5" applyFont="1" applyFill="1" applyBorder="1" applyAlignment="1" applyProtection="1">
      <alignment horizontal="center" wrapText="1"/>
    </xf>
    <xf numFmtId="0" fontId="3" fillId="17" borderId="56" xfId="0" applyFont="1" applyFill="1" applyBorder="1" applyAlignment="1" applyProtection="1">
      <alignment wrapText="1"/>
    </xf>
    <xf numFmtId="3" fontId="3" fillId="15" borderId="22" xfId="0" applyNumberFormat="1" applyFont="1" applyFill="1" applyBorder="1" applyAlignment="1" applyProtection="1">
      <alignment horizontal="center" wrapText="1"/>
    </xf>
    <xf numFmtId="0" fontId="3" fillId="17" borderId="5" xfId="0" applyFont="1" applyFill="1" applyBorder="1" applyAlignment="1" applyProtection="1">
      <alignment horizontal="center" wrapText="1"/>
    </xf>
    <xf numFmtId="0" fontId="3" fillId="17" borderId="23" xfId="0" applyFont="1" applyFill="1" applyBorder="1" applyAlignment="1" applyProtection="1">
      <alignment horizontal="center" wrapText="1"/>
    </xf>
    <xf numFmtId="3" fontId="10" fillId="0" borderId="23" xfId="4" applyNumberFormat="1" applyFont="1" applyFill="1" applyBorder="1" applyAlignment="1" applyProtection="1">
      <alignment horizontal="right"/>
    </xf>
    <xf numFmtId="3" fontId="10" fillId="0" borderId="55" xfId="4" applyNumberFormat="1" applyFont="1" applyFill="1" applyBorder="1" applyAlignment="1" applyProtection="1">
      <alignment horizontal="right"/>
    </xf>
    <xf numFmtId="3" fontId="10" fillId="0" borderId="58" xfId="4" applyNumberFormat="1" applyFont="1" applyFill="1" applyBorder="1" applyAlignment="1" applyProtection="1">
      <alignment horizontal="right"/>
    </xf>
    <xf numFmtId="3" fontId="5" fillId="0" borderId="31" xfId="0" applyNumberFormat="1" applyFont="1" applyBorder="1" applyProtection="1"/>
    <xf numFmtId="3" fontId="11" fillId="8" borderId="18" xfId="4" applyNumberFormat="1" applyFont="1" applyFill="1" applyBorder="1" applyAlignment="1" applyProtection="1"/>
    <xf numFmtId="3" fontId="11" fillId="8" borderId="21" xfId="4" applyNumberFormat="1" applyFont="1" applyFill="1" applyBorder="1" applyAlignment="1" applyProtection="1"/>
    <xf numFmtId="3" fontId="11" fillId="8" borderId="19" xfId="4" applyNumberFormat="1" applyFont="1" applyFill="1" applyBorder="1" applyAlignment="1" applyProtection="1"/>
    <xf numFmtId="3" fontId="11" fillId="8" borderId="32" xfId="4" applyNumberFormat="1" applyFont="1" applyFill="1" applyBorder="1" applyAlignment="1" applyProtection="1"/>
    <xf numFmtId="0" fontId="11" fillId="9" borderId="59" xfId="0" applyFont="1" applyFill="1" applyBorder="1" applyAlignment="1" applyProtection="1">
      <alignment horizontal="center"/>
    </xf>
    <xf numFmtId="0" fontId="11" fillId="9" borderId="60" xfId="5" applyFont="1" applyFill="1" applyBorder="1" applyAlignment="1" applyProtection="1">
      <alignment horizontal="center"/>
    </xf>
    <xf numFmtId="3" fontId="3" fillId="3" borderId="22" xfId="0" applyNumberFormat="1" applyFont="1" applyFill="1" applyBorder="1" applyAlignment="1" applyProtection="1">
      <alignment horizontal="center" wrapText="1"/>
    </xf>
    <xf numFmtId="3" fontId="5" fillId="0" borderId="4" xfId="0" applyNumberFormat="1" applyFont="1" applyFill="1" applyBorder="1" applyProtection="1"/>
    <xf numFmtId="0" fontId="0" fillId="21" borderId="4" xfId="0" applyFill="1" applyBorder="1"/>
    <xf numFmtId="0" fontId="11" fillId="9" borderId="8" xfId="0" applyFont="1" applyFill="1" applyBorder="1" applyAlignment="1" applyProtection="1">
      <alignment horizontal="center" wrapText="1"/>
    </xf>
    <xf numFmtId="0" fontId="11" fillId="9" borderId="18" xfId="5" applyFont="1" applyFill="1" applyBorder="1" applyAlignment="1" applyProtection="1">
      <alignment horizontal="center" wrapText="1"/>
    </xf>
    <xf numFmtId="0" fontId="11" fillId="9" borderId="19" xfId="5" applyFont="1" applyFill="1" applyBorder="1" applyAlignment="1" applyProtection="1">
      <alignment horizontal="center" wrapText="1"/>
    </xf>
    <xf numFmtId="0" fontId="5" fillId="5" borderId="18" xfId="0" applyFont="1" applyFill="1" applyBorder="1" applyAlignment="1" applyProtection="1">
      <alignment horizontal="center" wrapText="1"/>
    </xf>
    <xf numFmtId="3" fontId="5" fillId="5" borderId="19" xfId="0" applyNumberFormat="1" applyFont="1" applyFill="1" applyBorder="1" applyAlignment="1" applyProtection="1">
      <alignment horizontal="center" wrapText="1"/>
    </xf>
    <xf numFmtId="3" fontId="2" fillId="5" borderId="19" xfId="0" applyNumberFormat="1" applyFont="1" applyFill="1" applyBorder="1" applyAlignment="1" applyProtection="1">
      <alignment horizontal="center" wrapText="1"/>
    </xf>
    <xf numFmtId="3" fontId="5" fillId="15" borderId="18" xfId="0" applyNumberFormat="1" applyFont="1" applyFill="1" applyBorder="1" applyAlignment="1" applyProtection="1">
      <alignment horizontal="center" wrapText="1"/>
    </xf>
    <xf numFmtId="3" fontId="2" fillId="12" borderId="39" xfId="0" applyNumberFormat="1" applyFont="1" applyFill="1" applyBorder="1" applyAlignment="1" applyProtection="1">
      <alignment horizontal="center" wrapText="1"/>
    </xf>
    <xf numFmtId="3" fontId="17" fillId="5" borderId="8" xfId="0" applyNumberFormat="1" applyFont="1" applyFill="1" applyBorder="1" applyAlignment="1" applyProtection="1">
      <alignment horizontal="center" wrapText="1"/>
    </xf>
    <xf numFmtId="3" fontId="17" fillId="4" borderId="8" xfId="0" applyNumberFormat="1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center" wrapText="1"/>
    </xf>
    <xf numFmtId="3" fontId="17" fillId="0" borderId="7" xfId="0" applyNumberFormat="1" applyFont="1" applyFill="1" applyBorder="1" applyProtection="1"/>
    <xf numFmtId="3" fontId="5" fillId="0" borderId="0" xfId="0" applyNumberFormat="1" applyFont="1" applyFill="1" applyProtection="1"/>
    <xf numFmtId="3" fontId="4" fillId="19" borderId="9" xfId="4" applyNumberFormat="1" applyFont="1" applyFill="1" applyBorder="1" applyAlignment="1" applyProtection="1"/>
    <xf numFmtId="1" fontId="0" fillId="0" borderId="0" xfId="0" applyNumberFormat="1"/>
    <xf numFmtId="1" fontId="0" fillId="21" borderId="4" xfId="0" applyNumberFormat="1" applyFill="1" applyBorder="1"/>
    <xf numFmtId="3" fontId="2" fillId="22" borderId="1" xfId="0" applyNumberFormat="1" applyFont="1" applyFill="1" applyBorder="1" applyProtection="1"/>
    <xf numFmtId="1" fontId="5" fillId="0" borderId="4" xfId="0" applyNumberFormat="1" applyFont="1" applyBorder="1" applyProtection="1"/>
    <xf numFmtId="1" fontId="5" fillId="0" borderId="1" xfId="0" applyNumberFormat="1" applyFont="1" applyBorder="1" applyProtection="1"/>
    <xf numFmtId="1" fontId="5" fillId="0" borderId="1" xfId="0" applyNumberFormat="1" applyFont="1" applyFill="1" applyBorder="1" applyProtection="1"/>
    <xf numFmtId="3" fontId="2" fillId="0" borderId="0" xfId="0" applyNumberFormat="1" applyFont="1" applyProtection="1"/>
    <xf numFmtId="3" fontId="0" fillId="0" borderId="0" xfId="0" applyNumberFormat="1"/>
    <xf numFmtId="2" fontId="18" fillId="0" borderId="0" xfId="0" applyNumberFormat="1" applyFont="1" applyFill="1"/>
    <xf numFmtId="0" fontId="2" fillId="0" borderId="4" xfId="0" applyFont="1" applyBorder="1" applyProtection="1"/>
    <xf numFmtId="0" fontId="5" fillId="23" borderId="1" xfId="0" applyFont="1" applyFill="1" applyBorder="1" applyProtection="1"/>
    <xf numFmtId="0" fontId="16" fillId="0" borderId="0" xfId="0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0" fontId="2" fillId="0" borderId="0" xfId="0" applyFont="1"/>
    <xf numFmtId="173" fontId="7" fillId="0" borderId="0" xfId="0" applyNumberFormat="1" applyFont="1" applyFill="1" applyBorder="1"/>
    <xf numFmtId="2" fontId="0" fillId="21" borderId="4" xfId="0" applyNumberFormat="1" applyFill="1" applyBorder="1"/>
    <xf numFmtId="2" fontId="2" fillId="0" borderId="4" xfId="0" applyNumberFormat="1" applyFont="1" applyBorder="1" applyProtection="1"/>
    <xf numFmtId="3" fontId="21" fillId="0" borderId="0" xfId="0" applyNumberFormat="1" applyFont="1" applyAlignment="1">
      <alignment horizontal="left" vertical="center" readingOrder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right" wrapText="1"/>
    </xf>
    <xf numFmtId="170" fontId="0" fillId="0" borderId="0" xfId="8" applyNumberFormat="1" applyFont="1" applyFill="1"/>
    <xf numFmtId="0" fontId="22" fillId="0" borderId="0" xfId="0" applyFont="1" applyAlignment="1">
      <alignment wrapText="1"/>
    </xf>
    <xf numFmtId="2" fontId="0" fillId="0" borderId="0" xfId="0" applyNumberFormat="1" applyFill="1"/>
    <xf numFmtId="174" fontId="3" fillId="14" borderId="24" xfId="0" applyNumberFormat="1" applyFont="1" applyFill="1" applyBorder="1" applyProtection="1"/>
    <xf numFmtId="170" fontId="5" fillId="0" borderId="0" xfId="8" applyNumberFormat="1" applyFont="1" applyProtection="1"/>
    <xf numFmtId="0" fontId="23" fillId="0" borderId="0" xfId="10" applyFill="1" applyProtection="1"/>
    <xf numFmtId="9" fontId="23" fillId="0" borderId="0" xfId="6" applyFont="1" applyFill="1" applyProtection="1"/>
    <xf numFmtId="0" fontId="23" fillId="0" borderId="0" xfId="10" applyNumberFormat="1" applyFill="1" applyProtection="1"/>
    <xf numFmtId="170" fontId="3" fillId="23" borderId="1" xfId="8" applyNumberFormat="1" applyFont="1" applyFill="1" applyBorder="1" applyProtection="1"/>
    <xf numFmtId="166" fontId="2" fillId="0" borderId="1" xfId="6" applyNumberFormat="1" applyFont="1" applyBorder="1"/>
    <xf numFmtId="166" fontId="2" fillId="0" borderId="1" xfId="6" applyNumberFormat="1" applyFont="1" applyFill="1" applyBorder="1"/>
    <xf numFmtId="0" fontId="2" fillId="0" borderId="1" xfId="0" applyFont="1" applyBorder="1" applyAlignment="1" applyProtection="1">
      <alignment horizontal="right"/>
    </xf>
    <xf numFmtId="0" fontId="2" fillId="0" borderId="1" xfId="0" applyFont="1" applyBorder="1" applyProtection="1"/>
    <xf numFmtId="3" fontId="2" fillId="0" borderId="1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wrapText="1"/>
    </xf>
    <xf numFmtId="0" fontId="2" fillId="0" borderId="1" xfId="0" applyFont="1" applyFill="1" applyBorder="1" applyProtection="1"/>
    <xf numFmtId="9" fontId="5" fillId="0" borderId="0" xfId="6" applyFont="1" applyProtection="1"/>
    <xf numFmtId="175" fontId="5" fillId="0" borderId="0" xfId="0" applyNumberFormat="1" applyFont="1" applyProtection="1"/>
    <xf numFmtId="175" fontId="5" fillId="0" borderId="0" xfId="0" applyNumberFormat="1" applyFont="1" applyFill="1" applyProtection="1"/>
    <xf numFmtId="9" fontId="5" fillId="25" borderId="0" xfId="6" applyFont="1" applyFill="1" applyProtection="1"/>
    <xf numFmtId="0" fontId="20" fillId="0" borderId="0" xfId="0" applyFont="1" applyFill="1" applyProtection="1"/>
    <xf numFmtId="3" fontId="11" fillId="8" borderId="57" xfId="4" applyNumberFormat="1" applyFont="1" applyFill="1" applyBorder="1" applyAlignment="1" applyProtection="1"/>
    <xf numFmtId="0" fontId="10" fillId="18" borderId="23" xfId="5" applyFont="1" applyFill="1" applyBorder="1" applyAlignment="1" applyProtection="1">
      <alignment horizontal="center" wrapText="1"/>
    </xf>
    <xf numFmtId="170" fontId="5" fillId="0" borderId="0" xfId="8" applyNumberFormat="1" applyFont="1" applyBorder="1" applyProtection="1"/>
    <xf numFmtId="170" fontId="5" fillId="0" borderId="0" xfId="8" applyNumberFormat="1" applyFont="1" applyFill="1" applyBorder="1" applyProtection="1"/>
    <xf numFmtId="170" fontId="5" fillId="0" borderId="0" xfId="0" applyNumberFormat="1" applyFont="1" applyFill="1" applyProtection="1"/>
    <xf numFmtId="169" fontId="5" fillId="0" borderId="0" xfId="6" applyNumberFormat="1" applyFont="1" applyProtection="1"/>
    <xf numFmtId="170" fontId="0" fillId="0" borderId="0" xfId="0" applyNumberFormat="1"/>
    <xf numFmtId="0" fontId="20" fillId="0" borderId="0" xfId="0" applyFont="1" applyProtection="1"/>
    <xf numFmtId="10" fontId="5" fillId="10" borderId="15" xfId="0" applyNumberFormat="1" applyFont="1" applyFill="1" applyBorder="1" applyProtection="1"/>
    <xf numFmtId="0" fontId="0" fillId="0" borderId="1" xfId="0" applyBorder="1"/>
    <xf numFmtId="10" fontId="0" fillId="24" borderId="1" xfId="6" applyNumberFormat="1" applyFont="1" applyFill="1" applyBorder="1"/>
    <xf numFmtId="170" fontId="2" fillId="0" borderId="1" xfId="8" applyNumberFormat="1" applyFont="1" applyBorder="1" applyProtection="1"/>
    <xf numFmtId="164" fontId="2" fillId="0" borderId="1" xfId="0" applyNumberFormat="1" applyFont="1" applyBorder="1" applyProtection="1"/>
    <xf numFmtId="0" fontId="0" fillId="0" borderId="1" xfId="0" applyFill="1" applyBorder="1"/>
    <xf numFmtId="170" fontId="2" fillId="0" borderId="1" xfId="8" applyNumberFormat="1" applyFont="1" applyFill="1" applyBorder="1" applyProtection="1"/>
    <xf numFmtId="0" fontId="0" fillId="19" borderId="1" xfId="0" applyFill="1" applyBorder="1"/>
    <xf numFmtId="170" fontId="2" fillId="19" borderId="1" xfId="8" applyNumberFormat="1" applyFont="1" applyFill="1" applyBorder="1" applyProtection="1"/>
    <xf numFmtId="166" fontId="2" fillId="19" borderId="1" xfId="6" applyNumberFormat="1" applyFont="1" applyFill="1" applyBorder="1" applyProtection="1"/>
    <xf numFmtId="0" fontId="2" fillId="19" borderId="1" xfId="0" applyFont="1" applyFill="1" applyBorder="1" applyProtection="1"/>
    <xf numFmtId="0" fontId="0" fillId="16" borderId="1" xfId="0" applyFill="1" applyBorder="1"/>
    <xf numFmtId="166" fontId="2" fillId="16" borderId="1" xfId="6" applyNumberFormat="1" applyFont="1" applyFill="1" applyBorder="1"/>
    <xf numFmtId="0" fontId="2" fillId="16" borderId="1" xfId="0" applyFont="1" applyFill="1" applyBorder="1" applyProtection="1"/>
    <xf numFmtId="166" fontId="2" fillId="16" borderId="1" xfId="6" applyNumberFormat="1" applyFont="1" applyFill="1" applyBorder="1" applyProtection="1"/>
    <xf numFmtId="10" fontId="0" fillId="19" borderId="1" xfId="6" applyNumberFormat="1" applyFont="1" applyFill="1" applyBorder="1"/>
    <xf numFmtId="0" fontId="0" fillId="22" borderId="1" xfId="0" applyFill="1" applyBorder="1"/>
    <xf numFmtId="166" fontId="2" fillId="22" borderId="1" xfId="6" applyNumberFormat="1" applyFont="1" applyFill="1" applyBorder="1" applyProtection="1"/>
    <xf numFmtId="0" fontId="2" fillId="22" borderId="1" xfId="0" applyFont="1" applyFill="1" applyBorder="1" applyProtection="1"/>
    <xf numFmtId="10" fontId="2" fillId="16" borderId="1" xfId="6" applyNumberFormat="1" applyFont="1" applyFill="1" applyBorder="1"/>
    <xf numFmtId="10" fontId="0" fillId="22" borderId="1" xfId="6" applyNumberFormat="1" applyFont="1" applyFill="1" applyBorder="1"/>
    <xf numFmtId="0" fontId="9" fillId="7" borderId="35" xfId="0" applyFont="1" applyFill="1" applyBorder="1" applyAlignment="1">
      <alignment horizontal="center"/>
    </xf>
    <xf numFmtId="0" fontId="0" fillId="7" borderId="36" xfId="0" applyFill="1" applyBorder="1" applyAlignment="1"/>
    <xf numFmtId="0" fontId="0" fillId="7" borderId="37" xfId="0" applyFill="1" applyBorder="1" applyAlignment="1"/>
    <xf numFmtId="0" fontId="7" fillId="6" borderId="38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0" fillId="0" borderId="0" xfId="0" applyAlignment="1"/>
    <xf numFmtId="10" fontId="3" fillId="2" borderId="26" xfId="6" applyNumberFormat="1" applyFont="1" applyFill="1" applyBorder="1" applyAlignment="1" applyProtection="1">
      <alignment horizontal="center" wrapText="1"/>
    </xf>
    <xf numFmtId="10" fontId="3" fillId="2" borderId="39" xfId="6" applyNumberFormat="1" applyFont="1" applyFill="1" applyBorder="1" applyAlignment="1" applyProtection="1">
      <alignment horizontal="center" wrapText="1"/>
    </xf>
    <xf numFmtId="0" fontId="3" fillId="2" borderId="26" xfId="0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3" fontId="3" fillId="11" borderId="16" xfId="0" applyNumberFormat="1" applyFont="1" applyFill="1" applyBorder="1" applyAlignment="1" applyProtection="1">
      <alignment horizontal="left" wrapText="1"/>
    </xf>
    <xf numFmtId="3" fontId="3" fillId="11" borderId="42" xfId="0" applyNumberFormat="1" applyFont="1" applyFill="1" applyBorder="1" applyAlignment="1" applyProtection="1">
      <alignment horizontal="left" wrapText="1"/>
    </xf>
    <xf numFmtId="3" fontId="3" fillId="11" borderId="43" xfId="0" applyNumberFormat="1" applyFont="1" applyFill="1" applyBorder="1" applyAlignment="1" applyProtection="1">
      <alignment horizontal="left" wrapText="1"/>
    </xf>
    <xf numFmtId="3" fontId="3" fillId="11" borderId="44" xfId="0" applyNumberFormat="1" applyFont="1" applyFill="1" applyBorder="1" applyAlignment="1" applyProtection="1">
      <alignment horizontal="left" wrapText="1"/>
    </xf>
    <xf numFmtId="3" fontId="3" fillId="11" borderId="7" xfId="0" applyNumberFormat="1" applyFont="1" applyFill="1" applyBorder="1" applyAlignment="1" applyProtection="1">
      <alignment horizontal="left" wrapText="1"/>
    </xf>
    <xf numFmtId="3" fontId="3" fillId="11" borderId="9" xfId="0" applyNumberFormat="1" applyFont="1" applyFill="1" applyBorder="1" applyAlignment="1" applyProtection="1">
      <alignment horizontal="left" wrapText="1"/>
    </xf>
    <xf numFmtId="3" fontId="2" fillId="11" borderId="1" xfId="0" applyNumberFormat="1" applyFont="1" applyFill="1" applyBorder="1" applyAlignment="1" applyProtection="1">
      <alignment wrapText="1"/>
    </xf>
    <xf numFmtId="3" fontId="5" fillId="11" borderId="1" xfId="0" applyNumberFormat="1" applyFont="1" applyFill="1" applyBorder="1" applyAlignment="1" applyProtection="1">
      <alignment wrapText="1"/>
    </xf>
    <xf numFmtId="3" fontId="0" fillId="11" borderId="1" xfId="0" applyNumberFormat="1" applyFont="1" applyFill="1" applyBorder="1" applyAlignment="1" applyProtection="1">
      <alignment wrapText="1"/>
    </xf>
    <xf numFmtId="3" fontId="5" fillId="10" borderId="11" xfId="0" applyNumberFormat="1" applyFont="1" applyFill="1" applyBorder="1" applyAlignment="1" applyProtection="1">
      <alignment vertical="center" wrapText="1"/>
    </xf>
    <xf numFmtId="3" fontId="5" fillId="10" borderId="14" xfId="0" applyNumberFormat="1" applyFont="1" applyFill="1" applyBorder="1" applyAlignment="1" applyProtection="1">
      <alignment vertical="center" wrapText="1"/>
    </xf>
    <xf numFmtId="3" fontId="2" fillId="10" borderId="10" xfId="0" applyNumberFormat="1" applyFont="1" applyFill="1" applyBorder="1" applyAlignment="1" applyProtection="1">
      <alignment vertical="center" wrapText="1"/>
    </xf>
    <xf numFmtId="3" fontId="2" fillId="10" borderId="11" xfId="0" applyNumberFormat="1" applyFont="1" applyFill="1" applyBorder="1" applyAlignment="1" applyProtection="1">
      <alignment vertical="center" wrapText="1"/>
    </xf>
    <xf numFmtId="3" fontId="2" fillId="10" borderId="41" xfId="0" applyNumberFormat="1" applyFont="1" applyFill="1" applyBorder="1" applyAlignment="1" applyProtection="1">
      <alignment vertical="center" wrapText="1"/>
    </xf>
    <xf numFmtId="3" fontId="2" fillId="10" borderId="1" xfId="0" applyNumberFormat="1" applyFont="1" applyFill="1" applyBorder="1" applyAlignment="1" applyProtection="1">
      <alignment vertical="center" wrapText="1"/>
    </xf>
    <xf numFmtId="3" fontId="2" fillId="10" borderId="28" xfId="0" applyNumberFormat="1" applyFont="1" applyFill="1" applyBorder="1" applyAlignment="1" applyProtection="1">
      <alignment vertical="center" wrapText="1"/>
    </xf>
    <xf numFmtId="3" fontId="2" fillId="10" borderId="14" xfId="0" applyNumberFormat="1" applyFont="1" applyFill="1" applyBorder="1" applyAlignment="1" applyProtection="1">
      <alignment vertical="center" wrapText="1"/>
    </xf>
    <xf numFmtId="3" fontId="5" fillId="10" borderId="1" xfId="0" applyNumberFormat="1" applyFont="1" applyFill="1" applyBorder="1" applyAlignment="1" applyProtection="1">
      <alignment vertical="center" wrapText="1"/>
    </xf>
    <xf numFmtId="3" fontId="3" fillId="2" borderId="26" xfId="0" applyNumberFormat="1" applyFont="1" applyFill="1" applyBorder="1" applyAlignment="1" applyProtection="1">
      <alignment horizontal="center" wrapText="1"/>
    </xf>
    <xf numFmtId="0" fontId="0" fillId="0" borderId="39" xfId="0" applyBorder="1" applyAlignment="1"/>
    <xf numFmtId="0" fontId="0" fillId="0" borderId="17" xfId="0" applyBorder="1" applyAlignment="1"/>
    <xf numFmtId="0" fontId="3" fillId="2" borderId="31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3" fontId="3" fillId="10" borderId="10" xfId="0" applyNumberFormat="1" applyFont="1" applyFill="1" applyBorder="1" applyAlignment="1" applyProtection="1">
      <alignment vertical="center" wrapText="1"/>
    </xf>
    <xf numFmtId="3" fontId="3" fillId="10" borderId="41" xfId="0" applyNumberFormat="1" applyFont="1" applyFill="1" applyBorder="1" applyAlignment="1" applyProtection="1">
      <alignment vertical="center" wrapText="1"/>
    </xf>
    <xf numFmtId="3" fontId="3" fillId="10" borderId="28" xfId="0" applyNumberFormat="1" applyFont="1" applyFill="1" applyBorder="1" applyAlignment="1" applyProtection="1">
      <alignment vertical="center" wrapText="1"/>
    </xf>
    <xf numFmtId="3" fontId="5" fillId="10" borderId="27" xfId="0" applyNumberFormat="1" applyFont="1" applyFill="1" applyBorder="1" applyAlignment="1" applyProtection="1">
      <alignment vertical="center" wrapText="1"/>
    </xf>
    <xf numFmtId="3" fontId="5" fillId="10" borderId="53" xfId="0" applyNumberFormat="1" applyFont="1" applyFill="1" applyBorder="1" applyAlignment="1" applyProtection="1">
      <alignment vertical="center" wrapText="1"/>
    </xf>
    <xf numFmtId="3" fontId="5" fillId="10" borderId="45" xfId="0" applyNumberFormat="1" applyFont="1" applyFill="1" applyBorder="1" applyAlignment="1" applyProtection="1">
      <alignment vertical="center" wrapText="1"/>
    </xf>
    <xf numFmtId="3" fontId="5" fillId="10" borderId="3" xfId="0" applyNumberFormat="1" applyFont="1" applyFill="1" applyBorder="1" applyAlignment="1" applyProtection="1">
      <alignment vertical="center" wrapText="1"/>
    </xf>
    <xf numFmtId="3" fontId="5" fillId="10" borderId="38" xfId="0" applyNumberFormat="1" applyFont="1" applyFill="1" applyBorder="1" applyAlignment="1" applyProtection="1">
      <alignment vertical="center" wrapText="1"/>
    </xf>
    <xf numFmtId="3" fontId="5" fillId="10" borderId="2" xfId="0" applyNumberFormat="1" applyFont="1" applyFill="1" applyBorder="1" applyAlignment="1" applyProtection="1">
      <alignment vertical="center" wrapText="1"/>
    </xf>
    <xf numFmtId="3" fontId="5" fillId="10" borderId="29" xfId="0" applyNumberFormat="1" applyFont="1" applyFill="1" applyBorder="1" applyAlignment="1" applyProtection="1">
      <alignment vertical="center" wrapText="1"/>
    </xf>
    <xf numFmtId="3" fontId="5" fillId="10" borderId="54" xfId="0" applyNumberFormat="1" applyFont="1" applyFill="1" applyBorder="1" applyAlignment="1" applyProtection="1">
      <alignment vertical="center" wrapText="1"/>
    </xf>
    <xf numFmtId="3" fontId="5" fillId="10" borderId="46" xfId="0" applyNumberFormat="1" applyFont="1" applyFill="1" applyBorder="1" applyAlignment="1" applyProtection="1">
      <alignment vertical="center" wrapText="1"/>
    </xf>
    <xf numFmtId="3" fontId="3" fillId="2" borderId="35" xfId="0" applyNumberFormat="1" applyFont="1" applyFill="1" applyBorder="1" applyAlignment="1" applyProtection="1">
      <alignment horizontal="center" wrapText="1"/>
    </xf>
    <xf numFmtId="3" fontId="3" fillId="2" borderId="36" xfId="0" applyNumberFormat="1" applyFont="1" applyFill="1" applyBorder="1" applyAlignment="1" applyProtection="1">
      <alignment horizontal="center" wrapText="1"/>
    </xf>
    <xf numFmtId="0" fontId="0" fillId="2" borderId="36" xfId="0" applyFill="1" applyBorder="1" applyAlignment="1" applyProtection="1">
      <alignment horizontal="center" wrapText="1"/>
    </xf>
    <xf numFmtId="0" fontId="0" fillId="2" borderId="30" xfId="0" applyFill="1" applyBorder="1" applyAlignment="1" applyProtection="1">
      <alignment horizontal="center" wrapText="1"/>
    </xf>
    <xf numFmtId="0" fontId="3" fillId="2" borderId="26" xfId="0" applyFont="1" applyFill="1" applyBorder="1" applyAlignment="1" applyProtection="1">
      <alignment horizontal="center" wrapText="1"/>
    </xf>
    <xf numFmtId="0" fontId="0" fillId="0" borderId="39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39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3" fillId="17" borderId="26" xfId="0" applyFont="1" applyFill="1" applyBorder="1" applyAlignment="1" applyProtection="1">
      <alignment horizontal="center" wrapText="1"/>
    </xf>
    <xf numFmtId="0" fontId="3" fillId="17" borderId="39" xfId="0" applyFont="1" applyFill="1" applyBorder="1" applyAlignment="1">
      <alignment horizontal="center" wrapText="1"/>
    </xf>
    <xf numFmtId="0" fontId="3" fillId="17" borderId="17" xfId="0" applyFont="1" applyFill="1" applyBorder="1" applyAlignment="1">
      <alignment horizontal="center" wrapText="1"/>
    </xf>
    <xf numFmtId="0" fontId="3" fillId="5" borderId="47" xfId="0" applyFont="1" applyFill="1" applyBorder="1" applyAlignment="1" applyProtection="1"/>
    <xf numFmtId="0" fontId="2" fillId="0" borderId="49" xfId="0" applyFont="1" applyBorder="1" applyAlignment="1"/>
    <xf numFmtId="0" fontId="3" fillId="5" borderId="40" xfId="0" applyFont="1" applyFill="1" applyBorder="1" applyAlignment="1" applyProtection="1"/>
    <xf numFmtId="0" fontId="2" fillId="0" borderId="34" xfId="0" applyFont="1" applyBorder="1" applyAlignment="1" applyProtection="1"/>
    <xf numFmtId="0" fontId="2" fillId="0" borderId="48" xfId="0" applyFont="1" applyBorder="1" applyAlignment="1" applyProtection="1"/>
    <xf numFmtId="3" fontId="5" fillId="26" borderId="11" xfId="0" applyNumberFormat="1" applyFont="1" applyFill="1" applyBorder="1" applyProtection="1"/>
    <xf numFmtId="3" fontId="5" fillId="26" borderId="4" xfId="0" applyNumberFormat="1" applyFont="1" applyFill="1" applyBorder="1" applyProtection="1"/>
    <xf numFmtId="3" fontId="11" fillId="27" borderId="18" xfId="4" applyNumberFormat="1" applyFont="1" applyFill="1" applyBorder="1" applyAlignment="1" applyProtection="1"/>
    <xf numFmtId="0" fontId="11" fillId="9" borderId="20" xfId="0" applyFont="1" applyFill="1" applyBorder="1" applyAlignment="1" applyProtection="1">
      <alignment horizontal="center" vertical="center" wrapText="1"/>
    </xf>
    <xf numFmtId="0" fontId="11" fillId="9" borderId="33" xfId="5" applyFont="1" applyFill="1" applyBorder="1" applyAlignment="1" applyProtection="1">
      <alignment horizontal="center" vertical="center" wrapText="1"/>
    </xf>
    <xf numFmtId="3" fontId="3" fillId="3" borderId="61" xfId="0" applyNumberFormat="1" applyFont="1" applyFill="1" applyBorder="1" applyAlignment="1" applyProtection="1">
      <alignment horizontal="center" vertical="center" wrapText="1"/>
    </xf>
    <xf numFmtId="3" fontId="3" fillId="3" borderId="52" xfId="0" applyNumberFormat="1" applyFont="1" applyFill="1" applyBorder="1" applyAlignment="1" applyProtection="1">
      <alignment horizontal="center" vertical="center" wrapText="1"/>
    </xf>
    <xf numFmtId="3" fontId="3" fillId="3" borderId="6" xfId="0" applyNumberFormat="1" applyFont="1" applyFill="1" applyBorder="1" applyAlignment="1" applyProtection="1">
      <alignment horizontal="center" vertical="center" wrapText="1"/>
    </xf>
    <xf numFmtId="3" fontId="3" fillId="3" borderId="43" xfId="0" applyNumberFormat="1" applyFont="1" applyFill="1" applyBorder="1" applyAlignment="1" applyProtection="1">
      <alignment horizontal="center" vertical="center" wrapText="1"/>
    </xf>
    <xf numFmtId="3" fontId="3" fillId="3" borderId="4" xfId="0" applyNumberFormat="1" applyFont="1" applyFill="1" applyBorder="1" applyAlignment="1" applyProtection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3" fontId="3" fillId="4" borderId="18" xfId="0" applyNumberFormat="1" applyFont="1" applyFill="1" applyBorder="1" applyAlignment="1" applyProtection="1">
      <alignment horizontal="center" vertical="center" wrapText="1"/>
    </xf>
    <xf numFmtId="3" fontId="3" fillId="3" borderId="18" xfId="0" applyNumberFormat="1" applyFont="1" applyFill="1" applyBorder="1" applyAlignment="1" applyProtection="1">
      <alignment horizontal="center" vertical="center" wrapText="1"/>
    </xf>
    <xf numFmtId="3" fontId="3" fillId="26" borderId="18" xfId="0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26" borderId="1" xfId="0" applyFont="1" applyFill="1" applyBorder="1" applyAlignment="1" applyProtection="1">
      <alignment horizontal="center" vertical="center" wrapText="1"/>
    </xf>
    <xf numFmtId="175" fontId="5" fillId="26" borderId="1" xfId="0" applyNumberFormat="1" applyFont="1" applyFill="1" applyBorder="1" applyProtection="1"/>
  </cellXfs>
  <cellStyles count="13">
    <cellStyle name="Komma" xfId="8" builtinId="3"/>
    <cellStyle name="Merknad 2" xfId="1"/>
    <cellStyle name="Normal" xfId="0" builtinId="0"/>
    <cellStyle name="Normal 2" xfId="2"/>
    <cellStyle name="Normal 3" xfId="3"/>
    <cellStyle name="Normal 4" xfId="10"/>
    <cellStyle name="Normal 5" xfId="11"/>
    <cellStyle name="Normal_Ark1" xfId="4"/>
    <cellStyle name="Normal_IRData" xfId="5"/>
    <cellStyle name="Prosent" xfId="6" builtinId="5"/>
    <cellStyle name="Prosent 2" xfId="7"/>
    <cellStyle name="Prosent 3" xfId="12"/>
    <cellStyle name="Tusenskille 2" xfId="9"/>
  </cellStyles>
  <dxfs count="5"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/>
  <colors>
    <mruColors>
      <color rgb="FF856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9525</xdr:rowOff>
    </xdr:from>
    <xdr:to>
      <xdr:col>0</xdr:col>
      <xdr:colOff>3352800</xdr:colOff>
      <xdr:row>8</xdr:row>
      <xdr:rowOff>0</xdr:rowOff>
    </xdr:to>
    <xdr:pic>
      <xdr:nvPicPr>
        <xdr:cNvPr id="20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1323975"/>
          <a:ext cx="32575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K127" totalsRowShown="0">
  <autoFilter ref="A1:K127"/>
  <sortState ref="A2:K127">
    <sortCondition ref="D1:D127"/>
  </sortState>
  <tableColumns count="11">
    <tableColumn id="2" name="orgn"/>
    <tableColumn id="13" name="idaar" dataDxfId="4" dataCellStyle="Normal 4"/>
    <tableColumn id="3" name="aar"/>
    <tableColumn id="4" name="selskap"/>
    <tableColumn id="5" name="Justert tillatt inntekt fordelt på nettnivå_D_KKr"/>
    <tableColumn id="6" name="Justert tillatt inntekt fordelt på nettnivå_R_KKr"/>
    <tableColumn id="7" name="Justert tillatt inntekt fordelt på nettnivå_S_KKr"/>
    <tableColumn id="8" name="Sum IR" dataDxfId="3" dataCellStyle="Normal 4">
      <calculatedColumnFormula>SUM(Table1[[#This Row],[Justert tillatt inntekt fordelt på nettnivå_D_KKr]:[Justert tillatt inntekt fordelt på nettnivå_S_KKr]])</calculatedColumnFormula>
    </tableColumn>
    <tableColumn id="9" name="Andel DN" dataDxfId="2" dataCellStyle="Prosent">
      <calculatedColumnFormula>Table1[[#This Row],[Justert tillatt inntekt fordelt på nettnivå_D_KKr]]/Table1[[#This Row],[Sum IR]]</calculatedColumnFormula>
    </tableColumn>
    <tableColumn id="10" name="Andel RN" dataDxfId="1" dataCellStyle="Prosent">
      <calculatedColumnFormula>Table1[[#This Row],[Justert tillatt inntekt fordelt på nettnivå_R_KKr]]/Table1[[#This Row],[Sum IR]]</calculatedColumnFormula>
    </tableColumn>
    <tableColumn id="11" name="Andel SN" dataDxfId="0" dataCellStyle="Prosent">
      <calculatedColumnFormula>Table1[[#This Row],[Justert tillatt inntekt fordelt på nettnivå_S_KKr]]/Table1[[#This Row],[Sum IR]]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workbookViewId="0">
      <selection activeCell="E18" sqref="E18"/>
    </sheetView>
  </sheetViews>
  <sheetFormatPr baseColWidth="10" defaultColWidth="10.85546875" defaultRowHeight="12.75" x14ac:dyDescent="0.2"/>
  <cols>
    <col min="1" max="1" width="32" style="3" customWidth="1"/>
    <col min="2" max="2" width="12.42578125" style="40" customWidth="1"/>
    <col min="3" max="3" width="131.85546875" style="3" customWidth="1"/>
    <col min="4" max="16384" width="10.85546875" style="3"/>
  </cols>
  <sheetData>
    <row r="1" spans="1:3" ht="27.75" customHeight="1" x14ac:dyDescent="0.25">
      <c r="A1" s="231" t="s">
        <v>117</v>
      </c>
      <c r="B1" s="232"/>
      <c r="C1" s="233"/>
    </row>
    <row r="2" spans="1:3" s="4" customFormat="1" ht="18" customHeight="1" x14ac:dyDescent="0.2">
      <c r="A2" s="34" t="s">
        <v>104</v>
      </c>
      <c r="B2" s="35"/>
      <c r="C2" s="36" t="s">
        <v>66</v>
      </c>
    </row>
    <row r="3" spans="1:3" s="4" customFormat="1" ht="20.25" customHeight="1" x14ac:dyDescent="0.2">
      <c r="A3" s="33" t="s">
        <v>302</v>
      </c>
      <c r="B3" s="32"/>
      <c r="C3" s="11"/>
    </row>
    <row r="4" spans="1:3" ht="13.5" x14ac:dyDescent="0.25">
      <c r="A4" s="26"/>
      <c r="B4" s="12" t="s">
        <v>70</v>
      </c>
      <c r="C4" s="12" t="s">
        <v>71</v>
      </c>
    </row>
    <row r="5" spans="1:3" x14ac:dyDescent="0.2">
      <c r="A5" s="27"/>
      <c r="B5" s="13" t="s">
        <v>72</v>
      </c>
      <c r="C5" s="7" t="s">
        <v>85</v>
      </c>
    </row>
    <row r="6" spans="1:3" x14ac:dyDescent="0.2">
      <c r="A6" s="27"/>
      <c r="B6" s="13" t="s">
        <v>73</v>
      </c>
      <c r="C6" s="7" t="s">
        <v>84</v>
      </c>
    </row>
    <row r="7" spans="1:3" x14ac:dyDescent="0.2">
      <c r="A7" s="27"/>
      <c r="B7" s="13" t="s">
        <v>100</v>
      </c>
      <c r="C7" s="14" t="s">
        <v>45</v>
      </c>
    </row>
    <row r="8" spans="1:3" x14ac:dyDescent="0.2">
      <c r="A8" s="27"/>
      <c r="B8" s="13" t="s">
        <v>149</v>
      </c>
      <c r="C8" s="14" t="s">
        <v>309</v>
      </c>
    </row>
    <row r="9" spans="1:3" x14ac:dyDescent="0.2">
      <c r="A9" s="27"/>
      <c r="B9" s="13" t="s">
        <v>150</v>
      </c>
      <c r="C9" s="14" t="s">
        <v>310</v>
      </c>
    </row>
    <row r="10" spans="1:3" x14ac:dyDescent="0.2">
      <c r="A10" s="28"/>
      <c r="B10" s="234" t="s">
        <v>303</v>
      </c>
      <c r="C10" s="235"/>
    </row>
    <row r="11" spans="1:3" x14ac:dyDescent="0.2">
      <c r="A11" s="29"/>
      <c r="B11" s="37" t="s">
        <v>74</v>
      </c>
      <c r="C11" s="6" t="s">
        <v>67</v>
      </c>
    </row>
    <row r="12" spans="1:3" x14ac:dyDescent="0.2">
      <c r="A12" s="29"/>
      <c r="B12" s="37" t="s">
        <v>83</v>
      </c>
      <c r="C12" s="6" t="s">
        <v>151</v>
      </c>
    </row>
    <row r="13" spans="1:3" x14ac:dyDescent="0.2">
      <c r="A13" s="29"/>
      <c r="B13" s="37" t="s">
        <v>75</v>
      </c>
      <c r="C13" s="6" t="s">
        <v>68</v>
      </c>
    </row>
    <row r="14" spans="1:3" x14ac:dyDescent="0.2">
      <c r="A14" s="29"/>
      <c r="B14" s="37" t="s">
        <v>76</v>
      </c>
      <c r="C14" s="6" t="s">
        <v>27</v>
      </c>
    </row>
    <row r="15" spans="1:3" x14ac:dyDescent="0.2">
      <c r="A15" s="29"/>
      <c r="B15" s="37" t="s">
        <v>77</v>
      </c>
      <c r="C15" s="6" t="s">
        <v>28</v>
      </c>
    </row>
    <row r="16" spans="1:3" x14ac:dyDescent="0.2">
      <c r="A16" s="29"/>
      <c r="B16" s="37" t="s">
        <v>78</v>
      </c>
      <c r="C16" s="6" t="s">
        <v>90</v>
      </c>
    </row>
    <row r="17" spans="1:3" x14ac:dyDescent="0.2">
      <c r="A17" s="29"/>
      <c r="B17" s="37" t="s">
        <v>79</v>
      </c>
      <c r="C17" s="6" t="s">
        <v>44</v>
      </c>
    </row>
    <row r="18" spans="1:3" x14ac:dyDescent="0.2">
      <c r="A18" s="29"/>
      <c r="B18" s="37" t="s">
        <v>80</v>
      </c>
      <c r="C18" s="6" t="s">
        <v>91</v>
      </c>
    </row>
    <row r="19" spans="1:3" x14ac:dyDescent="0.2">
      <c r="A19" s="29"/>
      <c r="B19" s="37" t="s">
        <v>81</v>
      </c>
      <c r="C19" s="6" t="s">
        <v>99</v>
      </c>
    </row>
    <row r="20" spans="1:3" x14ac:dyDescent="0.2">
      <c r="A20" s="29"/>
      <c r="B20" s="37" t="s">
        <v>82</v>
      </c>
      <c r="C20" s="6" t="s">
        <v>29</v>
      </c>
    </row>
    <row r="21" spans="1:3" x14ac:dyDescent="0.2">
      <c r="A21" s="29"/>
      <c r="B21" s="37" t="s">
        <v>105</v>
      </c>
      <c r="C21" s="6" t="s">
        <v>31</v>
      </c>
    </row>
    <row r="22" spans="1:3" x14ac:dyDescent="0.2">
      <c r="A22" s="29"/>
      <c r="B22" s="37" t="s">
        <v>106</v>
      </c>
      <c r="C22" s="6" t="s">
        <v>152</v>
      </c>
    </row>
    <row r="23" spans="1:3" x14ac:dyDescent="0.2">
      <c r="A23" s="29"/>
      <c r="B23" s="37" t="s">
        <v>107</v>
      </c>
      <c r="C23" s="6" t="s">
        <v>2</v>
      </c>
    </row>
    <row r="24" spans="1:3" x14ac:dyDescent="0.2">
      <c r="A24" s="29"/>
      <c r="B24" s="37" t="s">
        <v>108</v>
      </c>
      <c r="C24" s="6" t="s">
        <v>62</v>
      </c>
    </row>
    <row r="25" spans="1:3" x14ac:dyDescent="0.2">
      <c r="A25" s="29"/>
      <c r="B25" s="37" t="s">
        <v>109</v>
      </c>
      <c r="C25" s="6" t="s">
        <v>63</v>
      </c>
    </row>
    <row r="26" spans="1:3" x14ac:dyDescent="0.2">
      <c r="A26" s="28"/>
      <c r="B26" s="234" t="s">
        <v>304</v>
      </c>
      <c r="C26" s="235"/>
    </row>
    <row r="27" spans="1:3" x14ac:dyDescent="0.2">
      <c r="A27" s="30"/>
      <c r="B27" s="38" t="s">
        <v>110</v>
      </c>
      <c r="C27" s="8" t="s">
        <v>3</v>
      </c>
    </row>
    <row r="28" spans="1:3" x14ac:dyDescent="0.2">
      <c r="A28" s="30"/>
      <c r="B28" s="38" t="s">
        <v>111</v>
      </c>
      <c r="C28" s="9" t="s">
        <v>12</v>
      </c>
    </row>
    <row r="29" spans="1:3" x14ac:dyDescent="0.2">
      <c r="A29" s="30"/>
      <c r="B29" s="38" t="s">
        <v>112</v>
      </c>
      <c r="C29" s="9" t="s">
        <v>154</v>
      </c>
    </row>
    <row r="30" spans="1:3" x14ac:dyDescent="0.2">
      <c r="A30" s="30"/>
      <c r="B30" s="38" t="s">
        <v>113</v>
      </c>
      <c r="C30" s="9" t="s">
        <v>20</v>
      </c>
    </row>
    <row r="31" spans="1:3" x14ac:dyDescent="0.2">
      <c r="A31" s="30"/>
      <c r="B31" s="38" t="s">
        <v>114</v>
      </c>
      <c r="C31" s="9" t="s">
        <v>21</v>
      </c>
    </row>
    <row r="32" spans="1:3" x14ac:dyDescent="0.2">
      <c r="A32" s="10"/>
      <c r="B32" s="38" t="s">
        <v>115</v>
      </c>
      <c r="C32" s="10" t="s">
        <v>22</v>
      </c>
    </row>
    <row r="33" spans="1:3" x14ac:dyDescent="0.2">
      <c r="A33" s="31"/>
      <c r="B33" s="39" t="s">
        <v>116</v>
      </c>
      <c r="C33" s="22" t="s">
        <v>13</v>
      </c>
    </row>
    <row r="34" spans="1:3" x14ac:dyDescent="0.2">
      <c r="A34" s="31"/>
      <c r="B34" s="39" t="s">
        <v>92</v>
      </c>
      <c r="C34" s="22" t="s">
        <v>305</v>
      </c>
    </row>
    <row r="35" spans="1:3" x14ac:dyDescent="0.2">
      <c r="A35" s="31"/>
      <c r="B35" s="39" t="s">
        <v>93</v>
      </c>
      <c r="C35" s="22" t="s">
        <v>14</v>
      </c>
    </row>
    <row r="36" spans="1:3" x14ac:dyDescent="0.2">
      <c r="A36" s="31"/>
      <c r="B36" s="39" t="s">
        <v>153</v>
      </c>
      <c r="C36" s="22" t="s">
        <v>15</v>
      </c>
    </row>
    <row r="37" spans="1:3" ht="21" customHeight="1" x14ac:dyDescent="0.2">
      <c r="A37" s="25" t="s">
        <v>306</v>
      </c>
      <c r="B37" s="23"/>
      <c r="C37" s="24" t="s">
        <v>307</v>
      </c>
    </row>
    <row r="38" spans="1:3" ht="16.5" customHeight="1" x14ac:dyDescent="0.2">
      <c r="A38" s="15" t="s">
        <v>60</v>
      </c>
      <c r="B38" s="7"/>
      <c r="C38" s="5" t="s">
        <v>308</v>
      </c>
    </row>
    <row r="39" spans="1:3" x14ac:dyDescent="0.2">
      <c r="A39" s="16" t="s">
        <v>16</v>
      </c>
      <c r="B39" s="7"/>
      <c r="C39" s="5" t="s">
        <v>157</v>
      </c>
    </row>
    <row r="40" spans="1:3" x14ac:dyDescent="0.2">
      <c r="A40" s="16" t="s">
        <v>158</v>
      </c>
      <c r="B40" s="7"/>
      <c r="C40" s="5" t="s">
        <v>155</v>
      </c>
    </row>
    <row r="41" spans="1:3" x14ac:dyDescent="0.2">
      <c r="A41" s="16" t="s">
        <v>0</v>
      </c>
      <c r="B41" s="5"/>
      <c r="C41" s="5" t="s">
        <v>36</v>
      </c>
    </row>
    <row r="42" spans="1:3" x14ac:dyDescent="0.2">
      <c r="A42" s="16" t="s">
        <v>159</v>
      </c>
      <c r="B42" s="5"/>
      <c r="C42" s="5" t="s">
        <v>156</v>
      </c>
    </row>
  </sheetData>
  <mergeCells count="3">
    <mergeCell ref="A1:C1"/>
    <mergeCell ref="B10:C10"/>
    <mergeCell ref="B26:C26"/>
  </mergeCells>
  <phoneticPr fontId="6" type="noConversion"/>
  <pageMargins left="0.78740157499999996" right="0.78740157499999996" top="0.984251969" bottom="0.984251969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M30"/>
  <sheetViews>
    <sheetView workbookViewId="0">
      <selection activeCell="C14" sqref="C14:C18"/>
    </sheetView>
  </sheetViews>
  <sheetFormatPr baseColWidth="10" defaultColWidth="10.85546875" defaultRowHeight="12.75" x14ac:dyDescent="0.2"/>
  <cols>
    <col min="1" max="1" width="52.42578125" style="1" customWidth="1"/>
    <col min="2" max="2" width="9" style="1" customWidth="1"/>
    <col min="3" max="3" width="9.85546875" style="1" customWidth="1"/>
    <col min="4" max="6" width="9.140625" style="1" customWidth="1"/>
    <col min="7" max="16384" width="10.85546875" style="1"/>
  </cols>
  <sheetData>
    <row r="1" spans="1:12" ht="27" customHeight="1" x14ac:dyDescent="0.2">
      <c r="A1" s="17" t="s">
        <v>192</v>
      </c>
      <c r="B1" s="2"/>
      <c r="C1" s="2"/>
    </row>
    <row r="2" spans="1:12" x14ac:dyDescent="0.2">
      <c r="A2" s="107"/>
      <c r="B2" s="2"/>
      <c r="C2" s="2"/>
    </row>
    <row r="3" spans="1:12" x14ac:dyDescent="0.2">
      <c r="A3" s="85"/>
      <c r="B3" s="85"/>
      <c r="C3" s="85"/>
      <c r="G3" s="182"/>
      <c r="H3" s="182"/>
      <c r="I3" s="182"/>
      <c r="J3" s="182"/>
      <c r="K3" s="182"/>
      <c r="L3" s="182"/>
    </row>
    <row r="4" spans="1:12" x14ac:dyDescent="0.2">
      <c r="A4" s="86" t="s">
        <v>122</v>
      </c>
      <c r="B4" s="85">
        <v>0.6</v>
      </c>
      <c r="C4" s="87"/>
      <c r="D4" s="2"/>
      <c r="G4" s="179"/>
      <c r="H4" s="179"/>
      <c r="I4" s="179"/>
      <c r="J4" s="179"/>
      <c r="K4" s="179"/>
      <c r="L4" s="179"/>
    </row>
    <row r="5" spans="1:12" x14ac:dyDescent="0.2">
      <c r="A5" s="86"/>
      <c r="B5" s="85"/>
      <c r="C5" s="87"/>
      <c r="D5" s="2"/>
      <c r="G5" s="180"/>
      <c r="H5" s="180"/>
      <c r="I5" s="180"/>
      <c r="J5" s="180"/>
      <c r="K5" s="180"/>
      <c r="L5" s="180"/>
    </row>
    <row r="6" spans="1:12" x14ac:dyDescent="0.2">
      <c r="A6" s="86" t="s">
        <v>87</v>
      </c>
      <c r="B6" s="88">
        <v>6.1199999999999997E-2</v>
      </c>
      <c r="C6" s="87"/>
      <c r="D6" s="2"/>
      <c r="G6" s="180"/>
      <c r="H6" s="180"/>
      <c r="I6" s="180"/>
      <c r="J6" s="180"/>
      <c r="K6" s="180"/>
      <c r="L6" s="180"/>
    </row>
    <row r="7" spans="1:12" x14ac:dyDescent="0.2">
      <c r="A7" s="236"/>
      <c r="B7" s="88"/>
      <c r="C7" s="87"/>
      <c r="D7" s="2"/>
      <c r="G7" s="180"/>
      <c r="H7" s="180"/>
      <c r="I7" s="180"/>
      <c r="J7" s="180"/>
      <c r="K7" s="180"/>
      <c r="L7" s="180"/>
    </row>
    <row r="8" spans="1:12" x14ac:dyDescent="0.2">
      <c r="A8" s="236"/>
      <c r="B8" s="88"/>
      <c r="C8" s="110"/>
      <c r="D8" s="2"/>
      <c r="G8" s="180"/>
      <c r="H8" s="180"/>
      <c r="I8" s="180"/>
      <c r="J8" s="180"/>
      <c r="K8" s="180"/>
      <c r="L8" s="180"/>
    </row>
    <row r="9" spans="1:12" x14ac:dyDescent="0.2">
      <c r="A9" s="85" t="s">
        <v>312</v>
      </c>
      <c r="B9" s="88"/>
      <c r="C9" s="87"/>
      <c r="D9" s="2"/>
      <c r="G9" s="180"/>
      <c r="H9" s="180"/>
      <c r="I9" s="180"/>
      <c r="J9" s="180"/>
      <c r="K9" s="180"/>
      <c r="L9" s="180"/>
    </row>
    <row r="10" spans="1:12" x14ac:dyDescent="0.2">
      <c r="A10" s="85" t="s">
        <v>313</v>
      </c>
      <c r="B10" s="88"/>
      <c r="C10" s="87"/>
      <c r="D10" s="2"/>
      <c r="G10" s="180"/>
      <c r="H10" s="180"/>
      <c r="I10" s="180"/>
      <c r="J10" s="180"/>
      <c r="K10" s="180"/>
      <c r="L10" s="180"/>
    </row>
    <row r="11" spans="1:12" x14ac:dyDescent="0.2">
      <c r="A11" s="85" t="s">
        <v>314</v>
      </c>
      <c r="B11" s="88"/>
      <c r="C11" s="87"/>
      <c r="D11" s="2"/>
      <c r="G11" s="180"/>
      <c r="H11" s="180"/>
      <c r="I11" s="180"/>
      <c r="J11" s="180"/>
      <c r="K11" s="180"/>
      <c r="L11" s="180"/>
    </row>
    <row r="12" spans="1:12" x14ac:dyDescent="0.2">
      <c r="A12" s="85" t="s">
        <v>311</v>
      </c>
      <c r="B12" s="88"/>
      <c r="C12" s="87"/>
      <c r="D12" s="2"/>
      <c r="G12" s="180"/>
      <c r="H12" s="180"/>
      <c r="I12" s="180"/>
      <c r="J12" s="180"/>
      <c r="K12" s="180"/>
      <c r="L12" s="180"/>
    </row>
    <row r="13" spans="1:12" x14ac:dyDescent="0.2">
      <c r="A13" s="86" t="s">
        <v>40</v>
      </c>
      <c r="B13" s="85"/>
      <c r="C13" s="87"/>
      <c r="D13" s="2"/>
      <c r="G13" s="180"/>
      <c r="H13" s="180"/>
      <c r="I13" s="180"/>
      <c r="J13" s="180"/>
      <c r="K13" s="180"/>
      <c r="L13" s="180"/>
    </row>
    <row r="14" spans="1:12" x14ac:dyDescent="0.2">
      <c r="A14" s="85"/>
      <c r="B14" s="1" t="s">
        <v>326</v>
      </c>
      <c r="C14" s="183">
        <v>286.91705398068865</v>
      </c>
      <c r="D14" t="s">
        <v>332</v>
      </c>
      <c r="G14" s="180"/>
      <c r="H14" s="180"/>
      <c r="I14" s="180"/>
      <c r="J14" s="180"/>
      <c r="K14" s="180"/>
      <c r="L14" s="180"/>
    </row>
    <row r="15" spans="1:12" x14ac:dyDescent="0.2">
      <c r="B15" s="1" t="s">
        <v>327</v>
      </c>
      <c r="C15" s="183">
        <v>284.78049311845791</v>
      </c>
      <c r="D15" t="s">
        <v>331</v>
      </c>
      <c r="G15" s="180"/>
      <c r="H15" s="180"/>
      <c r="I15" s="180"/>
      <c r="J15" s="180"/>
      <c r="K15" s="180"/>
      <c r="L15" s="180"/>
    </row>
    <row r="16" spans="1:12" x14ac:dyDescent="0.2">
      <c r="B16" s="1" t="s">
        <v>328</v>
      </c>
      <c r="C16" s="183">
        <v>290.33327364743718</v>
      </c>
      <c r="D16" t="s">
        <v>334</v>
      </c>
      <c r="G16" s="180"/>
      <c r="H16" s="180"/>
      <c r="I16" s="180"/>
      <c r="J16" s="180"/>
      <c r="K16" s="180"/>
      <c r="L16" s="180"/>
    </row>
    <row r="17" spans="1:13" x14ac:dyDescent="0.2">
      <c r="B17" s="1" t="s">
        <v>329</v>
      </c>
      <c r="C17" s="183">
        <v>257.06098226074056</v>
      </c>
      <c r="D17" t="s">
        <v>335</v>
      </c>
    </row>
    <row r="18" spans="1:13" x14ac:dyDescent="0.2">
      <c r="B18" s="1" t="s">
        <v>330</v>
      </c>
      <c r="C18" s="183">
        <v>284.74774192706059</v>
      </c>
      <c r="D18" t="s">
        <v>333</v>
      </c>
    </row>
    <row r="19" spans="1:13" x14ac:dyDescent="0.2">
      <c r="I19" s="181"/>
      <c r="J19" s="181"/>
      <c r="K19" s="181"/>
      <c r="L19" s="181"/>
      <c r="M19" s="181"/>
    </row>
    <row r="20" spans="1:13" x14ac:dyDescent="0.2">
      <c r="A20" s="86" t="s">
        <v>118</v>
      </c>
      <c r="B20" s="89" t="s">
        <v>119</v>
      </c>
      <c r="C20" s="89" t="s">
        <v>120</v>
      </c>
      <c r="I20" s="181"/>
      <c r="J20" s="181"/>
      <c r="K20" s="181"/>
      <c r="L20" s="181"/>
      <c r="M20" s="181"/>
    </row>
    <row r="21" spans="1:13" x14ac:dyDescent="0.2">
      <c r="A21" s="85"/>
      <c r="B21" s="18">
        <v>2015</v>
      </c>
      <c r="C21" s="85">
        <v>100</v>
      </c>
    </row>
    <row r="22" spans="1:13" ht="13.5" customHeight="1" x14ac:dyDescent="0.2">
      <c r="A22" s="85"/>
      <c r="B22" s="18"/>
      <c r="C22" s="85"/>
    </row>
    <row r="23" spans="1:13" x14ac:dyDescent="0.2">
      <c r="A23" s="85"/>
      <c r="B23" s="18">
        <v>2017</v>
      </c>
      <c r="C23" s="85">
        <v>105.5</v>
      </c>
    </row>
    <row r="24" spans="1:13" x14ac:dyDescent="0.2">
      <c r="A24" s="89" t="s">
        <v>121</v>
      </c>
      <c r="B24" s="85"/>
      <c r="C24" s="175">
        <f>C23/C21</f>
        <v>1.0549999999999999</v>
      </c>
    </row>
    <row r="25" spans="1:13" x14ac:dyDescent="0.2">
      <c r="A25" s="19"/>
      <c r="B25" s="20"/>
      <c r="C25" s="98"/>
    </row>
    <row r="26" spans="1:13" x14ac:dyDescent="0.2">
      <c r="A26" s="116" t="s">
        <v>143</v>
      </c>
      <c r="B26" s="85"/>
      <c r="C26" s="115"/>
    </row>
    <row r="27" spans="1:13" x14ac:dyDescent="0.2">
      <c r="A27" s="116"/>
      <c r="B27" s="85">
        <v>2015</v>
      </c>
      <c r="C27" s="123">
        <v>100</v>
      </c>
    </row>
    <row r="28" spans="1:13" x14ac:dyDescent="0.2">
      <c r="A28" s="114"/>
      <c r="B28" s="85"/>
      <c r="C28" s="123"/>
    </row>
    <row r="29" spans="1:13" x14ac:dyDescent="0.2">
      <c r="A29" s="114"/>
      <c r="B29" s="85">
        <v>2017</v>
      </c>
      <c r="C29" s="123">
        <v>105.8</v>
      </c>
    </row>
    <row r="30" spans="1:13" x14ac:dyDescent="0.2">
      <c r="A30" s="117" t="s">
        <v>144</v>
      </c>
      <c r="C30" s="169">
        <f>C29/C27</f>
        <v>1.0580000000000001</v>
      </c>
    </row>
  </sheetData>
  <mergeCells count="1">
    <mergeCell ref="A7:A8"/>
  </mergeCells>
  <phoneticPr fontId="6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G167"/>
  <sheetViews>
    <sheetView zoomScaleNormal="100" zoomScaleSheetLayoutView="100" workbookViewId="0">
      <pane xSplit="2" ySplit="2" topLeftCell="C3" activePane="bottomRight" state="frozen"/>
      <selection activeCell="C2" sqref="C2"/>
      <selection pane="topRight" activeCell="C2" sqref="C2"/>
      <selection pane="bottomLeft" activeCell="C2" sqref="C2"/>
      <selection pane="bottomRight" activeCell="AE144" sqref="AE144"/>
    </sheetView>
  </sheetViews>
  <sheetFormatPr baseColWidth="10" defaultColWidth="10.85546875" defaultRowHeight="12.75" x14ac:dyDescent="0.2"/>
  <cols>
    <col min="1" max="1" width="9.42578125" style="60" customWidth="1"/>
    <col min="2" max="2" width="36.140625" style="60" customWidth="1"/>
    <col min="3" max="4" width="11.5703125" style="67" customWidth="1"/>
    <col min="5" max="5" width="12.85546875" style="67" bestFit="1" customWidth="1"/>
    <col min="6" max="6" width="11.5703125" style="67" customWidth="1"/>
    <col min="7" max="7" width="11.85546875" style="67" customWidth="1"/>
    <col min="8" max="8" width="11" style="67" customWidth="1"/>
    <col min="9" max="10" width="10.85546875" style="67" customWidth="1"/>
    <col min="11" max="11" width="17.85546875" style="67" bestFit="1" customWidth="1"/>
    <col min="12" max="15" width="10.85546875" style="67" customWidth="1"/>
    <col min="16" max="16" width="12" style="67" customWidth="1"/>
    <col min="17" max="18" width="13" style="67" customWidth="1"/>
    <col min="19" max="21" width="13.28515625" style="67" customWidth="1"/>
    <col min="22" max="22" width="21.140625" style="60" customWidth="1"/>
    <col min="23" max="23" width="21.140625" style="69" customWidth="1"/>
    <col min="24" max="24" width="14.7109375" style="60" customWidth="1"/>
    <col min="25" max="16384" width="10.85546875" style="60"/>
  </cols>
  <sheetData>
    <row r="1" spans="1:33" s="62" customFormat="1" ht="16.5" customHeight="1" thickBot="1" x14ac:dyDescent="0.25">
      <c r="A1" s="241" t="s">
        <v>320</v>
      </c>
      <c r="B1" s="242"/>
      <c r="C1" s="261" t="s">
        <v>316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3"/>
      <c r="R1" s="237" t="s">
        <v>4</v>
      </c>
      <c r="S1" s="238"/>
      <c r="T1" s="238"/>
      <c r="U1" s="238"/>
      <c r="V1" s="239" t="s">
        <v>345</v>
      </c>
      <c r="W1" s="240"/>
      <c r="Y1" s="199"/>
      <c r="AA1" s="62">
        <f>COUNTIF(AA3:AA142,"&gt;0")</f>
        <v>58</v>
      </c>
      <c r="AC1" s="201"/>
    </row>
    <row r="2" spans="1:33" s="310" customFormat="1" ht="99.75" customHeight="1" thickBot="1" x14ac:dyDescent="0.25">
      <c r="A2" s="298" t="s">
        <v>53</v>
      </c>
      <c r="B2" s="299" t="s">
        <v>54</v>
      </c>
      <c r="C2" s="300" t="s">
        <v>34</v>
      </c>
      <c r="D2" s="301" t="s">
        <v>147</v>
      </c>
      <c r="E2" s="301" t="s">
        <v>52</v>
      </c>
      <c r="F2" s="301" t="s">
        <v>26</v>
      </c>
      <c r="G2" s="301" t="s">
        <v>6</v>
      </c>
      <c r="H2" s="301" t="s">
        <v>89</v>
      </c>
      <c r="I2" s="301" t="s">
        <v>95</v>
      </c>
      <c r="J2" s="302" t="s">
        <v>88</v>
      </c>
      <c r="K2" s="302" t="s">
        <v>94</v>
      </c>
      <c r="L2" s="302" t="s">
        <v>29</v>
      </c>
      <c r="M2" s="301" t="s">
        <v>30</v>
      </c>
      <c r="N2" s="303" t="s">
        <v>148</v>
      </c>
      <c r="O2" s="303" t="s">
        <v>33</v>
      </c>
      <c r="P2" s="303" t="s">
        <v>86</v>
      </c>
      <c r="Q2" s="304" t="s">
        <v>96</v>
      </c>
      <c r="R2" s="305" t="s">
        <v>127</v>
      </c>
      <c r="S2" s="306" t="s">
        <v>128</v>
      </c>
      <c r="T2" s="306" t="s">
        <v>133</v>
      </c>
      <c r="U2" s="306" t="s">
        <v>23</v>
      </c>
      <c r="V2" s="307" t="s">
        <v>317</v>
      </c>
      <c r="W2" s="308" t="s">
        <v>318</v>
      </c>
      <c r="X2" s="309" t="s">
        <v>381</v>
      </c>
      <c r="Y2" s="310" t="s">
        <v>336</v>
      </c>
      <c r="Z2" s="310" t="s">
        <v>337</v>
      </c>
      <c r="AA2" s="310" t="s">
        <v>338</v>
      </c>
      <c r="AB2" s="310" t="s">
        <v>339</v>
      </c>
      <c r="AC2" s="310" t="s">
        <v>340</v>
      </c>
      <c r="AD2" s="310" t="s">
        <v>341</v>
      </c>
      <c r="AE2" s="311" t="s">
        <v>342</v>
      </c>
      <c r="AF2" s="311" t="s">
        <v>343</v>
      </c>
      <c r="AG2" s="311" t="s">
        <v>344</v>
      </c>
    </row>
    <row r="3" spans="1:33" x14ac:dyDescent="0.2">
      <c r="A3">
        <v>7532015</v>
      </c>
      <c r="B3" t="s">
        <v>325</v>
      </c>
      <c r="C3" s="112">
        <f>VLOOKUP(A3,IRData!$A$3:$F$142,6,FALSE)</f>
        <v>34554.058618385003</v>
      </c>
      <c r="D3" s="134">
        <f>C3*Forutsetninger!$C$30</f>
        <v>36558.194018251335</v>
      </c>
      <c r="E3" s="90">
        <f>VLOOKUP($A3,IRData!$A$2:$N$142,7,FALSE)</f>
        <v>4133</v>
      </c>
      <c r="F3" s="90">
        <f>VLOOKUP($A3,IRData!$A$2:$N$142,8,FALSE)</f>
        <v>52777</v>
      </c>
      <c r="G3" s="90">
        <f>VLOOKUP($A3,IRData!$A$2:$N$142,9,FALSE)</f>
        <v>53304.77</v>
      </c>
      <c r="H3" s="90">
        <f>VLOOKUP($A3,IRData!$A$2:$N$142,10,FALSE)</f>
        <v>0</v>
      </c>
      <c r="I3" s="90">
        <f>VLOOKUP($A3,IRData!$A$2:$N$142,11,FALSE)</f>
        <v>14894</v>
      </c>
      <c r="J3" s="45">
        <f>VLOOKUP(A3,IRData!$A$3:$AF$142,32,FALSE)</f>
        <v>0</v>
      </c>
      <c r="K3" s="45">
        <f>VLOOKUP(A3,IRData!$A$3:$AM$142,37,FALSE)</f>
        <v>4241.5206642313997</v>
      </c>
      <c r="L3" s="112">
        <f>VLOOKUP($A3,IRData!$A$2:$N$142,13,FALSE)</f>
        <v>0</v>
      </c>
      <c r="M3" s="91">
        <f>L3*Forutsetninger!$C$24</f>
        <v>0</v>
      </c>
      <c r="N3" s="112">
        <f>VLOOKUP(A3,IRData!$A$3:$E$142,5,FALSE)*Forutsetninger!$C$30</f>
        <v>0</v>
      </c>
      <c r="O3" s="112">
        <f>VLOOKUP(A3,IRData!$A$3:$AG$142,19,FALSE)*Forutsetninger!$C$24</f>
        <v>0</v>
      </c>
      <c r="P3" s="135">
        <f t="shared" ref="P3:P34" si="0">D3+E3+K3+J3+M3+N3</f>
        <v>44932.714682482736</v>
      </c>
      <c r="Q3" s="136">
        <f>D3+E3+J3+K3+M3+G3*Forutsetninger!$B$6+N3</f>
        <v>48194.966606482732</v>
      </c>
      <c r="R3" s="46">
        <f>IFERROR((VLOOKUP(A3,'DEAnorm D-nett'!$A$4:$H$130,8,FALSE)+O3),0)</f>
        <v>0</v>
      </c>
      <c r="S3" s="21">
        <f>IFERROR((VLOOKUP(A3,'DEAnorm R-nett'!$A$4:$H$85,8,FALSE)+N3+K3),N3+K3)</f>
        <v>24690.937552569038</v>
      </c>
      <c r="T3" s="118">
        <f>IFERROR(VLOOKUP(A3,IRData!$A$3:$AN$142,40,FALSE),0)</f>
        <v>0</v>
      </c>
      <c r="U3" s="47">
        <f>(1-Forutsetninger!$B$4)*Q3+(R3+S3+T3)*Forutsetninger!$B$4</f>
        <v>34092.549174134518</v>
      </c>
      <c r="V3" s="137">
        <f>(R3+S3+T3)-G3*($K$156+$K$150)/Forutsetninger!$B$4</f>
        <v>22567.19732246453</v>
      </c>
      <c r="W3" s="295">
        <f>(1-Forutsetninger!$B$4)*Q3+Forutsetninger!$B$4*V3</f>
        <v>32818.305036071812</v>
      </c>
      <c r="X3" s="185">
        <v>31931.693701437267</v>
      </c>
      <c r="Y3" s="198">
        <f t="shared" ref="Y3:Y34" si="1">W3-X3</f>
        <v>886.61133463454462</v>
      </c>
      <c r="Z3" s="197">
        <f t="shared" ref="Z3:Z34" si="2">Y3/X3</f>
        <v>2.7765872456512936E-2</v>
      </c>
      <c r="AA3" s="185">
        <f t="shared" ref="AA3:AA34" si="3">IF(Y3&gt;0,Y3,0)</f>
        <v>886.61133463454462</v>
      </c>
      <c r="AB3" s="197">
        <f>VLOOKUP(A3,Table1[[idaar]:[Andel SN]],8,FALSE)</f>
        <v>0</v>
      </c>
      <c r="AC3" s="197">
        <f>VLOOKUP(A3,Table1[[idaar]:[Andel SN]],9,FALSE)</f>
        <v>1</v>
      </c>
      <c r="AD3" s="197">
        <f>VLOOKUP(A3,Table1[[idaar]:[Andel SN]],10,FALSE)</f>
        <v>0</v>
      </c>
      <c r="AE3" s="312">
        <f t="shared" ref="AE3:AE34" si="4">$AA3*AB3</f>
        <v>0</v>
      </c>
      <c r="AF3" s="312">
        <f t="shared" ref="AF3:AF34" si="5">$AA3*AC3</f>
        <v>886.61133463454462</v>
      </c>
      <c r="AG3" s="312">
        <f t="shared" ref="AG3:AG34" si="6">$AA3*AD3</f>
        <v>0</v>
      </c>
    </row>
    <row r="4" spans="1:33" x14ac:dyDescent="0.2">
      <c r="A4">
        <v>72015</v>
      </c>
      <c r="B4" t="s">
        <v>193</v>
      </c>
      <c r="C4" s="112">
        <f>VLOOKUP(A4,IRData!$A$3:$F$142,6,FALSE)</f>
        <v>39005.040669955706</v>
      </c>
      <c r="D4" s="45">
        <f>C4*Forutsetninger!$C$30</f>
        <v>41267.33302881314</v>
      </c>
      <c r="E4" s="43">
        <f>VLOOKUP($A4,IRData!$A$2:$N$142,7,FALSE)</f>
        <v>14636</v>
      </c>
      <c r="F4" s="43">
        <f>VLOOKUP($A4,IRData!$A$2:$N$142,8,FALSE)</f>
        <v>221421</v>
      </c>
      <c r="G4" s="43">
        <f>VLOOKUP($A4,IRData!$A$2:$N$142,9,FALSE)</f>
        <v>223635.21</v>
      </c>
      <c r="H4" s="43">
        <f>VLOOKUP($A4,IRData!$A$2:$N$142,10,FALSE)</f>
        <v>19067</v>
      </c>
      <c r="I4" s="43">
        <f>VLOOKUP($A4,IRData!$A$2:$N$142,11,FALSE)</f>
        <v>8708</v>
      </c>
      <c r="J4" s="45">
        <f>VLOOKUP(A4,IRData!$A$3:$AF$142,32,FALSE)</f>
        <v>4901.3817495141011</v>
      </c>
      <c r="K4" s="45">
        <f>VLOOKUP(A4,IRData!$A$3:$AM$142,37,FALSE)</f>
        <v>2238.4870338684004</v>
      </c>
      <c r="L4" s="112">
        <f>VLOOKUP($A4,IRData!$A$2:$N$142,13,FALSE)</f>
        <v>1755</v>
      </c>
      <c r="M4" s="44">
        <f>L4*Forutsetninger!$C$24</f>
        <v>1851.5249999999999</v>
      </c>
      <c r="N4" s="112">
        <f>VLOOKUP(A4,IRData!$A$3:$E$142,5,FALSE)*Forutsetninger!$C$30</f>
        <v>0</v>
      </c>
      <c r="O4" s="112">
        <f>VLOOKUP(A4,IRData!$A$3:$AG$142,19,FALSE)*Forutsetninger!$C$24</f>
        <v>0</v>
      </c>
      <c r="P4" s="45">
        <f t="shared" si="0"/>
        <v>64894.726812195637</v>
      </c>
      <c r="Q4" s="45">
        <f>D4+E4+J4+K4+M4+G4*Forutsetninger!$B$6+N4</f>
        <v>78581.201664195629</v>
      </c>
      <c r="R4" s="46">
        <f>IFERROR((VLOOKUP(A4,'DEAnorm D-nett'!$A$4:$H$130,8,FALSE)+O4),0)</f>
        <v>75251.061849322534</v>
      </c>
      <c r="S4" s="21">
        <f>IFERROR((VLOOKUP(A4,'DEAnorm R-nett'!$A$4:$H$85,8,FALSE)+N4+K4),N4+K4)</f>
        <v>8909.8038915908364</v>
      </c>
      <c r="T4" s="158">
        <f>IFERROR(VLOOKUP(A4,IRData!$A$3:$AN$142,40,FALSE),0)</f>
        <v>0</v>
      </c>
      <c r="U4" s="47">
        <f>(1-Forutsetninger!$B$4)*Q4+(R4+S4+T4)*Forutsetninger!$B$4</f>
        <v>81929.000110226276</v>
      </c>
      <c r="V4" s="41">
        <f>(R4+S4+T4)-G4*($K$156+$K$150)/Forutsetninger!$B$4</f>
        <v>75250.910921769231</v>
      </c>
      <c r="W4" s="296">
        <f>(1-Forutsetninger!$B$4)*Q4+Forutsetninger!$B$4*V4</f>
        <v>76583.027218739793</v>
      </c>
      <c r="X4" s="185">
        <v>75736.432549366844</v>
      </c>
      <c r="Y4" s="198">
        <f t="shared" si="1"/>
        <v>846.59466937294928</v>
      </c>
      <c r="Z4" s="197">
        <f t="shared" si="2"/>
        <v>1.1178169354902191E-2</v>
      </c>
      <c r="AA4" s="185">
        <f t="shared" si="3"/>
        <v>846.59466937294928</v>
      </c>
      <c r="AB4" s="197">
        <f>VLOOKUP(A4,Table1[[idaar]:[Andel SN]],8,FALSE)</f>
        <v>1.0646324073096018</v>
      </c>
      <c r="AC4" s="197">
        <f>VLOOKUP(A4,Table1[[idaar]:[Andel SN]],9,FALSE)</f>
        <v>-6.4632407309601778E-2</v>
      </c>
      <c r="AD4" s="197">
        <f>VLOOKUP(A4,Table1[[idaar]:[Andel SN]],10,FALSE)</f>
        <v>0</v>
      </c>
      <c r="AE4" s="312">
        <f t="shared" si="4"/>
        <v>901.31212086999949</v>
      </c>
      <c r="AF4" s="312">
        <f t="shared" si="5"/>
        <v>-54.717451497050106</v>
      </c>
      <c r="AG4" s="312">
        <f t="shared" si="6"/>
        <v>0</v>
      </c>
    </row>
    <row r="5" spans="1:33" x14ac:dyDescent="0.2">
      <c r="A5">
        <v>92015</v>
      </c>
      <c r="B5" t="s">
        <v>194</v>
      </c>
      <c r="C5" s="112">
        <f>VLOOKUP(A5,IRData!$A$3:$F$142,6,FALSE)</f>
        <v>17791.234706519532</v>
      </c>
      <c r="D5" s="45">
        <f>C5*Forutsetninger!$C$30</f>
        <v>18823.126319497667</v>
      </c>
      <c r="E5" s="43">
        <f>VLOOKUP($A5,IRData!$A$2:$N$142,7,FALSE)</f>
        <v>8921</v>
      </c>
      <c r="F5" s="43">
        <f>VLOOKUP($A5,IRData!$A$2:$N$142,8,FALSE)</f>
        <v>116688</v>
      </c>
      <c r="G5" s="43">
        <f>VLOOKUP($A5,IRData!$A$2:$N$142,9,FALSE)</f>
        <v>117854.88</v>
      </c>
      <c r="H5" s="43">
        <f>VLOOKUP($A5,IRData!$A$2:$N$142,10,FALSE)</f>
        <v>4250</v>
      </c>
      <c r="I5" s="43">
        <f>VLOOKUP($A5,IRData!$A$2:$N$142,11,FALSE)</f>
        <v>2833</v>
      </c>
      <c r="J5" s="45">
        <f>VLOOKUP(A5,IRData!$A$3:$AF$142,32,FALSE)</f>
        <v>1092.5091747750002</v>
      </c>
      <c r="K5" s="45">
        <f>VLOOKUP(A5,IRData!$A$3:$AM$142,37,FALSE)</f>
        <v>728.25376285590005</v>
      </c>
      <c r="L5" s="112">
        <f>VLOOKUP($A5,IRData!$A$2:$N$142,13,FALSE)</f>
        <v>3181</v>
      </c>
      <c r="M5" s="44">
        <f>L5*Forutsetninger!$C$24</f>
        <v>3355.9549999999999</v>
      </c>
      <c r="N5" s="112">
        <f>VLOOKUP(A5,IRData!$A$3:$E$142,5,FALSE)*Forutsetninger!$C$30</f>
        <v>0</v>
      </c>
      <c r="O5" s="112">
        <f>VLOOKUP(A5,IRData!$A$3:$AG$142,19,FALSE)*Forutsetninger!$C$24</f>
        <v>0</v>
      </c>
      <c r="P5" s="45">
        <f t="shared" si="0"/>
        <v>32920.84425712857</v>
      </c>
      <c r="Q5" s="45">
        <f>D5+E5+J5+K5+M5+G5*Forutsetninger!$B$6+N5</f>
        <v>40133.562913128568</v>
      </c>
      <c r="R5" s="46">
        <f>IFERROR((VLOOKUP(A5,'DEAnorm D-nett'!$A$4:$H$130,8,FALSE)+O5),0)</f>
        <v>24881.955933748628</v>
      </c>
      <c r="S5" s="21">
        <f>IFERROR((VLOOKUP(A5,'DEAnorm R-nett'!$A$4:$H$85,8,FALSE)+N5+K5),N5+K5)</f>
        <v>13244.119143323369</v>
      </c>
      <c r="T5" s="118">
        <f>IFERROR(VLOOKUP(A5,IRData!$A$3:$AN$142,40,FALSE),0)</f>
        <v>0</v>
      </c>
      <c r="U5" s="47">
        <f>(1-Forutsetninger!$B$4)*Q5+(R5+S5+T5)*Forutsetninger!$B$4</f>
        <v>38929.070211494625</v>
      </c>
      <c r="V5" s="41">
        <f>(R5+S5+T5)-G5*($K$156+$K$150)/Forutsetninger!$B$4</f>
        <v>33430.563775360366</v>
      </c>
      <c r="W5" s="296">
        <f>(1-Forutsetninger!$B$4)*Q5+Forutsetninger!$B$4*V5</f>
        <v>36111.763430467647</v>
      </c>
      <c r="X5" s="185">
        <v>36516.957379000974</v>
      </c>
      <c r="Y5" s="198">
        <f t="shared" si="1"/>
        <v>-405.19394853332778</v>
      </c>
      <c r="Z5" s="197">
        <f t="shared" si="2"/>
        <v>-1.1096049003423654E-2</v>
      </c>
      <c r="AA5" s="185">
        <f t="shared" si="3"/>
        <v>0</v>
      </c>
      <c r="AB5" s="197">
        <f>VLOOKUP(A5,Table1[[idaar]:[Andel SN]],8,FALSE)</f>
        <v>0.67804036476161789</v>
      </c>
      <c r="AC5" s="197">
        <f>VLOOKUP(A5,Table1[[idaar]:[Andel SN]],9,FALSE)</f>
        <v>0.32195963523838211</v>
      </c>
      <c r="AD5" s="197">
        <f>VLOOKUP(A5,Table1[[idaar]:[Andel SN]],10,FALSE)</f>
        <v>0</v>
      </c>
      <c r="AE5" s="312">
        <f t="shared" si="4"/>
        <v>0</v>
      </c>
      <c r="AF5" s="312">
        <f t="shared" si="5"/>
        <v>0</v>
      </c>
      <c r="AG5" s="312">
        <f t="shared" si="6"/>
        <v>0</v>
      </c>
    </row>
    <row r="6" spans="1:33" x14ac:dyDescent="0.2">
      <c r="A6">
        <v>5662015</v>
      </c>
      <c r="B6" t="s">
        <v>279</v>
      </c>
      <c r="C6" s="112">
        <f>VLOOKUP(A6,IRData!$A$3:$F$142,6,FALSE)</f>
        <v>506994.84414811432</v>
      </c>
      <c r="D6" s="45">
        <f>C6*Forutsetninger!$C$30</f>
        <v>536400.54510870494</v>
      </c>
      <c r="E6" s="43">
        <f>VLOOKUP($A6,IRData!$A$2:$N$142,7,FALSE)</f>
        <v>292832</v>
      </c>
      <c r="F6" s="43">
        <f>VLOOKUP($A6,IRData!$A$2:$N$142,8,FALSE)</f>
        <v>4015360</v>
      </c>
      <c r="G6" s="43">
        <f>VLOOKUP($A6,IRData!$A$2:$N$142,9,FALSE)</f>
        <v>4055513.5999999996</v>
      </c>
      <c r="H6" s="43">
        <f>VLOOKUP($A6,IRData!$A$2:$N$142,10,FALSE)</f>
        <v>234298</v>
      </c>
      <c r="I6" s="43">
        <f>VLOOKUP($A6,IRData!$A$2:$N$142,11,FALSE)</f>
        <v>136011</v>
      </c>
      <c r="J6" s="45">
        <f>VLOOKUP(A6,IRData!$A$3:$AF$142,32,FALSE)</f>
        <v>66715.826431686204</v>
      </c>
      <c r="K6" s="45">
        <f>VLOOKUP(A6,IRData!$A$3:$AM$142,37,FALSE)</f>
        <v>38728.825123560899</v>
      </c>
      <c r="L6" s="112">
        <f>VLOOKUP($A6,IRData!$A$2:$N$142,13,FALSE)</f>
        <v>96439</v>
      </c>
      <c r="M6" s="44">
        <f>L6*Forutsetninger!$C$24</f>
        <v>101743.14499999999</v>
      </c>
      <c r="N6" s="112">
        <f>VLOOKUP(A6,IRData!$A$3:$E$142,5,FALSE)*Forutsetninger!$C$30</f>
        <v>2558.2440000000001</v>
      </c>
      <c r="O6" s="112">
        <f>VLOOKUP(A6,IRData!$A$3:$AG$142,19,FALSE)*Forutsetninger!$C$24</f>
        <v>29958.107049999999</v>
      </c>
      <c r="P6" s="45">
        <f t="shared" si="0"/>
        <v>1038978.5856639519</v>
      </c>
      <c r="Q6" s="45">
        <f>D6+E6+J6+K6+M6+G6*Forutsetninger!$B$6+N6</f>
        <v>1287176.0179839518</v>
      </c>
      <c r="R6" s="46">
        <f>IFERROR((VLOOKUP(A6,'DEAnorm D-nett'!$A$4:$H$130,8,FALSE)+O6),0)</f>
        <v>842544.36490850896</v>
      </c>
      <c r="S6" s="21">
        <f>IFERROR((VLOOKUP(A6,'DEAnorm R-nett'!$A$4:$H$85,8,FALSE)+N6+K6),N6+K6)</f>
        <v>297957.97580565093</v>
      </c>
      <c r="T6" s="118">
        <f>IFERROR(VLOOKUP(A6,IRData!$A$3:$AN$142,40,FALSE),0)</f>
        <v>46424.323733663834</v>
      </c>
      <c r="U6" s="47">
        <f>(1-Forutsetninger!$B$4)*Q6+(R6+S6+T6)*Forutsetninger!$B$4</f>
        <v>1227026.405862275</v>
      </c>
      <c r="V6" s="41">
        <f>(R6+S6+T6)-G6*($K$156+$K$150)/Forutsetninger!$B$4</f>
        <v>1025349.053550038</v>
      </c>
      <c r="W6" s="296">
        <f>(1-Forutsetninger!$B$4)*Q6+Forutsetninger!$B$4*V6</f>
        <v>1130079.8393236035</v>
      </c>
      <c r="X6" s="185">
        <v>1141553.3545927908</v>
      </c>
      <c r="Y6" s="198">
        <f t="shared" si="1"/>
        <v>-11473.515269187279</v>
      </c>
      <c r="Z6" s="197">
        <f t="shared" si="2"/>
        <v>-1.0050791952059091E-2</v>
      </c>
      <c r="AA6" s="185">
        <f t="shared" si="3"/>
        <v>0</v>
      </c>
      <c r="AB6" s="197">
        <f>VLOOKUP(A6,Table1[[idaar]:[Andel SN]],8,FALSE)</f>
        <v>0.72389402466599617</v>
      </c>
      <c r="AC6" s="197">
        <f>VLOOKUP(A6,Table1[[idaar]:[Andel SN]],9,FALSE)</f>
        <v>0.24420174331100697</v>
      </c>
      <c r="AD6" s="197">
        <f>VLOOKUP(A6,Table1[[idaar]:[Andel SN]],10,FALSE)</f>
        <v>3.1904232022996866E-2</v>
      </c>
      <c r="AE6" s="312">
        <f t="shared" si="4"/>
        <v>0</v>
      </c>
      <c r="AF6" s="312">
        <f t="shared" si="5"/>
        <v>0</v>
      </c>
      <c r="AG6" s="312">
        <f t="shared" si="6"/>
        <v>0</v>
      </c>
    </row>
    <row r="7" spans="1:33" x14ac:dyDescent="0.2">
      <c r="A7">
        <v>6152015</v>
      </c>
      <c r="B7" t="s">
        <v>288</v>
      </c>
      <c r="C7" s="112">
        <f>VLOOKUP(A7,IRData!$A$3:$F$142,6,FALSE)</f>
        <v>129340.7104176564</v>
      </c>
      <c r="D7" s="45">
        <f>C7*Forutsetninger!$C$30</f>
        <v>136842.47162188048</v>
      </c>
      <c r="E7" s="43">
        <f>VLOOKUP($A7,IRData!$A$2:$N$142,7,FALSE)</f>
        <v>76676</v>
      </c>
      <c r="F7" s="43">
        <f>VLOOKUP($A7,IRData!$A$2:$N$142,8,FALSE)</f>
        <v>1039935</v>
      </c>
      <c r="G7" s="43">
        <f>VLOOKUP($A7,IRData!$A$2:$N$142,9,FALSE)</f>
        <v>1050334.3499999999</v>
      </c>
      <c r="H7" s="43">
        <f>VLOOKUP($A7,IRData!$A$2:$N$142,10,FALSE)</f>
        <v>84127</v>
      </c>
      <c r="I7" s="43">
        <f>VLOOKUP($A7,IRData!$A$2:$N$142,11,FALSE)</f>
        <v>99206</v>
      </c>
      <c r="J7" s="45">
        <f>VLOOKUP(A7,IRData!$A$3:$AF$142,32,FALSE)</f>
        <v>24131.9883863791</v>
      </c>
      <c r="K7" s="45">
        <f>VLOOKUP(A7,IRData!$A$3:$AM$142,37,FALSE)</f>
        <v>28457.427934659801</v>
      </c>
      <c r="L7" s="112">
        <f>VLOOKUP($A7,IRData!$A$2:$N$142,13,FALSE)</f>
        <v>11433</v>
      </c>
      <c r="M7" s="44">
        <f>L7*Forutsetninger!$C$24</f>
        <v>12061.814999999999</v>
      </c>
      <c r="N7" s="112">
        <f>VLOOKUP(A7,IRData!$A$3:$E$142,5,FALSE)*Forutsetninger!$C$30</f>
        <v>523.71</v>
      </c>
      <c r="O7" s="112">
        <f>VLOOKUP(A7,IRData!$A$3:$AG$142,19,FALSE)*Forutsetninger!$C$24</f>
        <v>0</v>
      </c>
      <c r="P7" s="45">
        <f t="shared" si="0"/>
        <v>278693.41294291941</v>
      </c>
      <c r="Q7" s="45">
        <f>D7+E7+J7+K7+M7+G7*Forutsetninger!$B$6+N7</f>
        <v>342973.8751629194</v>
      </c>
      <c r="R7" s="46">
        <f>IFERROR((VLOOKUP(A7,'DEAnorm D-nett'!$A$4:$H$130,8,FALSE)+O7),0)</f>
        <v>204263.77210601687</v>
      </c>
      <c r="S7" s="21">
        <f>IFERROR((VLOOKUP(A7,'DEAnorm R-nett'!$A$4:$H$85,8,FALSE)+N7+K7),N7+K7)</f>
        <v>187631.71350086917</v>
      </c>
      <c r="T7" s="118">
        <f>IFERROR(VLOOKUP(A7,IRData!$A$3:$AN$142,40,FALSE),0)</f>
        <v>827.64506800000004</v>
      </c>
      <c r="U7" s="47">
        <f>(1-Forutsetninger!$B$4)*Q7+(R7+S7+T7)*Forutsetninger!$B$4</f>
        <v>372823.4284700994</v>
      </c>
      <c r="V7" s="41">
        <f>(R7+S7+T7)-G7*($K$156+$K$150)/Forutsetninger!$B$4</f>
        <v>350876.269424839</v>
      </c>
      <c r="W7" s="296">
        <f>(1-Forutsetninger!$B$4)*Q7+Forutsetninger!$B$4*V7</f>
        <v>347715.31172007113</v>
      </c>
      <c r="X7" s="185">
        <v>345474.47166699322</v>
      </c>
      <c r="Y7" s="198">
        <f t="shared" si="1"/>
        <v>2240.8400530779036</v>
      </c>
      <c r="Z7" s="197">
        <f t="shared" si="2"/>
        <v>6.4862681235616009E-3</v>
      </c>
      <c r="AA7" s="185">
        <f t="shared" si="3"/>
        <v>2240.8400530779036</v>
      </c>
      <c r="AB7" s="197">
        <f>VLOOKUP(A7,Table1[[idaar]:[Andel SN]],8,FALSE)</f>
        <v>0.65535619225261732</v>
      </c>
      <c r="AC7" s="197">
        <f>VLOOKUP(A7,Table1[[idaar]:[Andel SN]],9,FALSE)</f>
        <v>0.34293537245127453</v>
      </c>
      <c r="AD7" s="197">
        <f>VLOOKUP(A7,Table1[[idaar]:[Andel SN]],10,FALSE)</f>
        <v>1.7084352961081514E-3</v>
      </c>
      <c r="AE7" s="312">
        <f t="shared" si="4"/>
        <v>1468.5484046322879</v>
      </c>
      <c r="AF7" s="312">
        <f t="shared" si="5"/>
        <v>768.46331820600471</v>
      </c>
      <c r="AG7" s="312">
        <f t="shared" si="6"/>
        <v>3.8283302396111538</v>
      </c>
    </row>
    <row r="8" spans="1:33" x14ac:dyDescent="0.2">
      <c r="A8">
        <v>652015</v>
      </c>
      <c r="B8" t="s">
        <v>210</v>
      </c>
      <c r="C8" s="112">
        <f>VLOOKUP(A8,IRData!$A$3:$F$142,6,FALSE)</f>
        <v>42020.621093615366</v>
      </c>
      <c r="D8" s="45">
        <f>C8*Forutsetninger!$C$30</f>
        <v>44457.817117045059</v>
      </c>
      <c r="E8" s="43">
        <f>VLOOKUP($A8,IRData!$A$2:$N$142,7,FALSE)</f>
        <v>11673</v>
      </c>
      <c r="F8" s="43">
        <f>VLOOKUP($A8,IRData!$A$2:$N$142,8,FALSE)</f>
        <v>199415</v>
      </c>
      <c r="G8" s="43">
        <f>VLOOKUP($A8,IRData!$A$2:$N$142,9,FALSE)</f>
        <v>201409.15</v>
      </c>
      <c r="H8" s="43">
        <f>VLOOKUP($A8,IRData!$A$2:$N$142,10,FALSE)</f>
        <v>13630</v>
      </c>
      <c r="I8" s="43">
        <f>VLOOKUP($A8,IRData!$A$2:$N$142,11,FALSE)</f>
        <v>5369</v>
      </c>
      <c r="J8" s="45">
        <f>VLOOKUP(A8,IRData!$A$3:$AF$142,32,FALSE)</f>
        <v>3503.7411887490002</v>
      </c>
      <c r="K8" s="45">
        <f>VLOOKUP(A8,IRData!$A$3:$AM$142,37,FALSE)</f>
        <v>1380.1604139687001</v>
      </c>
      <c r="L8" s="112">
        <f>VLOOKUP($A8,IRData!$A$2:$N$142,13,FALSE)</f>
        <v>3912</v>
      </c>
      <c r="M8" s="44">
        <f>L8*Forutsetninger!$C$24</f>
        <v>4127.16</v>
      </c>
      <c r="N8" s="112">
        <f>VLOOKUP(A8,IRData!$A$3:$E$142,5,FALSE)*Forutsetninger!$C$30</f>
        <v>0</v>
      </c>
      <c r="O8" s="112">
        <f>VLOOKUP(A8,IRData!$A$3:$AG$142,19,FALSE)*Forutsetninger!$C$24</f>
        <v>0</v>
      </c>
      <c r="P8" s="45">
        <f t="shared" si="0"/>
        <v>65141.878719762753</v>
      </c>
      <c r="Q8" s="45">
        <f>D8+E8+J8+K8+M8+G8*Forutsetninger!$B$6+N8</f>
        <v>77468.118699762752</v>
      </c>
      <c r="R8" s="46">
        <f>IFERROR((VLOOKUP(A8,'DEAnorm D-nett'!$A$4:$H$130,8,FALSE)+O8),0)</f>
        <v>49181.48527071323</v>
      </c>
      <c r="S8" s="21">
        <f>IFERROR((VLOOKUP(A8,'DEAnorm R-nett'!$A$4:$H$85,8,FALSE)+N8+K8),N8+K8)</f>
        <v>20316.246962124125</v>
      </c>
      <c r="T8" s="118">
        <f>IFERROR(VLOOKUP(A8,IRData!$A$3:$AN$142,40,FALSE),0)</f>
        <v>0</v>
      </c>
      <c r="U8" s="47">
        <f>(1-Forutsetninger!$B$4)*Q8+(R8+S8+T8)*Forutsetninger!$B$4</f>
        <v>72685.88681960752</v>
      </c>
      <c r="V8" s="41">
        <f>(R8+S8+T8)-G8*($K$156+$K$150)/Forutsetninger!$B$4</f>
        <v>61473.296247724698</v>
      </c>
      <c r="W8" s="296">
        <f>(1-Forutsetninger!$B$4)*Q8+Forutsetninger!$B$4*V8</f>
        <v>67871.225228539915</v>
      </c>
      <c r="X8" s="185">
        <v>67506.607440851003</v>
      </c>
      <c r="Y8" s="198">
        <f t="shared" si="1"/>
        <v>364.61778768891236</v>
      </c>
      <c r="Z8" s="197">
        <f t="shared" si="2"/>
        <v>5.4012162884705603E-3</v>
      </c>
      <c r="AA8" s="185">
        <f t="shared" si="3"/>
        <v>364.61778768891236</v>
      </c>
      <c r="AB8" s="197">
        <f>VLOOKUP(A8,Table1[[idaar]:[Andel SN]],8,FALSE)</f>
        <v>0.73060571496289273</v>
      </c>
      <c r="AC8" s="197">
        <f>VLOOKUP(A8,Table1[[idaar]:[Andel SN]],9,FALSE)</f>
        <v>0.26939428503710727</v>
      </c>
      <c r="AD8" s="197">
        <f>VLOOKUP(A8,Table1[[idaar]:[Andel SN]],10,FALSE)</f>
        <v>0</v>
      </c>
      <c r="AE8" s="312">
        <f t="shared" si="4"/>
        <v>266.39183946264603</v>
      </c>
      <c r="AF8" s="312">
        <f t="shared" si="5"/>
        <v>98.225948226266325</v>
      </c>
      <c r="AG8" s="312">
        <f t="shared" si="6"/>
        <v>0</v>
      </c>
    </row>
    <row r="9" spans="1:33" x14ac:dyDescent="0.2">
      <c r="A9">
        <v>142015</v>
      </c>
      <c r="B9" t="s">
        <v>195</v>
      </c>
      <c r="C9" s="112">
        <f>VLOOKUP(A9,IRData!$A$3:$F$142,6,FALSE)</f>
        <v>22869.529609738969</v>
      </c>
      <c r="D9" s="45">
        <f>C9*Forutsetninger!$C$30</f>
        <v>24195.962327103829</v>
      </c>
      <c r="E9" s="43">
        <f>VLOOKUP($A9,IRData!$A$2:$N$142,7,FALSE)</f>
        <v>9652</v>
      </c>
      <c r="F9" s="43">
        <f>VLOOKUP($A9,IRData!$A$2:$N$142,8,FALSE)</f>
        <v>166549</v>
      </c>
      <c r="G9" s="43">
        <f>VLOOKUP($A9,IRData!$A$2:$N$142,9,FALSE)</f>
        <v>168214.49000000002</v>
      </c>
      <c r="H9" s="43">
        <f>VLOOKUP($A9,IRData!$A$2:$N$142,10,FALSE)</f>
        <v>17024</v>
      </c>
      <c r="I9" s="43">
        <f>VLOOKUP($A9,IRData!$A$2:$N$142,11,FALSE)</f>
        <v>3993</v>
      </c>
      <c r="J9" s="45">
        <f>VLOOKUP(A9,IRData!$A$3:$AF$142,32,FALSE)</f>
        <v>4847.5455581056003</v>
      </c>
      <c r="K9" s="45">
        <f>VLOOKUP(A9,IRData!$A$3:$AM$142,37,FALSE)</f>
        <v>1136.9977334067</v>
      </c>
      <c r="L9" s="112">
        <f>VLOOKUP($A9,IRData!$A$2:$N$142,13,FALSE)</f>
        <v>4099</v>
      </c>
      <c r="M9" s="44">
        <f>L9*Forutsetninger!$C$24</f>
        <v>4324.4449999999997</v>
      </c>
      <c r="N9" s="112">
        <f>VLOOKUP(A9,IRData!$A$3:$E$142,5,FALSE)*Forutsetninger!$C$30</f>
        <v>0</v>
      </c>
      <c r="O9" s="112">
        <f>VLOOKUP(A9,IRData!$A$3:$AG$142,19,FALSE)*Forutsetninger!$C$24</f>
        <v>0</v>
      </c>
      <c r="P9" s="45">
        <f t="shared" si="0"/>
        <v>44156.950618616131</v>
      </c>
      <c r="Q9" s="45">
        <f>D9+E9+J9+K9+M9+G9*Forutsetninger!$B$6+N9</f>
        <v>54451.677406616131</v>
      </c>
      <c r="R9" s="46">
        <f>IFERROR((VLOOKUP(A9,'DEAnorm D-nett'!$A$4:$H$130,8,FALSE)+O9),0)</f>
        <v>43617.624070465703</v>
      </c>
      <c r="S9" s="21">
        <f>IFERROR((VLOOKUP(A9,'DEAnorm R-nett'!$A$4:$H$85,8,FALSE)+N9+K9),N9+K9)</f>
        <v>9240.7919511786131</v>
      </c>
      <c r="T9" s="118">
        <f>IFERROR(VLOOKUP(A9,IRData!$A$3:$AN$142,40,FALSE),0)</f>
        <v>0</v>
      </c>
      <c r="U9" s="47">
        <f>(1-Forutsetninger!$B$4)*Q9+(R9+S9+T9)*Forutsetninger!$B$4</f>
        <v>53495.720575633037</v>
      </c>
      <c r="V9" s="41">
        <f>(R9+S9+T9)-G9*($K$156+$K$150)/Forutsetninger!$B$4</f>
        <v>46156.503984513067</v>
      </c>
      <c r="W9" s="296">
        <f>(1-Forutsetninger!$B$4)*Q9+Forutsetninger!$B$4*V9</f>
        <v>49474.573353354295</v>
      </c>
      <c r="X9" s="185">
        <v>49680.748693129419</v>
      </c>
      <c r="Y9" s="198">
        <f t="shared" si="1"/>
        <v>-206.17533977512358</v>
      </c>
      <c r="Z9" s="197">
        <f t="shared" si="2"/>
        <v>-4.1500046838794224E-3</v>
      </c>
      <c r="AA9" s="185">
        <f t="shared" si="3"/>
        <v>0</v>
      </c>
      <c r="AB9" s="200">
        <v>1</v>
      </c>
      <c r="AC9" s="200">
        <v>0</v>
      </c>
      <c r="AD9" s="200">
        <v>0</v>
      </c>
      <c r="AE9" s="312">
        <f t="shared" si="4"/>
        <v>0</v>
      </c>
      <c r="AF9" s="312">
        <f t="shared" si="5"/>
        <v>0</v>
      </c>
      <c r="AG9" s="312">
        <f t="shared" si="6"/>
        <v>0</v>
      </c>
    </row>
    <row r="10" spans="1:33" x14ac:dyDescent="0.2">
      <c r="A10">
        <v>6752015</v>
      </c>
      <c r="B10" t="s">
        <v>294</v>
      </c>
      <c r="C10" s="112">
        <f>VLOOKUP(A10,IRData!$A$3:$F$142,6,FALSE)</f>
        <v>1353664.8815463691</v>
      </c>
      <c r="D10" s="45">
        <f>C10*Forutsetninger!$C$30</f>
        <v>1432177.4446760586</v>
      </c>
      <c r="E10" s="43">
        <f>VLOOKUP($A10,IRData!$A$2:$N$142,7,FALSE)</f>
        <v>427931</v>
      </c>
      <c r="F10" s="43">
        <f>VLOOKUP($A10,IRData!$A$2:$N$142,8,FALSE)</f>
        <v>7827859</v>
      </c>
      <c r="G10" s="43">
        <f>VLOOKUP($A10,IRData!$A$2:$N$142,9,FALSE)</f>
        <v>7906137.5899999999</v>
      </c>
      <c r="H10" s="43">
        <f>VLOOKUP($A10,IRData!$A$2:$N$142,10,FALSE)</f>
        <v>644847</v>
      </c>
      <c r="I10" s="43">
        <f>VLOOKUP($A10,IRData!$A$2:$N$142,11,FALSE)</f>
        <v>356374</v>
      </c>
      <c r="J10" s="45">
        <f>VLOOKUP(A10,IRData!$A$3:$AF$142,32,FALSE)</f>
        <v>185017.60152073801</v>
      </c>
      <c r="K10" s="45">
        <f>VLOOKUP(A10,IRData!$A$3:$AM$142,37,FALSE)</f>
        <v>102249.778202196</v>
      </c>
      <c r="L10" s="112">
        <f>VLOOKUP($A10,IRData!$A$2:$N$142,13,FALSE)</f>
        <v>72056</v>
      </c>
      <c r="M10" s="44">
        <f>L10*Forutsetninger!$C$24</f>
        <v>76019.08</v>
      </c>
      <c r="N10" s="112">
        <f>VLOOKUP(A10,IRData!$A$3:$E$142,5,FALSE)*Forutsetninger!$C$30</f>
        <v>3626.8240000000001</v>
      </c>
      <c r="O10" s="112">
        <f>VLOOKUP(A10,IRData!$A$3:$AG$142,19,FALSE)*Forutsetninger!$C$24</f>
        <v>0</v>
      </c>
      <c r="P10" s="45">
        <f t="shared" si="0"/>
        <v>2227021.7283989927</v>
      </c>
      <c r="Q10" s="45">
        <f>D10+E10+J10+K10+M10+G10*Forutsetninger!$B$6+N10</f>
        <v>2710877.3489069925</v>
      </c>
      <c r="R10" s="46">
        <f>IFERROR((VLOOKUP(A10,'DEAnorm D-nett'!$A$4:$H$130,8,FALSE)+O10),0)</f>
        <v>2199318.1926999241</v>
      </c>
      <c r="S10" s="21">
        <f>IFERROR((VLOOKUP(A10,'DEAnorm R-nett'!$A$4:$H$85,8,FALSE)+N10+K10),N10+K10)</f>
        <v>805241.35220838664</v>
      </c>
      <c r="T10" s="118">
        <f>IFERROR(VLOOKUP(A10,IRData!$A$3:$AN$142,40,FALSE),0)</f>
        <v>11355.634350647795</v>
      </c>
      <c r="U10" s="47">
        <f>(1-Forutsetninger!$B$4)*Q10+(R10+S10+T10)*Forutsetninger!$B$4</f>
        <v>2893900.047118172</v>
      </c>
      <c r="V10" s="41">
        <f>(R10+S10+T10)-G10*($K$156+$K$150)/Forutsetninger!$B$4</f>
        <v>2700923.0600804212</v>
      </c>
      <c r="W10" s="296">
        <f>(1-Forutsetninger!$B$4)*Q10+Forutsetninger!$B$4*V10</f>
        <v>2704904.7756110495</v>
      </c>
      <c r="X10" s="185">
        <v>2714176.4762207787</v>
      </c>
      <c r="Y10" s="198">
        <f t="shared" si="1"/>
        <v>-9271.7006097291596</v>
      </c>
      <c r="Z10" s="197">
        <f t="shared" si="2"/>
        <v>-3.4160271783944874E-3</v>
      </c>
      <c r="AA10" s="185">
        <f t="shared" si="3"/>
        <v>0</v>
      </c>
      <c r="AB10" s="197">
        <f>VLOOKUP(A10,Table1[[idaar]:[Andel SN]],8,FALSE)</f>
        <v>0.72329894553495644</v>
      </c>
      <c r="AC10" s="197">
        <f>VLOOKUP(A10,Table1[[idaar]:[Andel SN]],9,FALSE)</f>
        <v>0.27258961664018383</v>
      </c>
      <c r="AD10" s="197">
        <f>VLOOKUP(A10,Table1[[idaar]:[Andel SN]],10,FALSE)</f>
        <v>4.1114378248597455E-3</v>
      </c>
      <c r="AE10" s="312">
        <f t="shared" si="4"/>
        <v>0</v>
      </c>
      <c r="AF10" s="312">
        <f t="shared" si="5"/>
        <v>0</v>
      </c>
      <c r="AG10" s="312">
        <f t="shared" si="6"/>
        <v>0</v>
      </c>
    </row>
    <row r="11" spans="1:33" x14ac:dyDescent="0.2">
      <c r="A11">
        <v>1842015</v>
      </c>
      <c r="B11" t="s">
        <v>173</v>
      </c>
      <c r="C11" s="112">
        <f>VLOOKUP(A11,IRData!$A$3:$F$142,6,FALSE)</f>
        <v>12437.085436521596</v>
      </c>
      <c r="D11" s="45">
        <f>C11*Forutsetninger!$C$30</f>
        <v>13158.43639183985</v>
      </c>
      <c r="E11" s="43">
        <f>VLOOKUP($A11,IRData!$A$2:$N$142,7,FALSE)</f>
        <v>5563</v>
      </c>
      <c r="F11" s="43">
        <f>VLOOKUP($A11,IRData!$A$2:$N$142,8,FALSE)</f>
        <v>90792</v>
      </c>
      <c r="G11" s="43">
        <f>VLOOKUP($A11,IRData!$A$2:$N$142,9,FALSE)</f>
        <v>91699.92</v>
      </c>
      <c r="H11" s="43">
        <f>VLOOKUP($A11,IRData!$A$2:$N$142,10,FALSE)</f>
        <v>5463</v>
      </c>
      <c r="I11" s="43">
        <f>VLOOKUP($A11,IRData!$A$2:$N$142,11,FALSE)</f>
        <v>445</v>
      </c>
      <c r="J11" s="45">
        <f>VLOOKUP(A11,IRData!$A$3:$AF$142,32,FALSE)</f>
        <v>1586.0906736768</v>
      </c>
      <c r="K11" s="45">
        <f>VLOOKUP(A11,IRData!$A$3:$AM$142,37,FALSE)</f>
        <v>129.19830675199998</v>
      </c>
      <c r="L11" s="112">
        <f>VLOOKUP($A11,IRData!$A$2:$N$142,13,FALSE)</f>
        <v>722</v>
      </c>
      <c r="M11" s="44">
        <f>L11*Forutsetninger!$C$24</f>
        <v>761.70999999999992</v>
      </c>
      <c r="N11" s="112">
        <f>VLOOKUP(A11,IRData!$A$3:$E$142,5,FALSE)*Forutsetninger!$C$30</f>
        <v>0</v>
      </c>
      <c r="O11" s="112">
        <f>VLOOKUP(A11,IRData!$A$3:$AG$142,19,FALSE)*Forutsetninger!$C$24</f>
        <v>416.56675000000001</v>
      </c>
      <c r="P11" s="45">
        <f t="shared" si="0"/>
        <v>21198.435372268654</v>
      </c>
      <c r="Q11" s="45">
        <f>D11+E11+J11+K11+M11+G11*Forutsetninger!$B$6+N11</f>
        <v>26810.470476268652</v>
      </c>
      <c r="R11" s="46">
        <f>IFERROR((VLOOKUP(A11,'DEAnorm D-nett'!$A$4:$H$130,8,FALSE)+O11),0)</f>
        <v>20964.775172978076</v>
      </c>
      <c r="S11" s="21">
        <f>IFERROR((VLOOKUP(A11,'DEAnorm R-nett'!$A$4:$H$85,8,FALSE)+N11+K11),N11+K11)</f>
        <v>4216.349492710835</v>
      </c>
      <c r="T11" s="118">
        <f>IFERROR(VLOOKUP(A11,IRData!$A$3:$AN$142,40,FALSE),0)</f>
        <v>0</v>
      </c>
      <c r="U11" s="47">
        <f>(1-Forutsetninger!$B$4)*Q11+(R11+S11+T11)*Forutsetninger!$B$4</f>
        <v>25832.86298992081</v>
      </c>
      <c r="V11" s="41">
        <f>(R11+S11+T11)-G11*($K$156+$K$150)/Forutsetninger!$B$4</f>
        <v>21527.665337351784</v>
      </c>
      <c r="W11" s="296">
        <f>(1-Forutsetninger!$B$4)*Q11+Forutsetninger!$B$4*V11</f>
        <v>23640.78739291853</v>
      </c>
      <c r="X11" s="185">
        <v>23710.027595126205</v>
      </c>
      <c r="Y11" s="198">
        <f t="shared" si="1"/>
        <v>-69.240202207674884</v>
      </c>
      <c r="Z11" s="197">
        <f t="shared" si="2"/>
        <v>-2.9202919283783453E-3</v>
      </c>
      <c r="AA11" s="185">
        <f t="shared" si="3"/>
        <v>0</v>
      </c>
      <c r="AB11" s="200">
        <v>0.91500338931987646</v>
      </c>
      <c r="AC11" s="200">
        <v>8.4996610680123527E-2</v>
      </c>
      <c r="AD11" s="200">
        <v>0</v>
      </c>
      <c r="AE11" s="312">
        <f t="shared" si="4"/>
        <v>0</v>
      </c>
      <c r="AF11" s="312">
        <f t="shared" si="5"/>
        <v>0</v>
      </c>
      <c r="AG11" s="312">
        <f t="shared" si="6"/>
        <v>0</v>
      </c>
    </row>
    <row r="12" spans="1:33" x14ac:dyDescent="0.2">
      <c r="A12">
        <v>932015</v>
      </c>
      <c r="B12" t="s">
        <v>217</v>
      </c>
      <c r="C12" s="112">
        <f>VLOOKUP(A12,IRData!$A$3:$F$142,6,FALSE)</f>
        <v>37194.886138139911</v>
      </c>
      <c r="D12" s="45">
        <f>C12*Forutsetninger!$C$30</f>
        <v>39352.189534152029</v>
      </c>
      <c r="E12" s="43">
        <f>VLOOKUP($A12,IRData!$A$2:$N$142,7,FALSE)</f>
        <v>8927</v>
      </c>
      <c r="F12" s="43">
        <f>VLOOKUP($A12,IRData!$A$2:$N$142,8,FALSE)</f>
        <v>139445</v>
      </c>
      <c r="G12" s="43">
        <f>VLOOKUP($A12,IRData!$A$2:$N$142,9,FALSE)</f>
        <v>140839.45000000001</v>
      </c>
      <c r="H12" s="43">
        <f>VLOOKUP($A12,IRData!$A$2:$N$142,10,FALSE)</f>
        <v>9506</v>
      </c>
      <c r="I12" s="43">
        <f>VLOOKUP($A12,IRData!$A$2:$N$142,11,FALSE)</f>
        <v>702</v>
      </c>
      <c r="J12" s="45">
        <f>VLOOKUP(A12,IRData!$A$3:$AF$142,32,FALSE)</f>
        <v>2707.1233674086002</v>
      </c>
      <c r="K12" s="45">
        <f>VLOOKUP(A12,IRData!$A$3:$AM$142,37,FALSE)</f>
        <v>199.91590615620001</v>
      </c>
      <c r="L12" s="112">
        <f>VLOOKUP($A12,IRData!$A$2:$N$142,13,FALSE)</f>
        <v>1434</v>
      </c>
      <c r="M12" s="44">
        <f>L12*Forutsetninger!$C$24</f>
        <v>1512.87</v>
      </c>
      <c r="N12" s="112">
        <f>VLOOKUP(A12,IRData!$A$3:$E$142,5,FALSE)*Forutsetninger!$C$30</f>
        <v>0</v>
      </c>
      <c r="O12" s="112">
        <f>VLOOKUP(A12,IRData!$A$3:$AG$142,19,FALSE)*Forutsetninger!$C$24</f>
        <v>0</v>
      </c>
      <c r="P12" s="45">
        <f t="shared" si="0"/>
        <v>52699.098807716837</v>
      </c>
      <c r="Q12" s="45">
        <f>D12+E12+J12+K12+M12+G12*Forutsetninger!$B$6+N12</f>
        <v>61318.473147716839</v>
      </c>
      <c r="R12" s="46">
        <f>IFERROR((VLOOKUP(A12,'DEAnorm D-nett'!$A$4:$H$130,8,FALSE)+O12),0)</f>
        <v>44201.930120963094</v>
      </c>
      <c r="S12" s="21">
        <f>IFERROR((VLOOKUP(A12,'DEAnorm R-nett'!$A$4:$H$85,8,FALSE)+N12+K12),N12+K12)</f>
        <v>7166.1432710869922</v>
      </c>
      <c r="T12" s="118">
        <f>IFERROR(VLOOKUP(A12,IRData!$A$3:$AN$142,40,FALSE),0)</f>
        <v>0</v>
      </c>
      <c r="U12" s="47">
        <f>(1-Forutsetninger!$B$4)*Q12+(R12+S12+T12)*Forutsetninger!$B$4</f>
        <v>55348.233294316786</v>
      </c>
      <c r="V12" s="41">
        <f>(R12+S12+T12)-G12*($K$156+$K$150)/Forutsetninger!$B$4</f>
        <v>45756.823105240997</v>
      </c>
      <c r="W12" s="296">
        <f>(1-Forutsetninger!$B$4)*Q12+Forutsetninger!$B$4*V12</f>
        <v>51981.483122231337</v>
      </c>
      <c r="X12" s="185">
        <v>52131.214528395147</v>
      </c>
      <c r="Y12" s="198">
        <f t="shared" si="1"/>
        <v>-149.73140616380988</v>
      </c>
      <c r="Z12" s="197">
        <f t="shared" si="2"/>
        <v>-2.872202528146611E-3</v>
      </c>
      <c r="AA12" s="185">
        <f t="shared" si="3"/>
        <v>0</v>
      </c>
      <c r="AB12" s="197">
        <f>VLOOKUP(A12,Table1[[idaar]:[Andel SN]],8,FALSE)</f>
        <v>0.8668930195085458</v>
      </c>
      <c r="AC12" s="197">
        <f>VLOOKUP(A12,Table1[[idaar]:[Andel SN]],9,FALSE)</f>
        <v>0.13310698049145422</v>
      </c>
      <c r="AD12" s="197">
        <f>VLOOKUP(A12,Table1[[idaar]:[Andel SN]],10,FALSE)</f>
        <v>0</v>
      </c>
      <c r="AE12" s="312">
        <f t="shared" si="4"/>
        <v>0</v>
      </c>
      <c r="AF12" s="312">
        <f t="shared" si="5"/>
        <v>0</v>
      </c>
      <c r="AG12" s="312">
        <f t="shared" si="6"/>
        <v>0</v>
      </c>
    </row>
    <row r="13" spans="1:33" x14ac:dyDescent="0.2">
      <c r="A13">
        <v>6372015</v>
      </c>
      <c r="B13" t="s">
        <v>291</v>
      </c>
      <c r="C13" s="112">
        <f>VLOOKUP(A13,IRData!$A$3:$F$142,6,FALSE)</f>
        <v>44615.342306886996</v>
      </c>
      <c r="D13" s="45">
        <f>C13*Forutsetninger!$C$30</f>
        <v>47203.032160686445</v>
      </c>
      <c r="E13" s="43">
        <f>VLOOKUP($A13,IRData!$A$2:$N$142,7,FALSE)</f>
        <v>13575</v>
      </c>
      <c r="F13" s="43">
        <f>VLOOKUP($A13,IRData!$A$2:$N$142,8,FALSE)</f>
        <v>216789</v>
      </c>
      <c r="G13" s="43">
        <f>VLOOKUP($A13,IRData!$A$2:$N$142,9,FALSE)</f>
        <v>218956.89</v>
      </c>
      <c r="H13" s="43">
        <f>VLOOKUP($A13,IRData!$A$2:$N$142,10,FALSE)</f>
        <v>22550</v>
      </c>
      <c r="I13" s="43">
        <f>VLOOKUP($A13,IRData!$A$2:$N$142,11,FALSE)</f>
        <v>5821</v>
      </c>
      <c r="J13" s="45">
        <f>VLOOKUP(A13,IRData!$A$3:$AF$142,32,FALSE)</f>
        <v>5796.7251508650006</v>
      </c>
      <c r="K13" s="45">
        <f>VLOOKUP(A13,IRData!$A$3:$AM$142,37,FALSE)</f>
        <v>1496.3519779683002</v>
      </c>
      <c r="L13" s="112">
        <f>VLOOKUP($A13,IRData!$A$2:$N$142,13,FALSE)</f>
        <v>3427</v>
      </c>
      <c r="M13" s="44">
        <f>L13*Forutsetninger!$C$24</f>
        <v>3615.4849999999997</v>
      </c>
      <c r="N13" s="112">
        <f>VLOOKUP(A13,IRData!$A$3:$E$142,5,FALSE)*Forutsetninger!$C$30</f>
        <v>0</v>
      </c>
      <c r="O13" s="112">
        <f>VLOOKUP(A13,IRData!$A$3:$AG$142,19,FALSE)*Forutsetninger!$C$24</f>
        <v>0</v>
      </c>
      <c r="P13" s="45">
        <f t="shared" si="0"/>
        <v>71686.594289519751</v>
      </c>
      <c r="Q13" s="45">
        <f>D13+E13+J13+K13+M13+G13*Forutsetninger!$B$6+N13</f>
        <v>85086.755957519752</v>
      </c>
      <c r="R13" s="46">
        <f>IFERROR((VLOOKUP(A13,'DEAnorm D-nett'!$A$4:$H$130,8,FALSE)+O13),0)</f>
        <v>50271.240319731565</v>
      </c>
      <c r="S13" s="21">
        <f>IFERROR((VLOOKUP(A13,'DEAnorm R-nett'!$A$4:$H$85,8,FALSE)+N13+K13),N13+K13)</f>
        <v>16330.406104757283</v>
      </c>
      <c r="T13" s="118">
        <f>IFERROR(VLOOKUP(A13,IRData!$A$3:$AN$142,40,FALSE),0)</f>
        <v>0</v>
      </c>
      <c r="U13" s="47">
        <f>(1-Forutsetninger!$B$4)*Q13+(R13+S13+T13)*Forutsetninger!$B$4</f>
        <v>73995.690237701216</v>
      </c>
      <c r="V13" s="41">
        <f>(R13+S13+T13)-G13*($K$156+$K$150)/Forutsetninger!$B$4</f>
        <v>57878.082736819473</v>
      </c>
      <c r="W13" s="296">
        <f>(1-Forutsetninger!$B$4)*Q13+Forutsetninger!$B$4*V13</f>
        <v>68761.552025099591</v>
      </c>
      <c r="X13" s="185">
        <v>68927.756607550516</v>
      </c>
      <c r="Y13" s="198">
        <f t="shared" si="1"/>
        <v>-166.20458245092595</v>
      </c>
      <c r="Z13" s="197">
        <f t="shared" si="2"/>
        <v>-2.4112866953908594E-3</v>
      </c>
      <c r="AA13" s="185">
        <f t="shared" si="3"/>
        <v>0</v>
      </c>
      <c r="AB13" s="197">
        <f>VLOOKUP(A13,Table1[[idaar]:[Andel SN]],8,FALSE)</f>
        <v>0.74860724233983289</v>
      </c>
      <c r="AC13" s="197">
        <f>VLOOKUP(A13,Table1[[idaar]:[Andel SN]],9,FALSE)</f>
        <v>0.25139275766016711</v>
      </c>
      <c r="AD13" s="197">
        <f>VLOOKUP(A13,Table1[[idaar]:[Andel SN]],10,FALSE)</f>
        <v>0</v>
      </c>
      <c r="AE13" s="312">
        <f t="shared" si="4"/>
        <v>0</v>
      </c>
      <c r="AF13" s="312">
        <f t="shared" si="5"/>
        <v>0</v>
      </c>
      <c r="AG13" s="312">
        <f t="shared" si="6"/>
        <v>0</v>
      </c>
    </row>
    <row r="14" spans="1:33" x14ac:dyDescent="0.2">
      <c r="A14">
        <v>4602015</v>
      </c>
      <c r="B14" t="s">
        <v>140</v>
      </c>
      <c r="C14" s="112">
        <f>VLOOKUP(A14,IRData!$A$3:$F$142,6,FALSE)</f>
        <v>195379.15455267785</v>
      </c>
      <c r="D14" s="45">
        <f>C14*Forutsetninger!$C$30</f>
        <v>206711.14551673317</v>
      </c>
      <c r="E14" s="43">
        <f>VLOOKUP($A14,IRData!$A$2:$N$142,7,FALSE)</f>
        <v>93476</v>
      </c>
      <c r="F14" s="43">
        <f>VLOOKUP($A14,IRData!$A$2:$N$142,8,FALSE)</f>
        <v>1507196</v>
      </c>
      <c r="G14" s="43">
        <f>VLOOKUP($A14,IRData!$A$2:$N$142,9,FALSE)</f>
        <v>1522267.96</v>
      </c>
      <c r="H14" s="43">
        <f>VLOOKUP($A14,IRData!$A$2:$N$142,10,FALSE)</f>
        <v>86300</v>
      </c>
      <c r="I14" s="43">
        <f>VLOOKUP($A14,IRData!$A$2:$N$142,11,FALSE)</f>
        <v>54857</v>
      </c>
      <c r="J14" s="45">
        <f>VLOOKUP(A14,IRData!$A$3:$AF$142,32,FALSE)</f>
        <v>25055.761511680001</v>
      </c>
      <c r="K14" s="45">
        <f>VLOOKUP(A14,IRData!$A$3:$AM$142,37,FALSE)</f>
        <v>15926.8123898752</v>
      </c>
      <c r="L14" s="112">
        <f>VLOOKUP($A14,IRData!$A$2:$N$142,13,FALSE)</f>
        <v>16297</v>
      </c>
      <c r="M14" s="44">
        <f>L14*Forutsetninger!$C$24</f>
        <v>17193.334999999999</v>
      </c>
      <c r="N14" s="112">
        <f>VLOOKUP(A14,IRData!$A$3:$E$142,5,FALSE)*Forutsetninger!$C$30</f>
        <v>388.286</v>
      </c>
      <c r="O14" s="112">
        <f>VLOOKUP(A14,IRData!$A$3:$AG$142,19,FALSE)*Forutsetninger!$C$24</f>
        <v>0</v>
      </c>
      <c r="P14" s="45">
        <f t="shared" si="0"/>
        <v>358751.34041828837</v>
      </c>
      <c r="Q14" s="45">
        <f>D14+E14+J14+K14+M14+G14*Forutsetninger!$B$6+N14</f>
        <v>451914.13957028836</v>
      </c>
      <c r="R14" s="46">
        <f>IFERROR((VLOOKUP(A14,'DEAnorm D-nett'!$A$4:$H$130,8,FALSE)+O14),0)</f>
        <v>284798.94060234528</v>
      </c>
      <c r="S14" s="21">
        <f>IFERROR((VLOOKUP(A14,'DEAnorm R-nett'!$A$4:$H$85,8,FALSE)+N14+K14),N14+K14)</f>
        <v>145626.10799179995</v>
      </c>
      <c r="T14" s="118">
        <f>IFERROR(VLOOKUP(A14,IRData!$A$3:$AN$142,40,FALSE),0)</f>
        <v>1659.7368752605094</v>
      </c>
      <c r="U14" s="47">
        <f>(1-Forutsetninger!$B$4)*Q14+(R14+S14+T14)*Forutsetninger!$B$4</f>
        <v>440016.52710975875</v>
      </c>
      <c r="V14" s="41">
        <f>(R14+S14+T14)-G14*($K$156+$K$150)/Forutsetninger!$B$4</f>
        <v>371435.39691278833</v>
      </c>
      <c r="W14" s="296">
        <f>(1-Forutsetninger!$B$4)*Q14+Forutsetninger!$B$4*V14</f>
        <v>403626.89397578838</v>
      </c>
      <c r="X14" s="185">
        <v>404108.62203896139</v>
      </c>
      <c r="Y14" s="198">
        <f t="shared" si="1"/>
        <v>-481.72806317301001</v>
      </c>
      <c r="Z14" s="197">
        <f t="shared" si="2"/>
        <v>-1.192075686834925E-3</v>
      </c>
      <c r="AA14" s="185">
        <f t="shared" si="3"/>
        <v>0</v>
      </c>
      <c r="AB14" s="197">
        <f>VLOOKUP(A14,Table1[[idaar]:[Andel SN]],8,FALSE)</f>
        <v>0.67789878473382181</v>
      </c>
      <c r="AC14" s="197">
        <f>VLOOKUP(A14,Table1[[idaar]:[Andel SN]],9,FALSE)</f>
        <v>0.31830026057326116</v>
      </c>
      <c r="AD14" s="197">
        <f>VLOOKUP(A14,Table1[[idaar]:[Andel SN]],10,FALSE)</f>
        <v>3.8009546929170098E-3</v>
      </c>
      <c r="AE14" s="312">
        <f t="shared" si="4"/>
        <v>0</v>
      </c>
      <c r="AF14" s="312">
        <f t="shared" si="5"/>
        <v>0</v>
      </c>
      <c r="AG14" s="312">
        <f t="shared" si="6"/>
        <v>0</v>
      </c>
    </row>
    <row r="15" spans="1:33" x14ac:dyDescent="0.2">
      <c r="A15">
        <v>2952015</v>
      </c>
      <c r="B15" t="s">
        <v>267</v>
      </c>
      <c r="C15" s="112">
        <f>VLOOKUP(A15,IRData!$A$3:$F$142,6,FALSE)</f>
        <v>56379.011952841247</v>
      </c>
      <c r="D15" s="45">
        <f>C15*Forutsetninger!$C$30</f>
        <v>59648.994646106039</v>
      </c>
      <c r="E15" s="43">
        <f>VLOOKUP($A15,IRData!$A$2:$N$142,7,FALSE)</f>
        <v>11125</v>
      </c>
      <c r="F15" s="43">
        <f>VLOOKUP($A15,IRData!$A$2:$N$142,8,FALSE)</f>
        <v>248815</v>
      </c>
      <c r="G15" s="43">
        <f>VLOOKUP($A15,IRData!$A$2:$N$142,9,FALSE)</f>
        <v>251303.15</v>
      </c>
      <c r="H15" s="43">
        <f>VLOOKUP($A15,IRData!$A$2:$N$142,10,FALSE)</f>
        <v>23139</v>
      </c>
      <c r="I15" s="43">
        <f>VLOOKUP($A15,IRData!$A$2:$N$142,11,FALSE)</f>
        <v>6574</v>
      </c>
      <c r="J15" s="45">
        <f>VLOOKUP(A15,IRData!$A$3:$AF$142,32,FALSE)</f>
        <v>6638.9737125060001</v>
      </c>
      <c r="K15" s="45">
        <f>VLOOKUP(A15,IRData!$A$3:$AM$142,37,FALSE)</f>
        <v>1886.192712996</v>
      </c>
      <c r="L15" s="112">
        <f>VLOOKUP($A15,IRData!$A$2:$N$142,13,FALSE)</f>
        <v>4458</v>
      </c>
      <c r="M15" s="44">
        <f>L15*Forutsetninger!$C$24</f>
        <v>4703.1899999999996</v>
      </c>
      <c r="N15" s="112">
        <f>VLOOKUP(A15,IRData!$A$3:$E$142,5,FALSE)*Forutsetninger!$C$30</f>
        <v>0</v>
      </c>
      <c r="O15" s="112">
        <f>VLOOKUP(A15,IRData!$A$3:$AG$142,19,FALSE)*Forutsetninger!$C$24</f>
        <v>0</v>
      </c>
      <c r="P15" s="45">
        <f t="shared" si="0"/>
        <v>84002.351071608035</v>
      </c>
      <c r="Q15" s="45">
        <f>D15+E15+J15+K15+M15+G15*Forutsetninger!$B$6+N15</f>
        <v>99382.10385160803</v>
      </c>
      <c r="R15" s="46">
        <f>IFERROR((VLOOKUP(A15,'DEAnorm D-nett'!$A$4:$H$130,8,FALSE)+O15),0)</f>
        <v>86032.717822704159</v>
      </c>
      <c r="S15" s="21">
        <f>IFERROR((VLOOKUP(A15,'DEAnorm R-nett'!$A$4:$H$85,8,FALSE)+N15+K15),N15+K15)</f>
        <v>12634.77600806279</v>
      </c>
      <c r="T15" s="118">
        <f>IFERROR(VLOOKUP(A15,IRData!$A$3:$AN$142,40,FALSE),0)</f>
        <v>0</v>
      </c>
      <c r="U15" s="47">
        <f>(1-Forutsetninger!$B$4)*Q15+(R15+S15+T15)*Forutsetninger!$B$4</f>
        <v>98953.337839103391</v>
      </c>
      <c r="V15" s="41">
        <f>(R15+S15+T15)-G15*($K$156+$K$150)/Forutsetninger!$B$4</f>
        <v>88655.20769564269</v>
      </c>
      <c r="W15" s="296">
        <f>(1-Forutsetninger!$B$4)*Q15+Forutsetninger!$B$4*V15</f>
        <v>92945.966158028838</v>
      </c>
      <c r="X15" s="185">
        <v>93055.733290776319</v>
      </c>
      <c r="Y15" s="198">
        <f t="shared" si="1"/>
        <v>-109.76713274748181</v>
      </c>
      <c r="Z15" s="197">
        <f t="shared" si="2"/>
        <v>-1.179584845186126E-3</v>
      </c>
      <c r="AA15" s="185">
        <f t="shared" si="3"/>
        <v>0</v>
      </c>
      <c r="AB15" s="197">
        <f>VLOOKUP(A15,Table1[[idaar]:[Andel SN]],8,FALSE)</f>
        <v>0.86999504642657643</v>
      </c>
      <c r="AC15" s="197">
        <f>VLOOKUP(A15,Table1[[idaar]:[Andel SN]],9,FALSE)</f>
        <v>0.13000495357342357</v>
      </c>
      <c r="AD15" s="197">
        <f>VLOOKUP(A15,Table1[[idaar]:[Andel SN]],10,FALSE)</f>
        <v>0</v>
      </c>
      <c r="AE15" s="312">
        <f t="shared" si="4"/>
        <v>0</v>
      </c>
      <c r="AF15" s="312">
        <f t="shared" si="5"/>
        <v>0</v>
      </c>
      <c r="AG15" s="312">
        <f t="shared" si="6"/>
        <v>0</v>
      </c>
    </row>
    <row r="16" spans="1:33" x14ac:dyDescent="0.2">
      <c r="A16">
        <v>822015</v>
      </c>
      <c r="B16" t="s">
        <v>213</v>
      </c>
      <c r="C16" s="112">
        <f>VLOOKUP(A16,IRData!$A$3:$F$142,6,FALSE)</f>
        <v>14159.995093297701</v>
      </c>
      <c r="D16" s="45">
        <f>C16*Forutsetninger!$C$30</f>
        <v>14981.274808708968</v>
      </c>
      <c r="E16" s="43">
        <f>VLOOKUP($A16,IRData!$A$2:$N$142,7,FALSE)</f>
        <v>7381</v>
      </c>
      <c r="F16" s="43">
        <f>VLOOKUP($A16,IRData!$A$2:$N$142,8,FALSE)</f>
        <v>99643</v>
      </c>
      <c r="G16" s="43">
        <f>VLOOKUP($A16,IRData!$A$2:$N$142,9,FALSE)</f>
        <v>100639.43</v>
      </c>
      <c r="H16" s="43">
        <f>VLOOKUP($A16,IRData!$A$2:$N$142,10,FALSE)</f>
        <v>9404</v>
      </c>
      <c r="I16" s="43">
        <f>VLOOKUP($A16,IRData!$A$2:$N$142,11,FALSE)</f>
        <v>0</v>
      </c>
      <c r="J16" s="45">
        <f>VLOOKUP(A16,IRData!$A$3:$AF$142,32,FALSE)</f>
        <v>2698.1679758160003</v>
      </c>
      <c r="K16" s="45">
        <f>VLOOKUP(A16,IRData!$A$3:$AM$142,37,FALSE)</f>
        <v>0</v>
      </c>
      <c r="L16" s="112">
        <f>VLOOKUP($A16,IRData!$A$2:$N$142,13,FALSE)</f>
        <v>694</v>
      </c>
      <c r="M16" s="44">
        <f>L16*Forutsetninger!$C$24</f>
        <v>732.17</v>
      </c>
      <c r="N16" s="112">
        <f>VLOOKUP(A16,IRData!$A$3:$E$142,5,FALSE)*Forutsetninger!$C$30</f>
        <v>0</v>
      </c>
      <c r="O16" s="112">
        <f>VLOOKUP(A16,IRData!$A$3:$AG$142,19,FALSE)*Forutsetninger!$C$24</f>
        <v>0</v>
      </c>
      <c r="P16" s="45">
        <f t="shared" si="0"/>
        <v>25792.612784524965</v>
      </c>
      <c r="Q16" s="45">
        <f>D16+E16+J16+K16+M16+G16*Forutsetninger!$B$6+N16</f>
        <v>31951.745900524962</v>
      </c>
      <c r="R16" s="46">
        <f>IFERROR((VLOOKUP(A16,'DEAnorm D-nett'!$A$4:$H$130,8,FALSE)+O16),0)</f>
        <v>31327.041892154142</v>
      </c>
      <c r="S16" s="21">
        <f>IFERROR((VLOOKUP(A16,'DEAnorm R-nett'!$A$4:$H$85,8,FALSE)+N16+K16),N16+K16)</f>
        <v>0</v>
      </c>
      <c r="T16" s="118">
        <f>IFERROR(VLOOKUP(A16,IRData!$A$3:$AN$142,40,FALSE),0)</f>
        <v>0</v>
      </c>
      <c r="U16" s="47">
        <f>(1-Forutsetninger!$B$4)*Q16+(R16+S16+T16)*Forutsetninger!$B$4</f>
        <v>31576.923495502469</v>
      </c>
      <c r="V16" s="41">
        <f>(R16+S16+T16)-G16*($K$156+$K$150)/Forutsetninger!$B$4</f>
        <v>27317.419371959673</v>
      </c>
      <c r="W16" s="296">
        <f>(1-Forutsetninger!$B$4)*Q16+Forutsetninger!$B$4*V16</f>
        <v>29171.149983385789</v>
      </c>
      <c r="X16" s="185">
        <v>29205.164404779716</v>
      </c>
      <c r="Y16" s="198">
        <f t="shared" si="1"/>
        <v>-34.014421393927478</v>
      </c>
      <c r="Z16" s="197">
        <f t="shared" si="2"/>
        <v>-1.1646714575029298E-3</v>
      </c>
      <c r="AA16" s="185">
        <f t="shared" si="3"/>
        <v>0</v>
      </c>
      <c r="AB16" s="197">
        <f>VLOOKUP(A16,Table1[[idaar]:[Andel SN]],8,FALSE)</f>
        <v>1</v>
      </c>
      <c r="AC16" s="197">
        <f>VLOOKUP(A16,Table1[[idaar]:[Andel SN]],9,FALSE)</f>
        <v>0</v>
      </c>
      <c r="AD16" s="197">
        <f>VLOOKUP(A16,Table1[[idaar]:[Andel SN]],10,FALSE)</f>
        <v>0</v>
      </c>
      <c r="AE16" s="312">
        <f t="shared" si="4"/>
        <v>0</v>
      </c>
      <c r="AF16" s="312">
        <f t="shared" si="5"/>
        <v>0</v>
      </c>
      <c r="AG16" s="312">
        <f t="shared" si="6"/>
        <v>0</v>
      </c>
    </row>
    <row r="17" spans="1:33" x14ac:dyDescent="0.2">
      <c r="A17">
        <v>4182015</v>
      </c>
      <c r="B17" t="s">
        <v>273</v>
      </c>
      <c r="C17" s="112">
        <f>VLOOKUP(A17,IRData!$A$3:$F$142,6,FALSE)</f>
        <v>11367.4770943286</v>
      </c>
      <c r="D17" s="45">
        <f>C17*Forutsetninger!$C$30</f>
        <v>12026.79076579966</v>
      </c>
      <c r="E17" s="43">
        <f>VLOOKUP($A17,IRData!$A$2:$N$142,7,FALSE)</f>
        <v>3396</v>
      </c>
      <c r="F17" s="43">
        <f>VLOOKUP($A17,IRData!$A$2:$N$142,8,FALSE)</f>
        <v>43175</v>
      </c>
      <c r="G17" s="43">
        <f>VLOOKUP($A17,IRData!$A$2:$N$142,9,FALSE)</f>
        <v>43606.75</v>
      </c>
      <c r="H17" s="43">
        <f>VLOOKUP($A17,IRData!$A$2:$N$142,10,FALSE)</f>
        <v>2324</v>
      </c>
      <c r="I17" s="43">
        <f>VLOOKUP($A17,IRData!$A$2:$N$142,11,FALSE)</f>
        <v>0</v>
      </c>
      <c r="J17" s="45">
        <f>VLOOKUP(A17,IRData!$A$3:$AF$142,32,FALSE)</f>
        <v>661.75375217560008</v>
      </c>
      <c r="K17" s="45">
        <f>VLOOKUP(A17,IRData!$A$3:$AM$142,37,FALSE)</f>
        <v>0</v>
      </c>
      <c r="L17" s="112">
        <f>VLOOKUP($A17,IRData!$A$2:$N$142,13,FALSE)</f>
        <v>722</v>
      </c>
      <c r="M17" s="44">
        <f>L17*Forutsetninger!$C$24</f>
        <v>761.70999999999992</v>
      </c>
      <c r="N17" s="112">
        <f>VLOOKUP(A17,IRData!$A$3:$E$142,5,FALSE)*Forutsetninger!$C$30</f>
        <v>0</v>
      </c>
      <c r="O17" s="112">
        <f>VLOOKUP(A17,IRData!$A$3:$AG$142,19,FALSE)*Forutsetninger!$C$24</f>
        <v>173.5686</v>
      </c>
      <c r="P17" s="45">
        <f t="shared" si="0"/>
        <v>16846.25451797526</v>
      </c>
      <c r="Q17" s="45">
        <f>D17+E17+J17+K17+M17+G17*Forutsetninger!$B$6+N17</f>
        <v>19514.987617975261</v>
      </c>
      <c r="R17" s="46">
        <f>IFERROR((VLOOKUP(A17,'DEAnorm D-nett'!$A$4:$H$130,8,FALSE)+O17),0)</f>
        <v>17792.189382589833</v>
      </c>
      <c r="S17" s="21">
        <f>IFERROR((VLOOKUP(A17,'DEAnorm R-nett'!$A$4:$H$85,8,FALSE)+N17+K17),N17+K17)</f>
        <v>0</v>
      </c>
      <c r="T17" s="118">
        <f>IFERROR(VLOOKUP(A17,IRData!$A$3:$AN$142,40,FALSE),0)</f>
        <v>0</v>
      </c>
      <c r="U17" s="47">
        <f>(1-Forutsetninger!$B$4)*Q17+(R17+S17+T17)*Forutsetninger!$B$4</f>
        <v>18481.308676744004</v>
      </c>
      <c r="V17" s="41">
        <f>(R17+S17+T17)-G17*($K$156+$K$150)/Forutsetninger!$B$4</f>
        <v>16054.832495408635</v>
      </c>
      <c r="W17" s="296">
        <f>(1-Forutsetninger!$B$4)*Q17+Forutsetninger!$B$4*V17</f>
        <v>17438.894544435287</v>
      </c>
      <c r="X17" s="185">
        <v>17453.370135753845</v>
      </c>
      <c r="Y17" s="198">
        <f t="shared" si="1"/>
        <v>-14.475591318558145</v>
      </c>
      <c r="Z17" s="197">
        <f t="shared" si="2"/>
        <v>-8.2938660017897552E-4</v>
      </c>
      <c r="AA17" s="185">
        <f t="shared" si="3"/>
        <v>0</v>
      </c>
      <c r="AB17" s="197">
        <f>VLOOKUP(A17,Table1[[idaar]:[Andel SN]],8,FALSE)</f>
        <v>1</v>
      </c>
      <c r="AC17" s="197">
        <f>VLOOKUP(A17,Table1[[idaar]:[Andel SN]],9,FALSE)</f>
        <v>0</v>
      </c>
      <c r="AD17" s="197">
        <f>VLOOKUP(A17,Table1[[idaar]:[Andel SN]],10,FALSE)</f>
        <v>0</v>
      </c>
      <c r="AE17" s="312">
        <f t="shared" si="4"/>
        <v>0</v>
      </c>
      <c r="AF17" s="312">
        <f t="shared" si="5"/>
        <v>0</v>
      </c>
      <c r="AG17" s="312">
        <f t="shared" si="6"/>
        <v>0</v>
      </c>
    </row>
    <row r="18" spans="1:33" x14ac:dyDescent="0.2">
      <c r="A18">
        <v>522015</v>
      </c>
      <c r="B18" t="s">
        <v>204</v>
      </c>
      <c r="C18" s="112">
        <f>VLOOKUP(A18,IRData!$A$3:$F$142,6,FALSE)</f>
        <v>6980.6529045575899</v>
      </c>
      <c r="D18" s="45">
        <f>C18*Forutsetninger!$C$30</f>
        <v>7385.5307730219301</v>
      </c>
      <c r="E18" s="43">
        <f>VLOOKUP($A18,IRData!$A$2:$N$142,7,FALSE)</f>
        <v>2129</v>
      </c>
      <c r="F18" s="43">
        <f>VLOOKUP($A18,IRData!$A$2:$N$142,8,FALSE)</f>
        <v>33085</v>
      </c>
      <c r="G18" s="43">
        <f>VLOOKUP($A18,IRData!$A$2:$N$142,9,FALSE)</f>
        <v>33415.85</v>
      </c>
      <c r="H18" s="43">
        <f>VLOOKUP($A18,IRData!$A$2:$N$142,10,FALSE)</f>
        <v>2829</v>
      </c>
      <c r="I18" s="43">
        <f>VLOOKUP($A18,IRData!$A$2:$N$142,11,FALSE)</f>
        <v>0</v>
      </c>
      <c r="J18" s="45">
        <f>VLOOKUP(A18,IRData!$A$3:$AF$142,32,FALSE)</f>
        <v>805.64401497990002</v>
      </c>
      <c r="K18" s="45">
        <f>VLOOKUP(A18,IRData!$A$3:$AM$142,37,FALSE)</f>
        <v>0</v>
      </c>
      <c r="L18" s="112">
        <f>VLOOKUP($A18,IRData!$A$2:$N$142,13,FALSE)</f>
        <v>209</v>
      </c>
      <c r="M18" s="44">
        <f>L18*Forutsetninger!$C$24</f>
        <v>220.49499999999998</v>
      </c>
      <c r="N18" s="112">
        <f>VLOOKUP(A18,IRData!$A$3:$E$142,5,FALSE)*Forutsetninger!$C$30</f>
        <v>0</v>
      </c>
      <c r="O18" s="112">
        <f>VLOOKUP(A18,IRData!$A$3:$AG$142,19,FALSE)*Forutsetninger!$C$24</f>
        <v>488.61269999999996</v>
      </c>
      <c r="P18" s="45">
        <f t="shared" si="0"/>
        <v>10540.669788001831</v>
      </c>
      <c r="Q18" s="45">
        <f>D18+E18+J18+K18+M18+G18*Forutsetninger!$B$6+N18</f>
        <v>12585.719808001832</v>
      </c>
      <c r="R18" s="46">
        <f>IFERROR((VLOOKUP(A18,'DEAnorm D-nett'!$A$4:$H$130,8,FALSE)+O18),0)</f>
        <v>10113.112578427688</v>
      </c>
      <c r="S18" s="21">
        <f>IFERROR((VLOOKUP(A18,'DEAnorm R-nett'!$A$4:$H$85,8,FALSE)+N18+K18),N18+K18)</f>
        <v>0</v>
      </c>
      <c r="T18" s="118">
        <f>IFERROR(VLOOKUP(A18,IRData!$A$3:$AN$142,40,FALSE),0)</f>
        <v>0</v>
      </c>
      <c r="U18" s="47">
        <f>(1-Forutsetninger!$B$4)*Q18+(R18+S18+T18)*Forutsetninger!$B$4</f>
        <v>11102.155470257345</v>
      </c>
      <c r="V18" s="41">
        <f>(R18+S18+T18)-G18*($K$156+$K$150)/Forutsetninger!$B$4</f>
        <v>8781.7760963804394</v>
      </c>
      <c r="W18" s="296">
        <f>(1-Forutsetninger!$B$4)*Q18+Forutsetninger!$B$4*V18</f>
        <v>10303.353581028996</v>
      </c>
      <c r="X18" s="185">
        <v>10311.705793414774</v>
      </c>
      <c r="Y18" s="198">
        <f t="shared" si="1"/>
        <v>-8.3522123857783299</v>
      </c>
      <c r="Z18" s="197">
        <f t="shared" si="2"/>
        <v>-8.0997388338136943E-4</v>
      </c>
      <c r="AA18" s="185">
        <f t="shared" si="3"/>
        <v>0</v>
      </c>
      <c r="AB18" s="197">
        <f>VLOOKUP(A18,Table1[[idaar]:[Andel SN]],8,FALSE)</f>
        <v>1</v>
      </c>
      <c r="AC18" s="197">
        <f>VLOOKUP(A18,Table1[[idaar]:[Andel SN]],9,FALSE)</f>
        <v>0</v>
      </c>
      <c r="AD18" s="197">
        <f>VLOOKUP(A18,Table1[[idaar]:[Andel SN]],10,FALSE)</f>
        <v>0</v>
      </c>
      <c r="AE18" s="312">
        <f t="shared" si="4"/>
        <v>0</v>
      </c>
      <c r="AF18" s="312">
        <f t="shared" si="5"/>
        <v>0</v>
      </c>
      <c r="AG18" s="312">
        <f t="shared" si="6"/>
        <v>0</v>
      </c>
    </row>
    <row r="19" spans="1:33" x14ac:dyDescent="0.2">
      <c r="A19">
        <v>552015</v>
      </c>
      <c r="B19" t="s">
        <v>206</v>
      </c>
      <c r="C19" s="112">
        <f>VLOOKUP(A19,IRData!$A$3:$F$142,6,FALSE)</f>
        <v>17687.463170613901</v>
      </c>
      <c r="D19" s="45">
        <f>C19*Forutsetninger!$C$30</f>
        <v>18713.336034509506</v>
      </c>
      <c r="E19" s="43">
        <f>VLOOKUP($A19,IRData!$A$2:$N$142,7,FALSE)</f>
        <v>4501</v>
      </c>
      <c r="F19" s="43">
        <f>VLOOKUP($A19,IRData!$A$2:$N$142,8,FALSE)</f>
        <v>76443</v>
      </c>
      <c r="G19" s="43">
        <f>VLOOKUP($A19,IRData!$A$2:$N$142,9,FALSE)</f>
        <v>77207.429999999993</v>
      </c>
      <c r="H19" s="43">
        <f>VLOOKUP($A19,IRData!$A$2:$N$142,10,FALSE)</f>
        <v>6580</v>
      </c>
      <c r="I19" s="43">
        <f>VLOOKUP($A19,IRData!$A$2:$N$142,11,FALSE)</f>
        <v>0</v>
      </c>
      <c r="J19" s="45">
        <f>VLOOKUP(A19,IRData!$A$3:$AF$142,32,FALSE)</f>
        <v>1873.855644598</v>
      </c>
      <c r="K19" s="45">
        <f>VLOOKUP(A19,IRData!$A$3:$AM$142,37,FALSE)</f>
        <v>0</v>
      </c>
      <c r="L19" s="112">
        <f>VLOOKUP($A19,IRData!$A$2:$N$142,13,FALSE)</f>
        <v>697</v>
      </c>
      <c r="M19" s="44">
        <f>L19*Forutsetninger!$C$24</f>
        <v>735.33499999999992</v>
      </c>
      <c r="N19" s="112">
        <f>VLOOKUP(A19,IRData!$A$3:$E$142,5,FALSE)*Forutsetninger!$C$30</f>
        <v>0</v>
      </c>
      <c r="O19" s="112">
        <f>VLOOKUP(A19,IRData!$A$3:$AG$142,19,FALSE)*Forutsetninger!$C$24</f>
        <v>381.8467</v>
      </c>
      <c r="P19" s="45">
        <f t="shared" si="0"/>
        <v>25823.526679107505</v>
      </c>
      <c r="Q19" s="45">
        <f>D19+E19+J19+K19+M19+G19*Forutsetninger!$B$6+N19</f>
        <v>30548.621395107504</v>
      </c>
      <c r="R19" s="46">
        <f>IFERROR((VLOOKUP(A19,'DEAnorm D-nett'!$A$4:$H$130,8,FALSE)+O19),0)</f>
        <v>24611.436358061012</v>
      </c>
      <c r="S19" s="21">
        <f>IFERROR((VLOOKUP(A19,'DEAnorm R-nett'!$A$4:$H$85,8,FALSE)+N19+K19),N19+K19)</f>
        <v>0</v>
      </c>
      <c r="T19" s="118">
        <f>IFERROR(VLOOKUP(A19,IRData!$A$3:$AN$142,40,FALSE),0)</f>
        <v>0</v>
      </c>
      <c r="U19" s="47">
        <f>(1-Forutsetninger!$B$4)*Q19+(R19+S19+T19)*Forutsetninger!$B$4</f>
        <v>26986.310372879609</v>
      </c>
      <c r="V19" s="41">
        <f>(R19+S19+T19)-G19*($K$156+$K$150)/Forutsetninger!$B$4</f>
        <v>21535.379090503571</v>
      </c>
      <c r="W19" s="296">
        <f>(1-Forutsetninger!$B$4)*Q19+Forutsetninger!$B$4*V19</f>
        <v>25140.676012345146</v>
      </c>
      <c r="X19" s="185">
        <v>25155.395231530503</v>
      </c>
      <c r="Y19" s="198">
        <f t="shared" si="1"/>
        <v>-14.71921918535736</v>
      </c>
      <c r="Z19" s="197">
        <f t="shared" si="2"/>
        <v>-5.8513170037208814E-4</v>
      </c>
      <c r="AA19" s="185">
        <f t="shared" si="3"/>
        <v>0</v>
      </c>
      <c r="AB19" s="197">
        <f>VLOOKUP(A19,Table1[[idaar]:[Andel SN]],8,FALSE)</f>
        <v>1</v>
      </c>
      <c r="AC19" s="197">
        <f>VLOOKUP(A19,Table1[[idaar]:[Andel SN]],9,FALSE)</f>
        <v>0</v>
      </c>
      <c r="AD19" s="197">
        <f>VLOOKUP(A19,Table1[[idaar]:[Andel SN]],10,FALSE)</f>
        <v>0</v>
      </c>
      <c r="AE19" s="312">
        <f t="shared" si="4"/>
        <v>0</v>
      </c>
      <c r="AF19" s="312">
        <f t="shared" si="5"/>
        <v>0</v>
      </c>
      <c r="AG19" s="312">
        <f t="shared" si="6"/>
        <v>0</v>
      </c>
    </row>
    <row r="20" spans="1:33" x14ac:dyDescent="0.2">
      <c r="A20">
        <v>5032015</v>
      </c>
      <c r="B20" s="174" t="s">
        <v>323</v>
      </c>
      <c r="C20" s="112">
        <f>VLOOKUP(A20,IRData!$A$3:$F$142,6,FALSE)</f>
        <v>156133.60897960738</v>
      </c>
      <c r="D20" s="45">
        <f>C20*Forutsetninger!$C$30</f>
        <v>165189.35830042462</v>
      </c>
      <c r="E20" s="43">
        <f>VLOOKUP($A20,IRData!$A$2:$N$142,7,FALSE)</f>
        <v>53609</v>
      </c>
      <c r="F20" s="43">
        <f>VLOOKUP($A20,IRData!$A$2:$N$142,8,FALSE)</f>
        <v>1055739</v>
      </c>
      <c r="G20" s="43">
        <f>VLOOKUP($A20,IRData!$A$2:$N$142,9,FALSE)</f>
        <v>1066296.3899999999</v>
      </c>
      <c r="H20" s="43">
        <f>VLOOKUP($A20,IRData!$A$2:$N$142,10,FALSE)</f>
        <v>73934</v>
      </c>
      <c r="I20" s="43">
        <f>VLOOKUP($A20,IRData!$A$2:$N$142,11,FALSE)</f>
        <v>17398</v>
      </c>
      <c r="J20" s="45">
        <f>VLOOKUP(A20,IRData!$A$3:$AF$142,32,FALSE)</f>
        <v>21054.9609768554</v>
      </c>
      <c r="K20" s="45">
        <f>VLOOKUP(A20,IRData!$A$3:$AM$142,37,FALSE)</f>
        <v>4954.6110189538003</v>
      </c>
      <c r="L20" s="112">
        <f>VLOOKUP($A20,IRData!$A$2:$N$142,13,FALSE)</f>
        <v>24895</v>
      </c>
      <c r="M20" s="44">
        <f>L20*Forutsetninger!$C$24</f>
        <v>26264.224999999999</v>
      </c>
      <c r="N20" s="112">
        <f>VLOOKUP(A20,IRData!$A$3:$E$142,5,FALSE)*Forutsetninger!$C$30</f>
        <v>0</v>
      </c>
      <c r="O20" s="112">
        <f>VLOOKUP(A20,IRData!$A$3:$AG$142,19,FALSE)*Forutsetninger!$C$24</f>
        <v>0</v>
      </c>
      <c r="P20" s="45">
        <f t="shared" si="0"/>
        <v>271072.15529623377</v>
      </c>
      <c r="Q20" s="45">
        <f>D20+E20+J20+K20+M20+G20*Forutsetninger!$B$6+N20</f>
        <v>336329.49436423375</v>
      </c>
      <c r="R20" s="46">
        <f>IFERROR((VLOOKUP(A20,'DEAnorm D-nett'!$A$4:$H$130,8,FALSE)+O20),0)</f>
        <v>255931.6446652959</v>
      </c>
      <c r="S20" s="21">
        <f>IFERROR((VLOOKUP(A20,'DEAnorm R-nett'!$A$4:$H$85,8,FALSE)+N20+K20),N20+K20)</f>
        <v>56822.312855234297</v>
      </c>
      <c r="T20" s="118">
        <f>IFERROR(VLOOKUP(A20,IRData!$A$3:$AN$142,40,FALSE),0)</f>
        <v>5061.3272400877777</v>
      </c>
      <c r="U20" s="47">
        <f>(1-Forutsetninger!$B$4)*Q20+(R20+S20+T20)*Forutsetninger!$B$4</f>
        <v>325220.9686020643</v>
      </c>
      <c r="V20" s="41">
        <f>(R20+S20+T20)-G20*($K$156+$K$150)/Forutsetninger!$B$4</f>
        <v>275332.47242209356</v>
      </c>
      <c r="W20" s="296">
        <f>(1-Forutsetninger!$B$4)*Q20+Forutsetninger!$B$4*V20</f>
        <v>299731.28119894967</v>
      </c>
      <c r="X20" s="185">
        <v>299898.46030078921</v>
      </c>
      <c r="Y20" s="198">
        <f t="shared" si="1"/>
        <v>-167.17910183954518</v>
      </c>
      <c r="Z20" s="197">
        <f t="shared" si="2"/>
        <v>-5.5745235127872795E-4</v>
      </c>
      <c r="AA20" s="185">
        <f t="shared" si="3"/>
        <v>0</v>
      </c>
      <c r="AB20" s="197">
        <f>VLOOKUP(A20,Table1[[idaar]:[Andel SN]],8,FALSE)</f>
        <v>0.66037587676334308</v>
      </c>
      <c r="AC20" s="197">
        <f>VLOOKUP(A20,Table1[[idaar]:[Andel SN]],9,FALSE)</f>
        <v>0.24905452155690849</v>
      </c>
      <c r="AD20" s="197">
        <f>VLOOKUP(A20,Table1[[idaar]:[Andel SN]],10,FALSE)</f>
        <v>9.0569601679748368E-2</v>
      </c>
      <c r="AE20" s="312">
        <f t="shared" si="4"/>
        <v>0</v>
      </c>
      <c r="AF20" s="312">
        <f t="shared" si="5"/>
        <v>0</v>
      </c>
      <c r="AG20" s="312">
        <f t="shared" si="6"/>
        <v>0</v>
      </c>
    </row>
    <row r="21" spans="1:33" x14ac:dyDescent="0.2">
      <c r="A21">
        <v>1962015</v>
      </c>
      <c r="B21" t="s">
        <v>243</v>
      </c>
      <c r="C21" s="112">
        <f>VLOOKUP(A21,IRData!$A$3:$F$142,6,FALSE)</f>
        <v>16213.9595355211</v>
      </c>
      <c r="D21" s="45">
        <f>C21*Forutsetninger!$C$30</f>
        <v>17154.369188581324</v>
      </c>
      <c r="E21" s="43">
        <f>VLOOKUP($A21,IRData!$A$2:$N$142,7,FALSE)</f>
        <v>6534</v>
      </c>
      <c r="F21" s="43">
        <f>VLOOKUP($A21,IRData!$A$2:$N$142,8,FALSE)</f>
        <v>97835</v>
      </c>
      <c r="G21" s="43">
        <f>VLOOKUP($A21,IRData!$A$2:$N$142,9,FALSE)</f>
        <v>98813.35</v>
      </c>
      <c r="H21" s="43">
        <f>VLOOKUP($A21,IRData!$A$2:$N$142,10,FALSE)</f>
        <v>6583</v>
      </c>
      <c r="I21" s="43">
        <f>VLOOKUP($A21,IRData!$A$2:$N$142,11,FALSE)</f>
        <v>0</v>
      </c>
      <c r="J21" s="45">
        <f>VLOOKUP(A21,IRData!$A$3:$AF$142,32,FALSE)</f>
        <v>1874.7099860773001</v>
      </c>
      <c r="K21" s="45">
        <f>VLOOKUP(A21,IRData!$A$3:$AM$142,37,FALSE)</f>
        <v>0</v>
      </c>
      <c r="L21" s="112">
        <f>VLOOKUP($A21,IRData!$A$2:$N$142,13,FALSE)</f>
        <v>1189</v>
      </c>
      <c r="M21" s="44">
        <f>L21*Forutsetninger!$C$24</f>
        <v>1254.395</v>
      </c>
      <c r="N21" s="112">
        <f>VLOOKUP(A21,IRData!$A$3:$E$142,5,FALSE)*Forutsetninger!$C$30</f>
        <v>0</v>
      </c>
      <c r="O21" s="112">
        <f>VLOOKUP(A21,IRData!$A$3:$AG$142,19,FALSE)*Forutsetninger!$C$24</f>
        <v>0</v>
      </c>
      <c r="P21" s="45">
        <f t="shared" si="0"/>
        <v>26817.474174658626</v>
      </c>
      <c r="Q21" s="45">
        <f>D21+E21+J21+K21+M21+G21*Forutsetninger!$B$6+N21</f>
        <v>32864.851194658622</v>
      </c>
      <c r="R21" s="46">
        <f>IFERROR((VLOOKUP(A21,'DEAnorm D-nett'!$A$4:$H$130,8,FALSE)+O21),0)</f>
        <v>26370.764847652412</v>
      </c>
      <c r="S21" s="21">
        <f>IFERROR((VLOOKUP(A21,'DEAnorm R-nett'!$A$4:$H$85,8,FALSE)+N21+K21),N21+K21)</f>
        <v>0</v>
      </c>
      <c r="T21" s="118">
        <f>IFERROR(VLOOKUP(A21,IRData!$A$3:$AN$142,40,FALSE),0)</f>
        <v>0</v>
      </c>
      <c r="U21" s="47">
        <f>(1-Forutsetninger!$B$4)*Q21+(R21+S21+T21)*Forutsetninger!$B$4</f>
        <v>28968.399386454897</v>
      </c>
      <c r="V21" s="41">
        <f>(R21+S21+T21)-G21*($K$156+$K$150)/Forutsetninger!$B$4</f>
        <v>22433.896033353103</v>
      </c>
      <c r="W21" s="296">
        <f>(1-Forutsetninger!$B$4)*Q21+Forutsetninger!$B$4*V21</f>
        <v>26606.278097875311</v>
      </c>
      <c r="X21" s="185">
        <v>26621.025711452865</v>
      </c>
      <c r="Y21" s="198">
        <f t="shared" si="1"/>
        <v>-14.747613577554148</v>
      </c>
      <c r="Z21" s="197">
        <f t="shared" si="2"/>
        <v>-5.5398367205698794E-4</v>
      </c>
      <c r="AA21" s="185">
        <f t="shared" si="3"/>
        <v>0</v>
      </c>
      <c r="AB21" s="200">
        <v>1</v>
      </c>
      <c r="AC21" s="200">
        <v>0</v>
      </c>
      <c r="AD21" s="200">
        <v>0</v>
      </c>
      <c r="AE21" s="312">
        <f t="shared" si="4"/>
        <v>0</v>
      </c>
      <c r="AF21" s="312">
        <f t="shared" si="5"/>
        <v>0</v>
      </c>
      <c r="AG21" s="312">
        <f t="shared" si="6"/>
        <v>0</v>
      </c>
    </row>
    <row r="22" spans="1:33" x14ac:dyDescent="0.2">
      <c r="A22">
        <v>452015</v>
      </c>
      <c r="B22" t="s">
        <v>202</v>
      </c>
      <c r="C22" s="112">
        <f>VLOOKUP(A22,IRData!$A$3:$F$142,6,FALSE)</f>
        <v>14318.482798224401</v>
      </c>
      <c r="D22" s="45">
        <f>C22*Forutsetninger!$C$30</f>
        <v>15148.954800521416</v>
      </c>
      <c r="E22" s="43">
        <f>VLOOKUP($A22,IRData!$A$2:$N$142,7,FALSE)</f>
        <v>3005</v>
      </c>
      <c r="F22" s="43">
        <f>VLOOKUP($A22,IRData!$A$2:$N$142,8,FALSE)</f>
        <v>47320</v>
      </c>
      <c r="G22" s="43">
        <f>VLOOKUP($A22,IRData!$A$2:$N$142,9,FALSE)</f>
        <v>47793.2</v>
      </c>
      <c r="H22" s="43">
        <f>VLOOKUP($A22,IRData!$A$2:$N$142,10,FALSE)</f>
        <v>5268</v>
      </c>
      <c r="I22" s="43">
        <f>VLOOKUP($A22,IRData!$A$2:$N$142,11,FALSE)</f>
        <v>0</v>
      </c>
      <c r="J22" s="45">
        <f>VLOOKUP(A22,IRData!$A$3:$AF$142,32,FALSE)</f>
        <v>1500.2236376507999</v>
      </c>
      <c r="K22" s="45">
        <f>VLOOKUP(A22,IRData!$A$3:$AM$142,37,FALSE)</f>
        <v>0</v>
      </c>
      <c r="L22" s="112">
        <f>VLOOKUP($A22,IRData!$A$2:$N$142,13,FALSE)</f>
        <v>791</v>
      </c>
      <c r="M22" s="44">
        <f>L22*Forutsetninger!$C$24</f>
        <v>834.505</v>
      </c>
      <c r="N22" s="112">
        <f>VLOOKUP(A22,IRData!$A$3:$E$142,5,FALSE)*Forutsetninger!$C$30</f>
        <v>0</v>
      </c>
      <c r="O22" s="112">
        <f>VLOOKUP(A22,IRData!$A$3:$AG$142,19,FALSE)*Forutsetninger!$C$24</f>
        <v>208.27809999999997</v>
      </c>
      <c r="P22" s="45">
        <f t="shared" si="0"/>
        <v>20488.683438172218</v>
      </c>
      <c r="Q22" s="45">
        <f>D22+E22+J22+K22+M22+G22*Forutsetninger!$B$6+N22</f>
        <v>23413.627278172218</v>
      </c>
      <c r="R22" s="46">
        <f>IFERROR((VLOOKUP(A22,'DEAnorm D-nett'!$A$4:$H$130,8,FALSE)+O22),0)</f>
        <v>21825.609149163462</v>
      </c>
      <c r="S22" s="21">
        <f>IFERROR((VLOOKUP(A22,'DEAnorm R-nett'!$A$4:$H$85,8,FALSE)+N22+K22),N22+K22)</f>
        <v>0</v>
      </c>
      <c r="T22" s="118">
        <f>IFERROR(VLOOKUP(A22,IRData!$A$3:$AN$142,40,FALSE),0)</f>
        <v>0</v>
      </c>
      <c r="U22" s="47">
        <f>(1-Forutsetninger!$B$4)*Q22+(R22+S22+T22)*Forutsetninger!$B$4</f>
        <v>22460.816400766966</v>
      </c>
      <c r="V22" s="41">
        <f>(R22+S22+T22)-G22*($K$156+$K$150)/Forutsetninger!$B$4</f>
        <v>19921.45795283655</v>
      </c>
      <c r="W22" s="296">
        <f>(1-Forutsetninger!$B$4)*Q22+Forutsetninger!$B$4*V22</f>
        <v>21318.325682970819</v>
      </c>
      <c r="X22" s="185">
        <v>21330.006496893504</v>
      </c>
      <c r="Y22" s="198">
        <f t="shared" si="1"/>
        <v>-11.680813922685047</v>
      </c>
      <c r="Z22" s="197">
        <f t="shared" si="2"/>
        <v>-5.4762355203155882E-4</v>
      </c>
      <c r="AA22" s="185">
        <f t="shared" si="3"/>
        <v>0</v>
      </c>
      <c r="AB22" s="197">
        <f>VLOOKUP(A22,Table1[[idaar]:[Andel SN]],8,FALSE)</f>
        <v>1</v>
      </c>
      <c r="AC22" s="197">
        <f>VLOOKUP(A22,Table1[[idaar]:[Andel SN]],9,FALSE)</f>
        <v>0</v>
      </c>
      <c r="AD22" s="197">
        <f>VLOOKUP(A22,Table1[[idaar]:[Andel SN]],10,FALSE)</f>
        <v>0</v>
      </c>
      <c r="AE22" s="312">
        <f t="shared" si="4"/>
        <v>0</v>
      </c>
      <c r="AF22" s="312">
        <f t="shared" si="5"/>
        <v>0</v>
      </c>
      <c r="AG22" s="312">
        <f t="shared" si="6"/>
        <v>0</v>
      </c>
    </row>
    <row r="23" spans="1:33" x14ac:dyDescent="0.2">
      <c r="A23">
        <v>1042015</v>
      </c>
      <c r="B23" t="s">
        <v>223</v>
      </c>
      <c r="C23" s="112">
        <f>VLOOKUP(A23,IRData!$A$3:$F$142,6,FALSE)</f>
        <v>13491.8339869058</v>
      </c>
      <c r="D23" s="45">
        <f>C23*Forutsetninger!$C$30</f>
        <v>14274.360358146338</v>
      </c>
      <c r="E23" s="43">
        <f>VLOOKUP($A23,IRData!$A$2:$N$142,7,FALSE)</f>
        <v>3186</v>
      </c>
      <c r="F23" s="43">
        <f>VLOOKUP($A23,IRData!$A$2:$N$142,8,FALSE)</f>
        <v>42055</v>
      </c>
      <c r="G23" s="43">
        <f>VLOOKUP($A23,IRData!$A$2:$N$142,9,FALSE)</f>
        <v>42475.55</v>
      </c>
      <c r="H23" s="43">
        <f>VLOOKUP($A23,IRData!$A$2:$N$142,10,FALSE)</f>
        <v>7217</v>
      </c>
      <c r="I23" s="43">
        <f>VLOOKUP($A23,IRData!$A$2:$N$142,11,FALSE)</f>
        <v>0</v>
      </c>
      <c r="J23" s="45">
        <f>VLOOKUP(A23,IRData!$A$3:$AF$142,32,FALSE)</f>
        <v>2055.0244532922998</v>
      </c>
      <c r="K23" s="45">
        <f>VLOOKUP(A23,IRData!$A$3:$AM$142,37,FALSE)</f>
        <v>0</v>
      </c>
      <c r="L23" s="112">
        <f>VLOOKUP($A23,IRData!$A$2:$N$142,13,FALSE)</f>
        <v>3124</v>
      </c>
      <c r="M23" s="44">
        <f>L23*Forutsetninger!$C$24</f>
        <v>3295.8199999999997</v>
      </c>
      <c r="N23" s="112">
        <f>VLOOKUP(A23,IRData!$A$3:$E$142,5,FALSE)*Forutsetninger!$C$30</f>
        <v>0</v>
      </c>
      <c r="O23" s="112">
        <f>VLOOKUP(A23,IRData!$A$3:$AG$142,19,FALSE)*Forutsetninger!$C$24</f>
        <v>173.5686</v>
      </c>
      <c r="P23" s="45">
        <f t="shared" si="0"/>
        <v>22811.204811438638</v>
      </c>
      <c r="Q23" s="45">
        <f>D23+E23+J23+K23+M23+G23*Forutsetninger!$B$6+N23</f>
        <v>25410.708471438636</v>
      </c>
      <c r="R23" s="46">
        <f>IFERROR((VLOOKUP(A23,'DEAnorm D-nett'!$A$4:$H$130,8,FALSE)+O23),0)</f>
        <v>24510.633260351238</v>
      </c>
      <c r="S23" s="21">
        <f>IFERROR((VLOOKUP(A23,'DEAnorm R-nett'!$A$4:$H$85,8,FALSE)+N23+K23),N23+K23)</f>
        <v>0</v>
      </c>
      <c r="T23" s="118">
        <f>IFERROR(VLOOKUP(A23,IRData!$A$3:$AN$142,40,FALSE),0)</f>
        <v>0</v>
      </c>
      <c r="U23" s="47">
        <f>(1-Forutsetninger!$B$4)*Q23+(R23+S23+T23)*Forutsetninger!$B$4</f>
        <v>24870.663344786197</v>
      </c>
      <c r="V23" s="41">
        <f>(R23+S23+T23)-G23*($K$156+$K$150)/Forutsetninger!$B$4</f>
        <v>22818.345040538723</v>
      </c>
      <c r="W23" s="296">
        <f>(1-Forutsetninger!$B$4)*Q23+Forutsetninger!$B$4*V23</f>
        <v>23855.290412898688</v>
      </c>
      <c r="X23" s="185">
        <v>23868.069132162753</v>
      </c>
      <c r="Y23" s="198">
        <f t="shared" si="1"/>
        <v>-12.778719264064421</v>
      </c>
      <c r="Z23" s="197">
        <f t="shared" si="2"/>
        <v>-5.3538973736441935E-4</v>
      </c>
      <c r="AA23" s="185">
        <f t="shared" si="3"/>
        <v>0</v>
      </c>
      <c r="AB23" s="197">
        <f>VLOOKUP(A23,Table1[[idaar]:[Andel SN]],8,FALSE)</f>
        <v>1</v>
      </c>
      <c r="AC23" s="197">
        <f>VLOOKUP(A23,Table1[[idaar]:[Andel SN]],9,FALSE)</f>
        <v>0</v>
      </c>
      <c r="AD23" s="197">
        <f>VLOOKUP(A23,Table1[[idaar]:[Andel SN]],10,FALSE)</f>
        <v>0</v>
      </c>
      <c r="AE23" s="312">
        <f t="shared" si="4"/>
        <v>0</v>
      </c>
      <c r="AF23" s="312">
        <f t="shared" si="5"/>
        <v>0</v>
      </c>
      <c r="AG23" s="312">
        <f t="shared" si="6"/>
        <v>0</v>
      </c>
    </row>
    <row r="24" spans="1:33" x14ac:dyDescent="0.2">
      <c r="A24">
        <v>412015</v>
      </c>
      <c r="B24" t="s">
        <v>163</v>
      </c>
      <c r="C24" s="112">
        <f>VLOOKUP(A24,IRData!$A$3:$F$142,6,FALSE)</f>
        <v>9373.2017031236046</v>
      </c>
      <c r="D24" s="45">
        <f>C24*Forutsetninger!$C$30</f>
        <v>9916.8474019047735</v>
      </c>
      <c r="E24" s="43">
        <f>VLOOKUP($A24,IRData!$A$2:$N$142,7,FALSE)</f>
        <v>2397</v>
      </c>
      <c r="F24" s="43">
        <f>VLOOKUP($A24,IRData!$A$2:$N$142,8,FALSE)</f>
        <v>30446</v>
      </c>
      <c r="G24" s="43">
        <f>VLOOKUP($A24,IRData!$A$2:$N$142,9,FALSE)</f>
        <v>30750.46</v>
      </c>
      <c r="H24" s="43">
        <f>VLOOKUP($A24,IRData!$A$2:$N$142,10,FALSE)</f>
        <v>3674</v>
      </c>
      <c r="I24" s="43">
        <f>VLOOKUP($A24,IRData!$A$2:$N$142,11,FALSE)</f>
        <v>0</v>
      </c>
      <c r="J24" s="45">
        <f>VLOOKUP(A24,IRData!$A$3:$AF$142,32,FALSE)</f>
        <v>1046.2835316493999</v>
      </c>
      <c r="K24" s="45">
        <f>VLOOKUP(A24,IRData!$A$3:$AM$142,37,FALSE)</f>
        <v>0</v>
      </c>
      <c r="L24" s="112">
        <f>VLOOKUP($A24,IRData!$A$2:$N$142,13,FALSE)</f>
        <v>694</v>
      </c>
      <c r="M24" s="44">
        <f>L24*Forutsetninger!$C$24</f>
        <v>732.17</v>
      </c>
      <c r="N24" s="112">
        <f>VLOOKUP(A24,IRData!$A$3:$E$142,5,FALSE)*Forutsetninger!$C$30</f>
        <v>0</v>
      </c>
      <c r="O24" s="112">
        <f>VLOOKUP(A24,IRData!$A$3:$AG$142,19,FALSE)*Forutsetninger!$C$24</f>
        <v>520.70579999999995</v>
      </c>
      <c r="P24" s="45">
        <f t="shared" si="0"/>
        <v>14092.300933554174</v>
      </c>
      <c r="Q24" s="45">
        <f>D24+E24+J24+K24+M24+G24*Forutsetninger!$B$6+N24</f>
        <v>15974.229085554174</v>
      </c>
      <c r="R24" s="46">
        <f>IFERROR((VLOOKUP(A24,'DEAnorm D-nett'!$A$4:$H$130,8,FALSE)+O24),0)</f>
        <v>13146.766033319551</v>
      </c>
      <c r="S24" s="21">
        <f>IFERROR((VLOOKUP(A24,'DEAnorm R-nett'!$A$4:$H$85,8,FALSE)+N24+K24),N24+K24)</f>
        <v>126.48716301642111</v>
      </c>
      <c r="T24" s="118">
        <f>IFERROR(VLOOKUP(A24,IRData!$A$3:$AN$142,40,FALSE),0)</f>
        <v>0</v>
      </c>
      <c r="U24" s="47">
        <f>(1-Forutsetninger!$B$4)*Q24+(R24+S24+T24)*Forutsetninger!$B$4</f>
        <v>14353.643552023254</v>
      </c>
      <c r="V24" s="41">
        <f>(R24+S24+T24)-G24*($K$156+$K$150)/Forutsetninger!$B$4</f>
        <v>12048.109761776186</v>
      </c>
      <c r="W24" s="296">
        <f>(1-Forutsetninger!$B$4)*Q24+Forutsetninger!$B$4*V24</f>
        <v>13618.557491287382</v>
      </c>
      <c r="X24" s="185">
        <v>13625.563470765808</v>
      </c>
      <c r="Y24" s="198">
        <f t="shared" si="1"/>
        <v>-7.005979478426525</v>
      </c>
      <c r="Z24" s="197">
        <f t="shared" si="2"/>
        <v>-5.1417906448112283E-4</v>
      </c>
      <c r="AA24" s="185">
        <f t="shared" si="3"/>
        <v>0</v>
      </c>
      <c r="AB24" s="197">
        <f>VLOOKUP(A24,Table1[[idaar]:[Andel SN]],8,FALSE)</f>
        <v>0.99882577425510055</v>
      </c>
      <c r="AC24" s="197">
        <f>VLOOKUP(A24,Table1[[idaar]:[Andel SN]],9,FALSE)</f>
        <v>1.1742257448994569E-3</v>
      </c>
      <c r="AD24" s="197">
        <f>VLOOKUP(A24,Table1[[idaar]:[Andel SN]],10,FALSE)</f>
        <v>0</v>
      </c>
      <c r="AE24" s="312">
        <f t="shared" si="4"/>
        <v>0</v>
      </c>
      <c r="AF24" s="312">
        <f t="shared" si="5"/>
        <v>0</v>
      </c>
      <c r="AG24" s="312">
        <f t="shared" si="6"/>
        <v>0</v>
      </c>
    </row>
    <row r="25" spans="1:33" x14ac:dyDescent="0.2">
      <c r="A25">
        <v>2042015</v>
      </c>
      <c r="B25" t="s">
        <v>174</v>
      </c>
      <c r="C25" s="112">
        <f>VLOOKUP(A25,IRData!$A$3:$F$142,6,FALSE)</f>
        <v>13721.342767197701</v>
      </c>
      <c r="D25" s="45">
        <f>C25*Forutsetninger!$C$30</f>
        <v>14517.180647695168</v>
      </c>
      <c r="E25" s="43">
        <f>VLOOKUP($A25,IRData!$A$2:$N$142,7,FALSE)</f>
        <v>3273</v>
      </c>
      <c r="F25" s="43">
        <f>VLOOKUP($A25,IRData!$A$2:$N$142,8,FALSE)</f>
        <v>75865</v>
      </c>
      <c r="G25" s="43">
        <f>VLOOKUP($A25,IRData!$A$2:$N$142,9,FALSE)</f>
        <v>76623.649999999994</v>
      </c>
      <c r="H25" s="43">
        <f>VLOOKUP($A25,IRData!$A$2:$N$142,10,FALSE)</f>
        <v>12113</v>
      </c>
      <c r="I25" s="43">
        <f>VLOOKUP($A25,IRData!$A$2:$N$142,11,FALSE)</f>
        <v>0</v>
      </c>
      <c r="J25" s="45">
        <f>VLOOKUP(A25,IRData!$A$3:$AF$142,32,FALSE)</f>
        <v>3516.8069431168001</v>
      </c>
      <c r="K25" s="45">
        <f>VLOOKUP(A25,IRData!$A$3:$AM$142,37,FALSE)</f>
        <v>0</v>
      </c>
      <c r="L25" s="112">
        <f>VLOOKUP($A25,IRData!$A$2:$N$142,13,FALSE)</f>
        <v>1303</v>
      </c>
      <c r="M25" s="44">
        <f>L25*Forutsetninger!$C$24</f>
        <v>1374.665</v>
      </c>
      <c r="N25" s="112">
        <f>VLOOKUP(A25,IRData!$A$3:$E$142,5,FALSE)*Forutsetninger!$C$30</f>
        <v>0</v>
      </c>
      <c r="O25" s="112">
        <f>VLOOKUP(A25,IRData!$A$3:$AG$142,19,FALSE)*Forutsetninger!$C$24</f>
        <v>0</v>
      </c>
      <c r="P25" s="45">
        <f t="shared" si="0"/>
        <v>22681.652590811969</v>
      </c>
      <c r="Q25" s="45">
        <f>D25+E25+J25+K25+M25+G25*Forutsetninger!$B$6+N25</f>
        <v>27371.019970811969</v>
      </c>
      <c r="R25" s="46">
        <f>IFERROR((VLOOKUP(A25,'DEAnorm D-nett'!$A$4:$H$130,8,FALSE)+O25),0)</f>
        <v>25803.056542732622</v>
      </c>
      <c r="S25" s="21">
        <f>IFERROR((VLOOKUP(A25,'DEAnorm R-nett'!$A$4:$H$85,8,FALSE)+N25+K25),N25+K25)</f>
        <v>670.65177561559699</v>
      </c>
      <c r="T25" s="118">
        <f>IFERROR(VLOOKUP(A25,IRData!$A$3:$AN$142,40,FALSE),0)</f>
        <v>0</v>
      </c>
      <c r="U25" s="47">
        <f>(1-Forutsetninger!$B$4)*Q25+(R25+S25+T25)*Forutsetninger!$B$4</f>
        <v>26832.632979333721</v>
      </c>
      <c r="V25" s="41">
        <f>(R25+S25+T25)-G25*($K$156+$K$150)/Forutsetninger!$B$4</f>
        <v>23420.909702343546</v>
      </c>
      <c r="W25" s="296">
        <f>(1-Forutsetninger!$B$4)*Q25+Forutsetninger!$B$4*V25</f>
        <v>25000.953809730916</v>
      </c>
      <c r="X25" s="185">
        <v>25013.567326927739</v>
      </c>
      <c r="Y25" s="198">
        <f t="shared" si="1"/>
        <v>-12.613517196823523</v>
      </c>
      <c r="Z25" s="197">
        <f t="shared" si="2"/>
        <v>-5.0426702564910651E-4</v>
      </c>
      <c r="AA25" s="185">
        <f t="shared" si="3"/>
        <v>0</v>
      </c>
      <c r="AB25" s="197">
        <f>VLOOKUP(A25,Table1[[idaar]:[Andel SN]],8,FALSE)</f>
        <v>0.97685296234108898</v>
      </c>
      <c r="AC25" s="197">
        <f>VLOOKUP(A25,Table1[[idaar]:[Andel SN]],9,FALSE)</f>
        <v>2.3147037658911011E-2</v>
      </c>
      <c r="AD25" s="197">
        <f>VLOOKUP(A25,Table1[[idaar]:[Andel SN]],10,FALSE)</f>
        <v>0</v>
      </c>
      <c r="AE25" s="312">
        <f t="shared" si="4"/>
        <v>0</v>
      </c>
      <c r="AF25" s="312">
        <f t="shared" si="5"/>
        <v>0</v>
      </c>
      <c r="AG25" s="312">
        <f t="shared" si="6"/>
        <v>0</v>
      </c>
    </row>
    <row r="26" spans="1:33" x14ac:dyDescent="0.2">
      <c r="A26">
        <v>1812015</v>
      </c>
      <c r="B26" t="s">
        <v>239</v>
      </c>
      <c r="C26" s="112">
        <f>VLOOKUP(A26,IRData!$A$3:$F$142,6,FALSE)</f>
        <v>7215.7982832609596</v>
      </c>
      <c r="D26" s="45">
        <f>C26*Forutsetninger!$C$30</f>
        <v>7634.3145836900958</v>
      </c>
      <c r="E26" s="43">
        <f>VLOOKUP($A26,IRData!$A$2:$N$142,7,FALSE)</f>
        <v>1296</v>
      </c>
      <c r="F26" s="43">
        <f>VLOOKUP($A26,IRData!$A$2:$N$142,8,FALSE)</f>
        <v>21915</v>
      </c>
      <c r="G26" s="43">
        <f>VLOOKUP($A26,IRData!$A$2:$N$142,9,FALSE)</f>
        <v>22134.15</v>
      </c>
      <c r="H26" s="43">
        <f>VLOOKUP($A26,IRData!$A$2:$N$142,10,FALSE)</f>
        <v>1580</v>
      </c>
      <c r="I26" s="43">
        <f>VLOOKUP($A26,IRData!$A$2:$N$142,11,FALSE)</f>
        <v>0</v>
      </c>
      <c r="J26" s="45">
        <f>VLOOKUP(A26,IRData!$A$3:$AF$142,32,FALSE)</f>
        <v>458.72657228799994</v>
      </c>
      <c r="K26" s="45">
        <f>VLOOKUP(A26,IRData!$A$3:$AM$142,37,FALSE)</f>
        <v>0</v>
      </c>
      <c r="L26" s="112">
        <f>VLOOKUP($A26,IRData!$A$2:$N$142,13,FALSE)</f>
        <v>107</v>
      </c>
      <c r="M26" s="44">
        <f>L26*Forutsetninger!$C$24</f>
        <v>112.88499999999999</v>
      </c>
      <c r="N26" s="112">
        <f>VLOOKUP(A26,IRData!$A$3:$E$142,5,FALSE)*Forutsetninger!$C$30</f>
        <v>0</v>
      </c>
      <c r="O26" s="112">
        <f>VLOOKUP(A26,IRData!$A$3:$AG$142,19,FALSE)*Forutsetninger!$C$24</f>
        <v>0</v>
      </c>
      <c r="P26" s="45">
        <f t="shared" si="0"/>
        <v>9501.9261559780953</v>
      </c>
      <c r="Q26" s="45">
        <f>D26+E26+J26+K26+M26+G26*Forutsetninger!$B$6+N26</f>
        <v>10856.536135978095</v>
      </c>
      <c r="R26" s="46">
        <f>IFERROR((VLOOKUP(A26,'DEAnorm D-nett'!$A$4:$H$130,8,FALSE)+O26),0)</f>
        <v>13132.664805866751</v>
      </c>
      <c r="S26" s="21">
        <f>IFERROR((VLOOKUP(A26,'DEAnorm R-nett'!$A$4:$H$85,8,FALSE)+N26+K26),N26+K26)</f>
        <v>0</v>
      </c>
      <c r="T26" s="118">
        <f>IFERROR(VLOOKUP(A26,IRData!$A$3:$AN$142,40,FALSE),0)</f>
        <v>0</v>
      </c>
      <c r="U26" s="47">
        <f>(1-Forutsetninger!$B$4)*Q26+(R26+S26+T26)*Forutsetninger!$B$4</f>
        <v>12222.213337911287</v>
      </c>
      <c r="V26" s="41">
        <f>(R26+S26+T26)-G26*($K$156+$K$150)/Forutsetninger!$B$4</f>
        <v>12250.807801058969</v>
      </c>
      <c r="W26" s="296">
        <f>(1-Forutsetninger!$B$4)*Q26+Forutsetninger!$B$4*V26</f>
        <v>11693.099135026619</v>
      </c>
      <c r="X26" s="185">
        <v>11698.732472903852</v>
      </c>
      <c r="Y26" s="198">
        <f t="shared" si="1"/>
        <v>-5.6333378772324068</v>
      </c>
      <c r="Z26" s="197">
        <f t="shared" si="2"/>
        <v>-4.8153403715147129E-4</v>
      </c>
      <c r="AA26" s="185">
        <f t="shared" si="3"/>
        <v>0</v>
      </c>
      <c r="AB26" s="197">
        <f>VLOOKUP(A26,Table1[[idaar]:[Andel SN]],8,FALSE)</f>
        <v>1</v>
      </c>
      <c r="AC26" s="197">
        <f>VLOOKUP(A26,Table1[[idaar]:[Andel SN]],9,FALSE)</f>
        <v>0</v>
      </c>
      <c r="AD26" s="197">
        <f>VLOOKUP(A26,Table1[[idaar]:[Andel SN]],10,FALSE)</f>
        <v>0</v>
      </c>
      <c r="AE26" s="312">
        <f t="shared" si="4"/>
        <v>0</v>
      </c>
      <c r="AF26" s="312">
        <f t="shared" si="5"/>
        <v>0</v>
      </c>
      <c r="AG26" s="312">
        <f t="shared" si="6"/>
        <v>0</v>
      </c>
    </row>
    <row r="27" spans="1:33" x14ac:dyDescent="0.2">
      <c r="A27">
        <v>2052015</v>
      </c>
      <c r="B27" t="s">
        <v>245</v>
      </c>
      <c r="C27" s="112">
        <f>VLOOKUP(A27,IRData!$A$3:$F$142,6,FALSE)</f>
        <v>16975.7278067156</v>
      </c>
      <c r="D27" s="45">
        <f>C27*Forutsetninger!$C$30</f>
        <v>17960.320019505107</v>
      </c>
      <c r="E27" s="43">
        <f>VLOOKUP($A27,IRData!$A$2:$N$142,7,FALSE)</f>
        <v>6241</v>
      </c>
      <c r="F27" s="43">
        <f>VLOOKUP($A27,IRData!$A$2:$N$142,8,FALSE)</f>
        <v>91955</v>
      </c>
      <c r="G27" s="43">
        <f>VLOOKUP($A27,IRData!$A$2:$N$142,9,FALSE)</f>
        <v>92874.55</v>
      </c>
      <c r="H27" s="43">
        <f>VLOOKUP($A27,IRData!$A$2:$N$142,10,FALSE)</f>
        <v>8663</v>
      </c>
      <c r="I27" s="43">
        <f>VLOOKUP($A27,IRData!$A$2:$N$142,11,FALSE)</f>
        <v>0</v>
      </c>
      <c r="J27" s="45">
        <f>VLOOKUP(A27,IRData!$A$3:$AF$142,32,FALSE)</f>
        <v>2515.1571491967998</v>
      </c>
      <c r="K27" s="45">
        <f>VLOOKUP(A27,IRData!$A$3:$AM$142,37,FALSE)</f>
        <v>0</v>
      </c>
      <c r="L27" s="112">
        <f>VLOOKUP($A27,IRData!$A$2:$N$142,13,FALSE)</f>
        <v>530</v>
      </c>
      <c r="M27" s="44">
        <f>L27*Forutsetninger!$C$24</f>
        <v>559.15</v>
      </c>
      <c r="N27" s="112">
        <f>VLOOKUP(A27,IRData!$A$3:$E$142,5,FALSE)*Forutsetninger!$C$30</f>
        <v>0</v>
      </c>
      <c r="O27" s="112">
        <f>VLOOKUP(A27,IRData!$A$3:$AG$142,19,FALSE)*Forutsetninger!$C$24</f>
        <v>208.27809999999997</v>
      </c>
      <c r="P27" s="45">
        <f t="shared" si="0"/>
        <v>27275.627168701907</v>
      </c>
      <c r="Q27" s="45">
        <f>D27+E27+J27+K27+M27+G27*Forutsetninger!$B$6+N27</f>
        <v>32959.549628701905</v>
      </c>
      <c r="R27" s="46">
        <f>IFERROR((VLOOKUP(A27,'DEAnorm D-nett'!$A$4:$H$130,8,FALSE)+O27),0)</f>
        <v>31297.361709555676</v>
      </c>
      <c r="S27" s="21">
        <f>IFERROR((VLOOKUP(A27,'DEAnorm R-nett'!$A$4:$H$85,8,FALSE)+N27+K27),N27+K27)</f>
        <v>0</v>
      </c>
      <c r="T27" s="118">
        <f>IFERROR(VLOOKUP(A27,IRData!$A$3:$AN$142,40,FALSE),0)</f>
        <v>0</v>
      </c>
      <c r="U27" s="47">
        <f>(1-Forutsetninger!$B$4)*Q27+(R27+S27+T27)*Forutsetninger!$B$4</f>
        <v>31962.236877214167</v>
      </c>
      <c r="V27" s="41">
        <f>(R27+S27+T27)-G27*($K$156+$K$150)/Forutsetninger!$B$4</f>
        <v>27597.103398941959</v>
      </c>
      <c r="W27" s="296">
        <f>(1-Forutsetninger!$B$4)*Q27+Forutsetninger!$B$4*V27</f>
        <v>29742.081890845937</v>
      </c>
      <c r="X27" s="185">
        <v>29756.122847558225</v>
      </c>
      <c r="Y27" s="198">
        <f t="shared" si="1"/>
        <v>-14.04095671228788</v>
      </c>
      <c r="Z27" s="197">
        <f t="shared" si="2"/>
        <v>-4.7186781638926039E-4</v>
      </c>
      <c r="AA27" s="185">
        <f t="shared" si="3"/>
        <v>0</v>
      </c>
      <c r="AB27" s="197">
        <f>VLOOKUP(A27,Table1[[idaar]:[Andel SN]],8,FALSE)</f>
        <v>1</v>
      </c>
      <c r="AC27" s="197">
        <f>VLOOKUP(A27,Table1[[idaar]:[Andel SN]],9,FALSE)</f>
        <v>0</v>
      </c>
      <c r="AD27" s="197">
        <f>VLOOKUP(A27,Table1[[idaar]:[Andel SN]],10,FALSE)</f>
        <v>0</v>
      </c>
      <c r="AE27" s="312">
        <f t="shared" si="4"/>
        <v>0</v>
      </c>
      <c r="AF27" s="312">
        <f t="shared" si="5"/>
        <v>0</v>
      </c>
      <c r="AG27" s="312">
        <f t="shared" si="6"/>
        <v>0</v>
      </c>
    </row>
    <row r="28" spans="1:33" x14ac:dyDescent="0.2">
      <c r="A28">
        <v>1622015</v>
      </c>
      <c r="B28" t="s">
        <v>171</v>
      </c>
      <c r="C28" s="112">
        <f>VLOOKUP(A28,IRData!$A$3:$F$142,6,FALSE)</f>
        <v>23616.050053957973</v>
      </c>
      <c r="D28" s="45">
        <f>C28*Forutsetninger!$C$30</f>
        <v>24985.780957087536</v>
      </c>
      <c r="E28" s="43">
        <f>VLOOKUP($A28,IRData!$A$2:$N$142,7,FALSE)</f>
        <v>6463</v>
      </c>
      <c r="F28" s="43">
        <f>VLOOKUP($A28,IRData!$A$2:$N$142,8,FALSE)</f>
        <v>92533</v>
      </c>
      <c r="G28" s="43">
        <f>VLOOKUP($A28,IRData!$A$2:$N$142,9,FALSE)</f>
        <v>93458.33</v>
      </c>
      <c r="H28" s="43">
        <f>VLOOKUP($A28,IRData!$A$2:$N$142,10,FALSE)</f>
        <v>12433</v>
      </c>
      <c r="I28" s="43">
        <f>VLOOKUP($A28,IRData!$A$2:$N$142,11,FALSE)</f>
        <v>183</v>
      </c>
      <c r="J28" s="45">
        <f>VLOOKUP(A28,IRData!$A$3:$AF$142,32,FALSE)</f>
        <v>3609.7135906688</v>
      </c>
      <c r="K28" s="45">
        <f>VLOOKUP(A28,IRData!$A$3:$AM$142,37,FALSE)</f>
        <v>53.130989068799991</v>
      </c>
      <c r="L28" s="112">
        <f>VLOOKUP($A28,IRData!$A$2:$N$142,13,FALSE)</f>
        <v>1260</v>
      </c>
      <c r="M28" s="44">
        <f>L28*Forutsetninger!$C$24</f>
        <v>1329.3</v>
      </c>
      <c r="N28" s="112">
        <f>VLOOKUP(A28,IRData!$A$3:$E$142,5,FALSE)*Forutsetninger!$C$30</f>
        <v>0</v>
      </c>
      <c r="O28" s="112">
        <f>VLOOKUP(A28,IRData!$A$3:$AG$142,19,FALSE)*Forutsetninger!$C$24</f>
        <v>0</v>
      </c>
      <c r="P28" s="45">
        <f t="shared" si="0"/>
        <v>36440.92553682514</v>
      </c>
      <c r="Q28" s="45">
        <f>D28+E28+J28+K28+M28+G28*Forutsetninger!$B$6+N28</f>
        <v>42160.575332825138</v>
      </c>
      <c r="R28" s="46">
        <f>IFERROR((VLOOKUP(A28,'DEAnorm D-nett'!$A$4:$H$130,8,FALSE)+O28),0)</f>
        <v>36179.396321413413</v>
      </c>
      <c r="S28" s="21">
        <f>IFERROR((VLOOKUP(A28,'DEAnorm R-nett'!$A$4:$H$85,8,FALSE)+N28+K28),N28+K28)</f>
        <v>692.2065131380316</v>
      </c>
      <c r="T28" s="118">
        <f>IFERROR(VLOOKUP(A28,IRData!$A$3:$AN$142,40,FALSE),0)</f>
        <v>0</v>
      </c>
      <c r="U28" s="47">
        <f>(1-Forutsetninger!$B$4)*Q28+(R28+S28+T28)*Forutsetninger!$B$4</f>
        <v>38987.191833860925</v>
      </c>
      <c r="V28" s="41">
        <f>(R28+S28+T28)-G28*($K$156+$K$150)/Forutsetninger!$B$4</f>
        <v>33148.08587238496</v>
      </c>
      <c r="W28" s="296">
        <f>(1-Forutsetninger!$B$4)*Q28+Forutsetninger!$B$4*V28</f>
        <v>36753.081656561029</v>
      </c>
      <c r="X28" s="185">
        <v>36768.029285723351</v>
      </c>
      <c r="Y28" s="198">
        <f t="shared" si="1"/>
        <v>-14.947629162321391</v>
      </c>
      <c r="Z28" s="197">
        <f t="shared" si="2"/>
        <v>-4.0653876350466798E-4</v>
      </c>
      <c r="AA28" s="185">
        <f t="shared" si="3"/>
        <v>0</v>
      </c>
      <c r="AB28" s="197">
        <f>VLOOKUP(A28,Table1[[idaar]:[Andel SN]],8,FALSE)</f>
        <v>0.98324630113141864</v>
      </c>
      <c r="AC28" s="197">
        <f>VLOOKUP(A28,Table1[[idaar]:[Andel SN]],9,FALSE)</f>
        <v>1.6753698868581374E-2</v>
      </c>
      <c r="AD28" s="197">
        <f>VLOOKUP(A28,Table1[[idaar]:[Andel SN]],10,FALSE)</f>
        <v>0</v>
      </c>
      <c r="AE28" s="312">
        <f t="shared" si="4"/>
        <v>0</v>
      </c>
      <c r="AF28" s="312">
        <f t="shared" si="5"/>
        <v>0</v>
      </c>
      <c r="AG28" s="312">
        <f t="shared" si="6"/>
        <v>0</v>
      </c>
    </row>
    <row r="29" spans="1:33" x14ac:dyDescent="0.2">
      <c r="A29">
        <v>6932015</v>
      </c>
      <c r="B29" t="s">
        <v>296</v>
      </c>
      <c r="C29" s="112">
        <f>VLOOKUP(A29,IRData!$A$3:$F$142,6,FALSE)</f>
        <v>49347.960429308499</v>
      </c>
      <c r="D29" s="45">
        <f>C29*Forutsetninger!$C$30</f>
        <v>52210.142134208392</v>
      </c>
      <c r="E29" s="43">
        <f>VLOOKUP($A29,IRData!$A$2:$N$142,7,FALSE)</f>
        <v>20617</v>
      </c>
      <c r="F29" s="43">
        <f>VLOOKUP($A29,IRData!$A$2:$N$142,8,FALSE)</f>
        <v>384887</v>
      </c>
      <c r="G29" s="43">
        <f>VLOOKUP($A29,IRData!$A$2:$N$142,9,FALSE)</f>
        <v>388735.87</v>
      </c>
      <c r="H29" s="43">
        <f>VLOOKUP($A29,IRData!$A$2:$N$142,10,FALSE)</f>
        <v>43826</v>
      </c>
      <c r="I29" s="43">
        <f>VLOOKUP($A29,IRData!$A$2:$N$142,11,FALSE)</f>
        <v>0</v>
      </c>
      <c r="J29" s="45">
        <f>VLOOKUP(A29,IRData!$A$3:$AF$142,32,FALSE)</f>
        <v>12574.426808603999</v>
      </c>
      <c r="K29" s="45">
        <f>VLOOKUP(A29,IRData!$A$3:$AM$142,37,FALSE)</f>
        <v>0</v>
      </c>
      <c r="L29" s="112">
        <f>VLOOKUP($A29,IRData!$A$2:$N$142,13,FALSE)</f>
        <v>3799</v>
      </c>
      <c r="M29" s="44">
        <f>L29*Forutsetninger!$C$24</f>
        <v>4007.9449999999997</v>
      </c>
      <c r="N29" s="112">
        <f>VLOOKUP(A29,IRData!$A$3:$E$142,5,FALSE)*Forutsetninger!$C$30</f>
        <v>0</v>
      </c>
      <c r="O29" s="112">
        <f>VLOOKUP(A29,IRData!$A$3:$AG$142,19,FALSE)*Forutsetninger!$C$24</f>
        <v>0</v>
      </c>
      <c r="P29" s="45">
        <f t="shared" si="0"/>
        <v>89409.513942812395</v>
      </c>
      <c r="Q29" s="45">
        <f>D29+E29+J29+K29+M29+G29*Forutsetninger!$B$6+N29</f>
        <v>113200.1491868124</v>
      </c>
      <c r="R29" s="46">
        <f>IFERROR((VLOOKUP(A29,'DEAnorm D-nett'!$A$4:$H$130,8,FALSE)+O29),0)</f>
        <v>112407.52608289762</v>
      </c>
      <c r="S29" s="21">
        <f>IFERROR((VLOOKUP(A29,'DEAnorm R-nett'!$A$4:$H$85,8,FALSE)+N29+K29),N29+K29)</f>
        <v>0</v>
      </c>
      <c r="T29" s="118">
        <f>IFERROR(VLOOKUP(A29,IRData!$A$3:$AN$142,40,FALSE),0)</f>
        <v>0</v>
      </c>
      <c r="U29" s="47">
        <f>(1-Forutsetninger!$B$4)*Q29+(R29+S29+T29)*Forutsetninger!$B$4</f>
        <v>112724.57532446353</v>
      </c>
      <c r="V29" s="41">
        <f>(R29+S29+T29)-G29*($K$156+$K$150)/Forutsetninger!$B$4</f>
        <v>96919.718781530843</v>
      </c>
      <c r="W29" s="296">
        <f>(1-Forutsetninger!$B$4)*Q29+Forutsetninger!$B$4*V29</f>
        <v>103431.89094364346</v>
      </c>
      <c r="X29" s="185">
        <v>103470.94118107975</v>
      </c>
      <c r="Y29" s="198">
        <f t="shared" si="1"/>
        <v>-39.050237436284078</v>
      </c>
      <c r="Z29" s="197">
        <f t="shared" si="2"/>
        <v>-3.7740294028971912E-4</v>
      </c>
      <c r="AA29" s="185">
        <f t="shared" si="3"/>
        <v>0</v>
      </c>
      <c r="AB29" s="197">
        <f>VLOOKUP(A29,Table1[[idaar]:[Andel SN]],8,FALSE)</f>
        <v>1</v>
      </c>
      <c r="AC29" s="197">
        <f>VLOOKUP(A29,Table1[[idaar]:[Andel SN]],9,FALSE)</f>
        <v>0</v>
      </c>
      <c r="AD29" s="197">
        <f>VLOOKUP(A29,Table1[[idaar]:[Andel SN]],10,FALSE)</f>
        <v>0</v>
      </c>
      <c r="AE29" s="312">
        <f t="shared" si="4"/>
        <v>0</v>
      </c>
      <c r="AF29" s="312">
        <f t="shared" si="5"/>
        <v>0</v>
      </c>
      <c r="AG29" s="312">
        <f t="shared" si="6"/>
        <v>0</v>
      </c>
    </row>
    <row r="30" spans="1:33" x14ac:dyDescent="0.2">
      <c r="A30">
        <v>2132015</v>
      </c>
      <c r="B30" t="s">
        <v>248</v>
      </c>
      <c r="C30" s="112">
        <f>VLOOKUP(A30,IRData!$A$3:$F$142,6,FALSE)</f>
        <v>10229.674639938799</v>
      </c>
      <c r="D30" s="45">
        <f>C30*Forutsetninger!$C$30</f>
        <v>10822.995769055251</v>
      </c>
      <c r="E30" s="43">
        <f>VLOOKUP($A30,IRData!$A$2:$N$142,7,FALSE)</f>
        <v>5879</v>
      </c>
      <c r="F30" s="43">
        <f>VLOOKUP($A30,IRData!$A$2:$N$142,8,FALSE)</f>
        <v>58069</v>
      </c>
      <c r="G30" s="43">
        <f>VLOOKUP($A30,IRData!$A$2:$N$142,9,FALSE)</f>
        <v>58649.69</v>
      </c>
      <c r="H30" s="43">
        <f>VLOOKUP($A30,IRData!$A$2:$N$142,10,FALSE)</f>
        <v>6841</v>
      </c>
      <c r="I30" s="43">
        <f>VLOOKUP($A30,IRData!$A$2:$N$142,11,FALSE)</f>
        <v>0</v>
      </c>
      <c r="J30" s="45">
        <f>VLOOKUP(A30,IRData!$A$3:$AF$142,32,FALSE)</f>
        <v>1986.1699246975998</v>
      </c>
      <c r="K30" s="45">
        <f>VLOOKUP(A30,IRData!$A$3:$AM$142,37,FALSE)</f>
        <v>0</v>
      </c>
      <c r="L30" s="112">
        <f>VLOOKUP($A30,IRData!$A$2:$N$142,13,FALSE)</f>
        <v>1198</v>
      </c>
      <c r="M30" s="44">
        <f>L30*Forutsetninger!$C$24</f>
        <v>1263.8899999999999</v>
      </c>
      <c r="N30" s="112">
        <f>VLOOKUP(A30,IRData!$A$3:$E$142,5,FALSE)*Forutsetninger!$C$30</f>
        <v>0</v>
      </c>
      <c r="O30" s="112">
        <f>VLOOKUP(A30,IRData!$A$3:$AG$142,19,FALSE)*Forutsetninger!$C$24</f>
        <v>416.56675000000001</v>
      </c>
      <c r="P30" s="45">
        <f t="shared" si="0"/>
        <v>19952.055693752849</v>
      </c>
      <c r="Q30" s="45">
        <f>D30+E30+J30+K30+M30+G30*Forutsetninger!$B$6+N30</f>
        <v>23541.416721752848</v>
      </c>
      <c r="R30" s="46">
        <f>IFERROR((VLOOKUP(A30,'DEAnorm D-nett'!$A$4:$H$130,8,FALSE)+O30),0)</f>
        <v>22848.291328827749</v>
      </c>
      <c r="S30" s="21">
        <f>IFERROR((VLOOKUP(A30,'DEAnorm R-nett'!$A$4:$H$85,8,FALSE)+N30+K30),N30+K30)</f>
        <v>0</v>
      </c>
      <c r="T30" s="118">
        <f>IFERROR(VLOOKUP(A30,IRData!$A$3:$AN$142,40,FALSE),0)</f>
        <v>0</v>
      </c>
      <c r="U30" s="47">
        <f>(1-Forutsetninger!$B$4)*Q30+(R30+S30+T30)*Forutsetninger!$B$4</f>
        <v>23125.54148599779</v>
      </c>
      <c r="V30" s="41">
        <f>(R30+S30+T30)-G30*($K$156+$K$150)/Forutsetninger!$B$4</f>
        <v>20511.601645406205</v>
      </c>
      <c r="W30" s="296">
        <f>(1-Forutsetninger!$B$4)*Q30+Forutsetninger!$B$4*V30</f>
        <v>21723.527675944861</v>
      </c>
      <c r="X30" s="185">
        <v>21731.021255328473</v>
      </c>
      <c r="Y30" s="198">
        <f t="shared" si="1"/>
        <v>-7.4935793836120865</v>
      </c>
      <c r="Z30" s="197">
        <f t="shared" si="2"/>
        <v>-3.4483328213461906E-4</v>
      </c>
      <c r="AA30" s="185">
        <f t="shared" si="3"/>
        <v>0</v>
      </c>
      <c r="AB30" s="197">
        <f>VLOOKUP(A30,Table1[[idaar]:[Andel SN]],8,FALSE)</f>
        <v>1</v>
      </c>
      <c r="AC30" s="197">
        <f>VLOOKUP(A30,Table1[[idaar]:[Andel SN]],9,FALSE)</f>
        <v>0</v>
      </c>
      <c r="AD30" s="197">
        <f>VLOOKUP(A30,Table1[[idaar]:[Andel SN]],10,FALSE)</f>
        <v>0</v>
      </c>
      <c r="AE30" s="312">
        <f t="shared" si="4"/>
        <v>0</v>
      </c>
      <c r="AF30" s="312">
        <f t="shared" si="5"/>
        <v>0</v>
      </c>
      <c r="AG30" s="312">
        <f t="shared" si="6"/>
        <v>0</v>
      </c>
    </row>
    <row r="31" spans="1:33" x14ac:dyDescent="0.2">
      <c r="A31">
        <v>912015</v>
      </c>
      <c r="B31" t="s">
        <v>216</v>
      </c>
      <c r="C31" s="112">
        <f>VLOOKUP(A31,IRData!$A$3:$F$142,6,FALSE)</f>
        <v>16120.1258411814</v>
      </c>
      <c r="D31" s="45">
        <f>C31*Forutsetninger!$C$30</f>
        <v>17055.093139969922</v>
      </c>
      <c r="E31" s="43">
        <f>VLOOKUP($A31,IRData!$A$2:$N$142,7,FALSE)</f>
        <v>9010</v>
      </c>
      <c r="F31" s="43">
        <f>VLOOKUP($A31,IRData!$A$2:$N$142,8,FALSE)</f>
        <v>132159</v>
      </c>
      <c r="G31" s="43">
        <f>VLOOKUP($A31,IRData!$A$2:$N$142,9,FALSE)</f>
        <v>133480.59</v>
      </c>
      <c r="H31" s="43">
        <f>VLOOKUP($A31,IRData!$A$2:$N$142,10,FALSE)</f>
        <v>15211</v>
      </c>
      <c r="I31" s="43">
        <f>VLOOKUP($A31,IRData!$A$2:$N$142,11,FALSE)</f>
        <v>0</v>
      </c>
      <c r="J31" s="45">
        <f>VLOOKUP(A31,IRData!$A$3:$AF$142,32,FALSE)</f>
        <v>4331.7960805440998</v>
      </c>
      <c r="K31" s="45">
        <f>VLOOKUP(A31,IRData!$A$3:$AM$142,37,FALSE)</f>
        <v>0</v>
      </c>
      <c r="L31" s="112">
        <f>VLOOKUP($A31,IRData!$A$2:$N$142,13,FALSE)</f>
        <v>567</v>
      </c>
      <c r="M31" s="44">
        <f>L31*Forutsetninger!$C$24</f>
        <v>598.18499999999995</v>
      </c>
      <c r="N31" s="112">
        <f>VLOOKUP(A31,IRData!$A$3:$E$142,5,FALSE)*Forutsetninger!$C$30</f>
        <v>0</v>
      </c>
      <c r="O31" s="112">
        <f>VLOOKUP(A31,IRData!$A$3:$AG$142,19,FALSE)*Forutsetninger!$C$24</f>
        <v>4153.7565500000001</v>
      </c>
      <c r="P31" s="45">
        <f t="shared" si="0"/>
        <v>30995.074220514023</v>
      </c>
      <c r="Q31" s="45">
        <f>D31+E31+J31+K31+M31+G31*Forutsetninger!$B$6+N31</f>
        <v>39164.086328514022</v>
      </c>
      <c r="R31" s="46">
        <f>IFERROR((VLOOKUP(A31,'DEAnorm D-nett'!$A$4:$H$130,8,FALSE)+O31),0)</f>
        <v>36061.807826971621</v>
      </c>
      <c r="S31" s="21">
        <f>IFERROR((VLOOKUP(A31,'DEAnorm R-nett'!$A$4:$H$85,8,FALSE)+N31+K31),N31+K31)</f>
        <v>0</v>
      </c>
      <c r="T31" s="118">
        <f>IFERROR(VLOOKUP(A31,IRData!$A$3:$AN$142,40,FALSE),0)</f>
        <v>0</v>
      </c>
      <c r="U31" s="47">
        <f>(1-Forutsetninger!$B$4)*Q31+(R31+S31+T31)*Forutsetninger!$B$4</f>
        <v>37302.719227588575</v>
      </c>
      <c r="V31" s="41">
        <f>(R31+S31+T31)-G31*($K$156+$K$150)/Forutsetninger!$B$4</f>
        <v>30743.745317348454</v>
      </c>
      <c r="W31" s="296">
        <f>(1-Forutsetninger!$B$4)*Q31+Forutsetninger!$B$4*V31</f>
        <v>34111.88172181468</v>
      </c>
      <c r="X31" s="185">
        <v>34122.890120958386</v>
      </c>
      <c r="Y31" s="198">
        <f t="shared" si="1"/>
        <v>-11.008399143705901</v>
      </c>
      <c r="Z31" s="197">
        <f t="shared" si="2"/>
        <v>-3.2261039743947443E-4</v>
      </c>
      <c r="AA31" s="185">
        <f t="shared" si="3"/>
        <v>0</v>
      </c>
      <c r="AB31" s="197">
        <f>VLOOKUP(A31,Table1[[idaar]:[Andel SN]],8,FALSE)</f>
        <v>1</v>
      </c>
      <c r="AC31" s="197">
        <f>VLOOKUP(A31,Table1[[idaar]:[Andel SN]],9,FALSE)</f>
        <v>0</v>
      </c>
      <c r="AD31" s="197">
        <f>VLOOKUP(A31,Table1[[idaar]:[Andel SN]],10,FALSE)</f>
        <v>0</v>
      </c>
      <c r="AE31" s="312">
        <f t="shared" si="4"/>
        <v>0</v>
      </c>
      <c r="AF31" s="312">
        <f t="shared" si="5"/>
        <v>0</v>
      </c>
      <c r="AG31" s="312">
        <f t="shared" si="6"/>
        <v>0</v>
      </c>
    </row>
    <row r="32" spans="1:33" x14ac:dyDescent="0.2">
      <c r="A32">
        <v>1712015</v>
      </c>
      <c r="B32" t="s">
        <v>238</v>
      </c>
      <c r="C32" s="112">
        <f>VLOOKUP(A32,IRData!$A$3:$F$142,6,FALSE)</f>
        <v>38218.736928758801</v>
      </c>
      <c r="D32" s="45">
        <f>C32*Forutsetninger!$C$30</f>
        <v>40435.423670626813</v>
      </c>
      <c r="E32" s="43">
        <f>VLOOKUP($A32,IRData!$A$2:$N$142,7,FALSE)</f>
        <v>6776</v>
      </c>
      <c r="F32" s="43">
        <f>VLOOKUP($A32,IRData!$A$2:$N$142,8,FALSE)</f>
        <v>138156</v>
      </c>
      <c r="G32" s="43">
        <f>VLOOKUP($A32,IRData!$A$2:$N$142,9,FALSE)</f>
        <v>139537.56</v>
      </c>
      <c r="H32" s="43">
        <f>VLOOKUP($A32,IRData!$A$2:$N$142,10,FALSE)</f>
        <v>10733</v>
      </c>
      <c r="I32" s="43">
        <f>VLOOKUP($A32,IRData!$A$2:$N$142,11,FALSE)</f>
        <v>0</v>
      </c>
      <c r="J32" s="45">
        <f>VLOOKUP(A32,IRData!$A$3:$AF$142,32,FALSE)</f>
        <v>2759.0355230259006</v>
      </c>
      <c r="K32" s="45">
        <f>VLOOKUP(A32,IRData!$A$3:$AM$142,37,FALSE)</f>
        <v>0</v>
      </c>
      <c r="L32" s="112">
        <f>VLOOKUP($A32,IRData!$A$2:$N$142,13,FALSE)</f>
        <v>2290</v>
      </c>
      <c r="M32" s="44">
        <f>L32*Forutsetninger!$C$24</f>
        <v>2415.9499999999998</v>
      </c>
      <c r="N32" s="112">
        <f>VLOOKUP(A32,IRData!$A$3:$E$142,5,FALSE)*Forutsetninger!$C$30</f>
        <v>0</v>
      </c>
      <c r="O32" s="112">
        <f>VLOOKUP(A32,IRData!$A$3:$AG$142,19,FALSE)*Forutsetninger!$C$24</f>
        <v>0</v>
      </c>
      <c r="P32" s="45">
        <f t="shared" si="0"/>
        <v>52386.409193652711</v>
      </c>
      <c r="Q32" s="45">
        <f>D32+E32+J32+K32+M32+G32*Forutsetninger!$B$6+N32</f>
        <v>60926.10786565271</v>
      </c>
      <c r="R32" s="46">
        <f>IFERROR((VLOOKUP(A32,'DEAnorm D-nett'!$A$4:$H$130,8,FALSE)+O32),0)</f>
        <v>59127.369514183629</v>
      </c>
      <c r="S32" s="21">
        <f>IFERROR((VLOOKUP(A32,'DEAnorm R-nett'!$A$4:$H$85,8,FALSE)+N32+K32),N32+K32)</f>
        <v>0</v>
      </c>
      <c r="T32" s="118">
        <f>IFERROR(VLOOKUP(A32,IRData!$A$3:$AN$142,40,FALSE),0)</f>
        <v>0</v>
      </c>
      <c r="U32" s="47">
        <f>(1-Forutsetninger!$B$4)*Q32+(R32+S32+T32)*Forutsetninger!$B$4</f>
        <v>59846.864854771266</v>
      </c>
      <c r="V32" s="41">
        <f>(R32+S32+T32)-G32*($K$156+$K$150)/Forutsetninger!$B$4</f>
        <v>53567.988434730105</v>
      </c>
      <c r="W32" s="296">
        <f>(1-Forutsetninger!$B$4)*Q32+Forutsetninger!$B$4*V32</f>
        <v>56511.236207099151</v>
      </c>
      <c r="X32" s="185">
        <v>56528.867319496254</v>
      </c>
      <c r="Y32" s="198">
        <f t="shared" si="1"/>
        <v>-17.631112397102697</v>
      </c>
      <c r="Z32" s="197">
        <f t="shared" si="2"/>
        <v>-3.1189573103337063E-4</v>
      </c>
      <c r="AA32" s="185">
        <f t="shared" si="3"/>
        <v>0</v>
      </c>
      <c r="AB32" s="200">
        <v>0.73751624642578628</v>
      </c>
      <c r="AC32" s="200">
        <v>0.26248375357421366</v>
      </c>
      <c r="AD32" s="200">
        <v>0</v>
      </c>
      <c r="AE32" s="312">
        <f t="shared" si="4"/>
        <v>0</v>
      </c>
      <c r="AF32" s="312">
        <f t="shared" si="5"/>
        <v>0</v>
      </c>
      <c r="AG32" s="312">
        <f t="shared" si="6"/>
        <v>0</v>
      </c>
    </row>
    <row r="33" spans="1:33" x14ac:dyDescent="0.2">
      <c r="A33">
        <v>1162015</v>
      </c>
      <c r="B33" t="s">
        <v>224</v>
      </c>
      <c r="C33" s="112">
        <f>VLOOKUP(A33,IRData!$A$3:$F$142,6,FALSE)</f>
        <v>23910.815850956598</v>
      </c>
      <c r="D33" s="45">
        <f>C33*Forutsetninger!$C$30</f>
        <v>25297.643170312083</v>
      </c>
      <c r="E33" s="43">
        <f>VLOOKUP($A33,IRData!$A$2:$N$142,7,FALSE)</f>
        <v>6133</v>
      </c>
      <c r="F33" s="43">
        <f>VLOOKUP($A33,IRData!$A$2:$N$142,8,FALSE)</f>
        <v>78492</v>
      </c>
      <c r="G33" s="43">
        <f>VLOOKUP($A33,IRData!$A$2:$N$142,9,FALSE)</f>
        <v>79276.92</v>
      </c>
      <c r="H33" s="43">
        <f>VLOOKUP($A33,IRData!$A$2:$N$142,10,FALSE)</f>
        <v>8533</v>
      </c>
      <c r="I33" s="43">
        <f>VLOOKUP($A33,IRData!$A$2:$N$142,11,FALSE)</f>
        <v>400</v>
      </c>
      <c r="J33" s="45">
        <f>VLOOKUP(A33,IRData!$A$3:$AF$142,32,FALSE)</f>
        <v>2193.5013619659003</v>
      </c>
      <c r="K33" s="45">
        <f>VLOOKUP(A33,IRData!$A$3:$AM$142,37,FALSE)</f>
        <v>102.82439292000001</v>
      </c>
      <c r="L33" s="112">
        <f>VLOOKUP($A33,IRData!$A$2:$N$142,13,FALSE)</f>
        <v>2531</v>
      </c>
      <c r="M33" s="44">
        <f>L33*Forutsetninger!$C$24</f>
        <v>2670.2049999999999</v>
      </c>
      <c r="N33" s="112">
        <f>VLOOKUP(A33,IRData!$A$3:$E$142,5,FALSE)*Forutsetninger!$C$30</f>
        <v>0</v>
      </c>
      <c r="O33" s="112">
        <f>VLOOKUP(A33,IRData!$A$3:$AG$142,19,FALSE)*Forutsetninger!$C$24</f>
        <v>0</v>
      </c>
      <c r="P33" s="45">
        <f t="shared" si="0"/>
        <v>36397.173925197989</v>
      </c>
      <c r="Q33" s="45">
        <f>D33+E33+J33+K33+M33+G33*Forutsetninger!$B$6+N33</f>
        <v>41248.921429197988</v>
      </c>
      <c r="R33" s="46">
        <f>IFERROR((VLOOKUP(A33,'DEAnorm D-nett'!$A$4:$H$130,8,FALSE)+O33),0)</f>
        <v>33839.23721339686</v>
      </c>
      <c r="S33" s="21">
        <f>IFERROR((VLOOKUP(A33,'DEAnorm R-nett'!$A$4:$H$85,8,FALSE)+N33+K33),N33+K33)</f>
        <v>40.112724919999984</v>
      </c>
      <c r="T33" s="118">
        <f>IFERROR(VLOOKUP(A33,IRData!$A$3:$AN$142,40,FALSE),0)</f>
        <v>0</v>
      </c>
      <c r="U33" s="47">
        <f>(1-Forutsetninger!$B$4)*Q33+(R33+S33+T33)*Forutsetninger!$B$4</f>
        <v>36827.178534669307</v>
      </c>
      <c r="V33" s="41">
        <f>(R33+S33+T33)-G33*($K$156+$K$150)/Forutsetninger!$B$4</f>
        <v>30720.841153403675</v>
      </c>
      <c r="W33" s="296">
        <f>(1-Forutsetninger!$B$4)*Q33+Forutsetninger!$B$4*V33</f>
        <v>34932.073263721395</v>
      </c>
      <c r="X33" s="185">
        <v>34942.649363710851</v>
      </c>
      <c r="Y33" s="198">
        <f t="shared" si="1"/>
        <v>-10.576099989455543</v>
      </c>
      <c r="Z33" s="197">
        <f t="shared" si="2"/>
        <v>-3.0267023771927233E-4</v>
      </c>
      <c r="AA33" s="185">
        <f t="shared" si="3"/>
        <v>0</v>
      </c>
      <c r="AB33" s="197">
        <f>VLOOKUP(A33,Table1[[idaar]:[Andel SN]],8,FALSE)</f>
        <v>1</v>
      </c>
      <c r="AC33" s="197">
        <f>VLOOKUP(A33,Table1[[idaar]:[Andel SN]],9,FALSE)</f>
        <v>0</v>
      </c>
      <c r="AD33" s="197">
        <f>VLOOKUP(A33,Table1[[idaar]:[Andel SN]],10,FALSE)</f>
        <v>0</v>
      </c>
      <c r="AE33" s="312">
        <f t="shared" si="4"/>
        <v>0</v>
      </c>
      <c r="AF33" s="312">
        <f t="shared" si="5"/>
        <v>0</v>
      </c>
      <c r="AG33" s="312">
        <f t="shared" si="6"/>
        <v>0</v>
      </c>
    </row>
    <row r="34" spans="1:33" x14ac:dyDescent="0.2">
      <c r="A34">
        <v>6862015</v>
      </c>
      <c r="B34" t="s">
        <v>185</v>
      </c>
      <c r="C34" s="112">
        <f>VLOOKUP(A34,IRData!$A$3:$F$142,6,FALSE)</f>
        <v>11054.2668506591</v>
      </c>
      <c r="D34" s="45">
        <f>C34*Forutsetninger!$C$30</f>
        <v>11695.414327997329</v>
      </c>
      <c r="E34" s="43">
        <f>VLOOKUP($A34,IRData!$A$2:$N$142,7,FALSE)</f>
        <v>1374</v>
      </c>
      <c r="F34" s="43">
        <f>VLOOKUP($A34,IRData!$A$2:$N$142,8,FALSE)</f>
        <v>30367</v>
      </c>
      <c r="G34" s="43">
        <f>VLOOKUP($A34,IRData!$A$2:$N$142,9,FALSE)</f>
        <v>30670.670000000002</v>
      </c>
      <c r="H34" s="43">
        <f>VLOOKUP($A34,IRData!$A$2:$N$142,10,FALSE)</f>
        <v>3306</v>
      </c>
      <c r="I34" s="43">
        <f>VLOOKUP($A34,IRData!$A$2:$N$142,11,FALSE)</f>
        <v>0</v>
      </c>
      <c r="J34" s="45">
        <f>VLOOKUP(A34,IRData!$A$3:$AF$142,32,FALSE)</f>
        <v>849.84360748380016</v>
      </c>
      <c r="K34" s="45">
        <f>VLOOKUP(A34,IRData!$A$3:$AM$142,37,FALSE)</f>
        <v>0</v>
      </c>
      <c r="L34" s="112">
        <f>VLOOKUP($A34,IRData!$A$2:$N$142,13,FALSE)</f>
        <v>0</v>
      </c>
      <c r="M34" s="44">
        <f>L34*Forutsetninger!$C$24</f>
        <v>0</v>
      </c>
      <c r="N34" s="112">
        <f>VLOOKUP(A34,IRData!$A$3:$E$142,5,FALSE)*Forutsetninger!$C$30</f>
        <v>0</v>
      </c>
      <c r="O34" s="112">
        <f>VLOOKUP(A34,IRData!$A$3:$AG$142,19,FALSE)*Forutsetninger!$C$24</f>
        <v>0</v>
      </c>
      <c r="P34" s="45">
        <f t="shared" si="0"/>
        <v>13919.25793548113</v>
      </c>
      <c r="Q34" s="45">
        <f>D34+E34+J34+K34+M34+G34*Forutsetninger!$B$6+N34</f>
        <v>15796.302939481129</v>
      </c>
      <c r="R34" s="46">
        <f>IFERROR((VLOOKUP(A34,'DEAnorm D-nett'!$A$4:$H$130,8,FALSE)+O34),0)</f>
        <v>15284.415350081688</v>
      </c>
      <c r="S34" s="21">
        <f>IFERROR((VLOOKUP(A34,'DEAnorm R-nett'!$A$4:$H$85,8,FALSE)+N34+K34),N34+K34)</f>
        <v>870.43543451417884</v>
      </c>
      <c r="T34" s="118">
        <f>IFERROR(VLOOKUP(A34,IRData!$A$3:$AN$142,40,FALSE),0)</f>
        <v>0</v>
      </c>
      <c r="U34" s="47">
        <f>(1-Forutsetninger!$B$4)*Q34+(R34+S34+T34)*Forutsetninger!$B$4</f>
        <v>16011.431646549971</v>
      </c>
      <c r="V34" s="41">
        <f>(R34+S34+T34)-G34*($K$156+$K$150)/Forutsetninger!$B$4</f>
        <v>14932.886300680835</v>
      </c>
      <c r="W34" s="296">
        <f>(1-Forutsetninger!$B$4)*Q34+Forutsetninger!$B$4*V34</f>
        <v>15278.252956200953</v>
      </c>
      <c r="X34" s="185">
        <v>15282.876216499102</v>
      </c>
      <c r="Y34" s="198">
        <f t="shared" si="1"/>
        <v>-4.6232602981490345</v>
      </c>
      <c r="Z34" s="197">
        <f t="shared" si="2"/>
        <v>-3.025124480925816E-4</v>
      </c>
      <c r="AA34" s="185">
        <f t="shared" si="3"/>
        <v>0</v>
      </c>
      <c r="AB34" s="197">
        <f>VLOOKUP(A34,Table1[[idaar]:[Andel SN]],8,FALSE)</f>
        <v>0.95831970162926128</v>
      </c>
      <c r="AC34" s="197">
        <f>VLOOKUP(A34,Table1[[idaar]:[Andel SN]],9,FALSE)</f>
        <v>4.1680298370738729E-2</v>
      </c>
      <c r="AD34" s="197">
        <f>VLOOKUP(A34,Table1[[idaar]:[Andel SN]],10,FALSE)</f>
        <v>0</v>
      </c>
      <c r="AE34" s="312">
        <f t="shared" si="4"/>
        <v>0</v>
      </c>
      <c r="AF34" s="312">
        <f t="shared" si="5"/>
        <v>0</v>
      </c>
      <c r="AG34" s="312">
        <f t="shared" si="6"/>
        <v>0</v>
      </c>
    </row>
    <row r="35" spans="1:33" x14ac:dyDescent="0.2">
      <c r="A35">
        <v>5992015</v>
      </c>
      <c r="B35" t="s">
        <v>284</v>
      </c>
      <c r="C35" s="112">
        <f>VLOOKUP(A35,IRData!$A$3:$F$142,6,FALSE)</f>
        <v>20004.627479305898</v>
      </c>
      <c r="D35" s="45">
        <f>C35*Forutsetninger!$C$30</f>
        <v>21164.895873105641</v>
      </c>
      <c r="E35" s="43">
        <f>VLOOKUP($A35,IRData!$A$2:$N$142,7,FALSE)</f>
        <v>6360</v>
      </c>
      <c r="F35" s="43">
        <f>VLOOKUP($A35,IRData!$A$2:$N$142,8,FALSE)</f>
        <v>78320</v>
      </c>
      <c r="G35" s="43">
        <f>VLOOKUP($A35,IRData!$A$2:$N$142,9,FALSE)</f>
        <v>79103.199999999997</v>
      </c>
      <c r="H35" s="43">
        <f>VLOOKUP($A35,IRData!$A$2:$N$142,10,FALSE)</f>
        <v>6194</v>
      </c>
      <c r="I35" s="43">
        <f>VLOOKUP($A35,IRData!$A$2:$N$142,11,FALSE)</f>
        <v>0</v>
      </c>
      <c r="J35" s="45">
        <f>VLOOKUP(A35,IRData!$A$3:$AF$142,32,FALSE)</f>
        <v>1798.3242966783998</v>
      </c>
      <c r="K35" s="45">
        <f>VLOOKUP(A35,IRData!$A$3:$AM$142,37,FALSE)</f>
        <v>0</v>
      </c>
      <c r="L35" s="112">
        <f>VLOOKUP($A35,IRData!$A$2:$N$142,13,FALSE)</f>
        <v>989</v>
      </c>
      <c r="M35" s="44">
        <f>L35*Forutsetninger!$C$24</f>
        <v>1043.395</v>
      </c>
      <c r="N35" s="112">
        <f>VLOOKUP(A35,IRData!$A$3:$E$142,5,FALSE)*Forutsetninger!$C$30</f>
        <v>0</v>
      </c>
      <c r="O35" s="112">
        <f>VLOOKUP(A35,IRData!$A$3:$AG$142,19,FALSE)*Forutsetninger!$C$24</f>
        <v>451.27624999999995</v>
      </c>
      <c r="P35" s="45">
        <f t="shared" ref="P35:P66" si="7">D35+E35+K35+J35+M35+N35</f>
        <v>30366.61516978404</v>
      </c>
      <c r="Q35" s="45">
        <f>D35+E35+J35+K35+M35+G35*Forutsetninger!$B$6+N35</f>
        <v>35207.731009784038</v>
      </c>
      <c r="R35" s="46">
        <f>IFERROR((VLOOKUP(A35,'DEAnorm D-nett'!$A$4:$H$130,8,FALSE)+O35),0)</f>
        <v>29973.530939104112</v>
      </c>
      <c r="S35" s="21">
        <f>IFERROR((VLOOKUP(A35,'DEAnorm R-nett'!$A$4:$H$85,8,FALSE)+N35+K35),N35+K35)</f>
        <v>0</v>
      </c>
      <c r="T35" s="118">
        <f>IFERROR(VLOOKUP(A35,IRData!$A$3:$AN$142,40,FALSE),0)</f>
        <v>0</v>
      </c>
      <c r="U35" s="47">
        <f>(1-Forutsetninger!$B$4)*Q35+(R35+S35+T35)*Forutsetninger!$B$4</f>
        <v>32067.210967376082</v>
      </c>
      <c r="V35" s="41">
        <f>(R35+S35+T35)-G35*($K$156+$K$150)/Forutsetninger!$B$4</f>
        <v>26821.943413822548</v>
      </c>
      <c r="W35" s="296">
        <f>(1-Forutsetninger!$B$4)*Q35+Forutsetninger!$B$4*V35</f>
        <v>30176.258452207141</v>
      </c>
      <c r="X35" s="185">
        <v>30185.22751489652</v>
      </c>
      <c r="Y35" s="198">
        <f t="shared" ref="Y35:Y66" si="8">W35-X35</f>
        <v>-8.9690626893789158</v>
      </c>
      <c r="Z35" s="197">
        <f t="shared" ref="Z35:Z66" si="9">Y35/X35</f>
        <v>-2.9713417548211788E-4</v>
      </c>
      <c r="AA35" s="185">
        <f t="shared" ref="AA35:AA66" si="10">IF(Y35&gt;0,Y35,0)</f>
        <v>0</v>
      </c>
      <c r="AB35" s="197">
        <f>VLOOKUP(A35,Table1[[idaar]:[Andel SN]],8,FALSE)</f>
        <v>1</v>
      </c>
      <c r="AC35" s="197">
        <f>VLOOKUP(A35,Table1[[idaar]:[Andel SN]],9,FALSE)</f>
        <v>0</v>
      </c>
      <c r="AD35" s="197">
        <f>VLOOKUP(A35,Table1[[idaar]:[Andel SN]],10,FALSE)</f>
        <v>0</v>
      </c>
      <c r="AE35" s="312">
        <f t="shared" ref="AE35:AE66" si="11">$AA35*AB35</f>
        <v>0</v>
      </c>
      <c r="AF35" s="312">
        <f t="shared" ref="AF35:AF66" si="12">$AA35*AC35</f>
        <v>0</v>
      </c>
      <c r="AG35" s="312">
        <f t="shared" ref="AG35:AG66" si="13">$AA35*AD35</f>
        <v>0</v>
      </c>
    </row>
    <row r="36" spans="1:33" x14ac:dyDescent="0.2">
      <c r="A36">
        <v>1572015</v>
      </c>
      <c r="B36" t="s">
        <v>234</v>
      </c>
      <c r="C36" s="112">
        <f>VLOOKUP(A36,IRData!$A$3:$F$142,6,FALSE)</f>
        <v>12519.9740437336</v>
      </c>
      <c r="D36" s="45">
        <f>C36*Forutsetninger!$C$30</f>
        <v>13246.132538270151</v>
      </c>
      <c r="E36" s="43">
        <f>VLOOKUP($A36,IRData!$A$2:$N$142,7,FALSE)</f>
        <v>5200</v>
      </c>
      <c r="F36" s="43">
        <f>VLOOKUP($A36,IRData!$A$2:$N$142,8,FALSE)</f>
        <v>68076</v>
      </c>
      <c r="G36" s="43">
        <f>VLOOKUP($A36,IRData!$A$2:$N$142,9,FALSE)</f>
        <v>68756.759999999995</v>
      </c>
      <c r="H36" s="43">
        <f>VLOOKUP($A36,IRData!$A$2:$N$142,10,FALSE)</f>
        <v>8110</v>
      </c>
      <c r="I36" s="43">
        <f>VLOOKUP($A36,IRData!$A$2:$N$142,11,FALSE)</f>
        <v>0</v>
      </c>
      <c r="J36" s="45">
        <f>VLOOKUP(A36,IRData!$A$3:$AF$142,32,FALSE)</f>
        <v>2326.8973079400002</v>
      </c>
      <c r="K36" s="45">
        <f>VLOOKUP(A36,IRData!$A$3:$AM$142,37,FALSE)</f>
        <v>0</v>
      </c>
      <c r="L36" s="112">
        <f>VLOOKUP($A36,IRData!$A$2:$N$142,13,FALSE)</f>
        <v>440</v>
      </c>
      <c r="M36" s="44">
        <f>L36*Forutsetninger!$C$24</f>
        <v>464.2</v>
      </c>
      <c r="N36" s="112">
        <f>VLOOKUP(A36,IRData!$A$3:$E$142,5,FALSE)*Forutsetninger!$C$30</f>
        <v>0</v>
      </c>
      <c r="O36" s="112">
        <f>VLOOKUP(A36,IRData!$A$3:$AG$142,19,FALSE)*Forutsetninger!$C$24</f>
        <v>1180.2707</v>
      </c>
      <c r="P36" s="45">
        <f t="shared" si="7"/>
        <v>21237.22984621015</v>
      </c>
      <c r="Q36" s="45">
        <f>D36+E36+J36+K36+M36+G36*Forutsetninger!$B$6+N36</f>
        <v>25445.143558210148</v>
      </c>
      <c r="R36" s="46">
        <f>IFERROR((VLOOKUP(A36,'DEAnorm D-nett'!$A$4:$H$130,8,FALSE)+O36),0)</f>
        <v>25364.326446667892</v>
      </c>
      <c r="S36" s="21">
        <f>IFERROR((VLOOKUP(A36,'DEAnorm R-nett'!$A$4:$H$85,8,FALSE)+N36+K36),N36+K36)</f>
        <v>0</v>
      </c>
      <c r="T36" s="118">
        <f>IFERROR(VLOOKUP(A36,IRData!$A$3:$AN$142,40,FALSE),0)</f>
        <v>0</v>
      </c>
      <c r="U36" s="47">
        <f>(1-Forutsetninger!$B$4)*Q36+(R36+S36+T36)*Forutsetninger!$B$4</f>
        <v>25396.653291284794</v>
      </c>
      <c r="V36" s="41">
        <f>(R36+S36+T36)-G36*($K$156+$K$150)/Forutsetninger!$B$4</f>
        <v>22624.956268283473</v>
      </c>
      <c r="W36" s="296">
        <f>(1-Forutsetninger!$B$4)*Q36+Forutsetninger!$B$4*V36</f>
        <v>23753.031184254141</v>
      </c>
      <c r="X36" s="185">
        <v>23759.703607929769</v>
      </c>
      <c r="Y36" s="198">
        <f t="shared" si="8"/>
        <v>-6.6724236756272148</v>
      </c>
      <c r="Z36" s="197">
        <f t="shared" si="9"/>
        <v>-2.8082941545618873E-4</v>
      </c>
      <c r="AA36" s="185">
        <f t="shared" si="10"/>
        <v>0</v>
      </c>
      <c r="AB36" s="197">
        <f>VLOOKUP(A36,Table1[[idaar]:[Andel SN]],8,FALSE)</f>
        <v>1</v>
      </c>
      <c r="AC36" s="197">
        <f>VLOOKUP(A36,Table1[[idaar]:[Andel SN]],9,FALSE)</f>
        <v>0</v>
      </c>
      <c r="AD36" s="197">
        <f>VLOOKUP(A36,Table1[[idaar]:[Andel SN]],10,FALSE)</f>
        <v>0</v>
      </c>
      <c r="AE36" s="312">
        <f t="shared" si="11"/>
        <v>0</v>
      </c>
      <c r="AF36" s="312">
        <f t="shared" si="12"/>
        <v>0</v>
      </c>
      <c r="AG36" s="312">
        <f t="shared" si="13"/>
        <v>0</v>
      </c>
    </row>
    <row r="37" spans="1:33" x14ac:dyDescent="0.2">
      <c r="A37">
        <v>162015</v>
      </c>
      <c r="B37" t="s">
        <v>196</v>
      </c>
      <c r="C37" s="112">
        <f>VLOOKUP(A37,IRData!$A$3:$F$142,6,FALSE)</f>
        <v>18686.8429250716</v>
      </c>
      <c r="D37" s="45">
        <f>C37*Forutsetninger!$C$30</f>
        <v>19770.679814725754</v>
      </c>
      <c r="E37" s="43">
        <f>VLOOKUP($A37,IRData!$A$2:$N$142,7,FALSE)</f>
        <v>4126</v>
      </c>
      <c r="F37" s="43">
        <f>VLOOKUP($A37,IRData!$A$2:$N$142,8,FALSE)</f>
        <v>57921</v>
      </c>
      <c r="G37" s="43">
        <f>VLOOKUP($A37,IRData!$A$2:$N$142,9,FALSE)</f>
        <v>58500.21</v>
      </c>
      <c r="H37" s="43">
        <f>VLOOKUP($A37,IRData!$A$2:$N$142,10,FALSE)</f>
        <v>9406</v>
      </c>
      <c r="I37" s="43">
        <f>VLOOKUP($A37,IRData!$A$2:$N$142,11,FALSE)</f>
        <v>0</v>
      </c>
      <c r="J37" s="45">
        <f>VLOOKUP(A37,IRData!$A$3:$AF$142,32,FALSE)</f>
        <v>2678.6453180986</v>
      </c>
      <c r="K37" s="45">
        <f>VLOOKUP(A37,IRData!$A$3:$AM$142,37,FALSE)</f>
        <v>0</v>
      </c>
      <c r="L37" s="112">
        <f>VLOOKUP($A37,IRData!$A$2:$N$142,13,FALSE)</f>
        <v>479</v>
      </c>
      <c r="M37" s="44">
        <f>L37*Forutsetninger!$C$24</f>
        <v>505.34499999999997</v>
      </c>
      <c r="N37" s="112">
        <f>VLOOKUP(A37,IRData!$A$3:$E$142,5,FALSE)*Forutsetninger!$C$30</f>
        <v>0</v>
      </c>
      <c r="O37" s="112">
        <f>VLOOKUP(A37,IRData!$A$3:$AG$142,19,FALSE)*Forutsetninger!$C$24</f>
        <v>0</v>
      </c>
      <c r="P37" s="45">
        <f t="shared" si="7"/>
        <v>27080.670132824354</v>
      </c>
      <c r="Q37" s="45">
        <f>D37+E37+J37+K37+M37+G37*Forutsetninger!$B$6+N37</f>
        <v>30660.882984824355</v>
      </c>
      <c r="R37" s="46">
        <f>IFERROR((VLOOKUP(A37,'DEAnorm D-nett'!$A$4:$H$130,8,FALSE)+O37),0)</f>
        <v>23926.35927224682</v>
      </c>
      <c r="S37" s="21">
        <f>IFERROR((VLOOKUP(A37,'DEAnorm R-nett'!$A$4:$H$85,8,FALSE)+N37+K37),N37+K37)</f>
        <v>0</v>
      </c>
      <c r="T37" s="118">
        <f>IFERROR(VLOOKUP(A37,IRData!$A$3:$AN$142,40,FALSE),0)</f>
        <v>0</v>
      </c>
      <c r="U37" s="47">
        <f>(1-Forutsetninger!$B$4)*Q37+(R37+S37+T37)*Forutsetninger!$B$4</f>
        <v>26620.168757277832</v>
      </c>
      <c r="V37" s="41">
        <f>(R37+S37+T37)-G37*($K$156+$K$150)/Forutsetninger!$B$4</f>
        <v>21595.625091298996</v>
      </c>
      <c r="W37" s="296">
        <f>(1-Forutsetninger!$B$4)*Q37+Forutsetninger!$B$4*V37</f>
        <v>25221.72824870914</v>
      </c>
      <c r="X37" s="185">
        <v>25228.541111501283</v>
      </c>
      <c r="Y37" s="198">
        <f t="shared" si="8"/>
        <v>-6.8128627921432781</v>
      </c>
      <c r="Z37" s="197">
        <f t="shared" si="9"/>
        <v>-2.7004584855037076E-4</v>
      </c>
      <c r="AA37" s="185">
        <f t="shared" si="10"/>
        <v>0</v>
      </c>
      <c r="AB37" s="197">
        <f>VLOOKUP(A37,Table1[[idaar]:[Andel SN]],8,FALSE)</f>
        <v>1</v>
      </c>
      <c r="AC37" s="197">
        <f>VLOOKUP(A37,Table1[[idaar]:[Andel SN]],9,FALSE)</f>
        <v>0</v>
      </c>
      <c r="AD37" s="197">
        <f>VLOOKUP(A37,Table1[[idaar]:[Andel SN]],10,FALSE)</f>
        <v>0</v>
      </c>
      <c r="AE37" s="312">
        <f t="shared" si="11"/>
        <v>0</v>
      </c>
      <c r="AF37" s="312">
        <f t="shared" si="12"/>
        <v>0</v>
      </c>
      <c r="AG37" s="312">
        <f t="shared" si="13"/>
        <v>0</v>
      </c>
    </row>
    <row r="38" spans="1:33" x14ac:dyDescent="0.2">
      <c r="A38">
        <v>182015</v>
      </c>
      <c r="B38" t="s">
        <v>161</v>
      </c>
      <c r="C38" s="112">
        <f>VLOOKUP(A38,IRData!$A$3:$F$142,6,FALSE)</f>
        <v>10824.58511112027</v>
      </c>
      <c r="D38" s="45">
        <f>C38*Forutsetninger!$C$30</f>
        <v>11452.411047565247</v>
      </c>
      <c r="E38" s="43">
        <f>VLOOKUP($A38,IRData!$A$2:$N$142,7,FALSE)</f>
        <v>5375</v>
      </c>
      <c r="F38" s="43">
        <f>VLOOKUP($A38,IRData!$A$2:$N$142,8,FALSE)</f>
        <v>55087</v>
      </c>
      <c r="G38" s="43">
        <f>VLOOKUP($A38,IRData!$A$2:$N$142,9,FALSE)</f>
        <v>55637.87</v>
      </c>
      <c r="H38" s="43">
        <f>VLOOKUP($A38,IRData!$A$2:$N$142,10,FALSE)</f>
        <v>3900</v>
      </c>
      <c r="I38" s="43">
        <f>VLOOKUP($A38,IRData!$A$2:$N$142,11,FALSE)</f>
        <v>48</v>
      </c>
      <c r="J38" s="45">
        <f>VLOOKUP(A38,IRData!$A$3:$AF$142,32,FALSE)</f>
        <v>1002.5378309700001</v>
      </c>
      <c r="K38" s="45">
        <f>VLOOKUP(A38,IRData!$A$3:$AM$142,37,FALSE)</f>
        <v>12.338927150400002</v>
      </c>
      <c r="L38" s="112">
        <f>VLOOKUP($A38,IRData!$A$2:$N$142,13,FALSE)</f>
        <v>578</v>
      </c>
      <c r="M38" s="44">
        <f>L38*Forutsetninger!$C$24</f>
        <v>609.79</v>
      </c>
      <c r="N38" s="112">
        <f>VLOOKUP(A38,IRData!$A$3:$E$142,5,FALSE)*Forutsetninger!$C$30</f>
        <v>0</v>
      </c>
      <c r="O38" s="112">
        <f>VLOOKUP(A38,IRData!$A$3:$AG$142,19,FALSE)*Forutsetninger!$C$24</f>
        <v>208.27809999999997</v>
      </c>
      <c r="P38" s="45">
        <f t="shared" si="7"/>
        <v>18452.077805685647</v>
      </c>
      <c r="Q38" s="45">
        <f>D38+E38+J38+K38+M38+G38*Forutsetninger!$B$6+N38</f>
        <v>21857.115449685647</v>
      </c>
      <c r="R38" s="46">
        <f>IFERROR((VLOOKUP(A38,'DEAnorm D-nett'!$A$4:$H$130,8,FALSE)+O38),0)</f>
        <v>22094.605229580593</v>
      </c>
      <c r="S38" s="21">
        <f>IFERROR((VLOOKUP(A38,'DEAnorm R-nett'!$A$4:$H$85,8,FALSE)+N38+K38),N38+K38)</f>
        <v>1024.8639340193706</v>
      </c>
      <c r="T38" s="118">
        <f>IFERROR(VLOOKUP(A38,IRData!$A$3:$AN$142,40,FALSE),0)</f>
        <v>0</v>
      </c>
      <c r="U38" s="47">
        <f>(1-Forutsetninger!$B$4)*Q38+(R38+S38+T38)*Forutsetninger!$B$4</f>
        <v>22614.527678034236</v>
      </c>
      <c r="V38" s="41">
        <f>(R38+S38+T38)-G38*($K$156+$K$150)/Forutsetninger!$B$4</f>
        <v>20902.774807047543</v>
      </c>
      <c r="W38" s="296">
        <f>(1-Forutsetninger!$B$4)*Q38+Forutsetninger!$B$4*V38</f>
        <v>21284.511064102786</v>
      </c>
      <c r="X38" s="185">
        <v>21289.937123429176</v>
      </c>
      <c r="Y38" s="198">
        <f t="shared" si="8"/>
        <v>-5.4260593263898045</v>
      </c>
      <c r="Z38" s="197">
        <f t="shared" si="9"/>
        <v>-2.5486497658175458E-4</v>
      </c>
      <c r="AA38" s="185">
        <f t="shared" si="10"/>
        <v>0</v>
      </c>
      <c r="AB38" s="197">
        <f>VLOOKUP(A38,Table1[[idaar]:[Andel SN]],8,FALSE)</f>
        <v>0.942977923907938</v>
      </c>
      <c r="AC38" s="197">
        <f>VLOOKUP(A38,Table1[[idaar]:[Andel SN]],9,FALSE)</f>
        <v>5.7022076092062002E-2</v>
      </c>
      <c r="AD38" s="197">
        <f>VLOOKUP(A38,Table1[[idaar]:[Andel SN]],10,FALSE)</f>
        <v>0</v>
      </c>
      <c r="AE38" s="312">
        <f t="shared" si="11"/>
        <v>0</v>
      </c>
      <c r="AF38" s="312">
        <f t="shared" si="12"/>
        <v>0</v>
      </c>
      <c r="AG38" s="312">
        <f t="shared" si="13"/>
        <v>0</v>
      </c>
    </row>
    <row r="39" spans="1:33" x14ac:dyDescent="0.2">
      <c r="A39">
        <v>422015</v>
      </c>
      <c r="B39" t="s">
        <v>200</v>
      </c>
      <c r="C39" s="112">
        <f>VLOOKUP(A39,IRData!$A$3:$F$142,6,FALSE)</f>
        <v>28429.574833290499</v>
      </c>
      <c r="D39" s="45">
        <f>C39*Forutsetninger!$C$30</f>
        <v>30078.490173621351</v>
      </c>
      <c r="E39" s="43">
        <f>VLOOKUP($A39,IRData!$A$2:$N$142,7,FALSE)</f>
        <v>8343</v>
      </c>
      <c r="F39" s="43">
        <f>VLOOKUP($A39,IRData!$A$2:$N$142,8,FALSE)</f>
        <v>127370</v>
      </c>
      <c r="G39" s="43">
        <f>VLOOKUP($A39,IRData!$A$2:$N$142,9,FALSE)</f>
        <v>128643.7</v>
      </c>
      <c r="H39" s="43">
        <f>VLOOKUP($A39,IRData!$A$2:$N$142,10,FALSE)</f>
        <v>11292</v>
      </c>
      <c r="I39" s="43">
        <f>VLOOKUP($A39,IRData!$A$2:$N$142,11,FALSE)</f>
        <v>0</v>
      </c>
      <c r="J39" s="45">
        <f>VLOOKUP(A39,IRData!$A$3:$AF$142,32,FALSE)</f>
        <v>2902.7326121316005</v>
      </c>
      <c r="K39" s="45">
        <f>VLOOKUP(A39,IRData!$A$3:$AM$142,37,FALSE)</f>
        <v>0</v>
      </c>
      <c r="L39" s="112">
        <f>VLOOKUP($A39,IRData!$A$2:$N$142,13,FALSE)</f>
        <v>1243</v>
      </c>
      <c r="M39" s="44">
        <f>L39*Forutsetninger!$C$24</f>
        <v>1311.365</v>
      </c>
      <c r="N39" s="112">
        <f>VLOOKUP(A39,IRData!$A$3:$E$142,5,FALSE)*Forutsetninger!$C$30</f>
        <v>0</v>
      </c>
      <c r="O39" s="112">
        <f>VLOOKUP(A39,IRData!$A$3:$AG$142,19,FALSE)*Forutsetninger!$C$24</f>
        <v>0</v>
      </c>
      <c r="P39" s="45">
        <f t="shared" si="7"/>
        <v>42635.587785752949</v>
      </c>
      <c r="Q39" s="45">
        <f>D39+E39+J39+K39+M39+G39*Forutsetninger!$B$6+N39</f>
        <v>50508.582225752951</v>
      </c>
      <c r="R39" s="46">
        <f>IFERROR((VLOOKUP(A39,'DEAnorm D-nett'!$A$4:$H$130,8,FALSE)+O39),0)</f>
        <v>42723.01601301918</v>
      </c>
      <c r="S39" s="21">
        <f>IFERROR((VLOOKUP(A39,'DEAnorm R-nett'!$A$4:$H$85,8,FALSE)+N39+K39),N39+K39)</f>
        <v>0</v>
      </c>
      <c r="T39" s="118">
        <f>IFERROR(VLOOKUP(A39,IRData!$A$3:$AN$142,40,FALSE),0)</f>
        <v>0</v>
      </c>
      <c r="U39" s="47">
        <f>(1-Forutsetninger!$B$4)*Q39+(R39+S39+T39)*Forutsetninger!$B$4</f>
        <v>45837.24249811269</v>
      </c>
      <c r="V39" s="41">
        <f>(R39+S39+T39)-G39*($K$156+$K$150)/Forutsetninger!$B$4</f>
        <v>37597.662296278722</v>
      </c>
      <c r="W39" s="296">
        <f>(1-Forutsetninger!$B$4)*Q39+Forutsetninger!$B$4*V39</f>
        <v>42762.030268068411</v>
      </c>
      <c r="X39" s="185">
        <v>42772.73949559906</v>
      </c>
      <c r="Y39" s="198">
        <f t="shared" si="8"/>
        <v>-10.709227530649514</v>
      </c>
      <c r="Z39" s="197">
        <f t="shared" si="9"/>
        <v>-2.5037506731948744E-4</v>
      </c>
      <c r="AA39" s="185">
        <f t="shared" si="10"/>
        <v>0</v>
      </c>
      <c r="AB39" s="197">
        <f>VLOOKUP(A39,Table1[[idaar]:[Andel SN]],8,FALSE)</f>
        <v>1</v>
      </c>
      <c r="AC39" s="197">
        <f>VLOOKUP(A39,Table1[[idaar]:[Andel SN]],9,FALSE)</f>
        <v>0</v>
      </c>
      <c r="AD39" s="197">
        <f>VLOOKUP(A39,Table1[[idaar]:[Andel SN]],10,FALSE)</f>
        <v>0</v>
      </c>
      <c r="AE39" s="312">
        <f t="shared" si="11"/>
        <v>0</v>
      </c>
      <c r="AF39" s="312">
        <f t="shared" si="12"/>
        <v>0</v>
      </c>
      <c r="AG39" s="312">
        <f t="shared" si="13"/>
        <v>0</v>
      </c>
    </row>
    <row r="40" spans="1:33" x14ac:dyDescent="0.2">
      <c r="A40">
        <v>222015</v>
      </c>
      <c r="B40" t="s">
        <v>197</v>
      </c>
      <c r="C40" s="112">
        <f>VLOOKUP(A40,IRData!$A$3:$F$142,6,FALSE)</f>
        <v>5516.9263256782697</v>
      </c>
      <c r="D40" s="45">
        <f>C40*Forutsetninger!$C$30</f>
        <v>5836.90805256761</v>
      </c>
      <c r="E40" s="43">
        <f>VLOOKUP($A40,IRData!$A$2:$N$142,7,FALSE)</f>
        <v>1456</v>
      </c>
      <c r="F40" s="43">
        <f>VLOOKUP($A40,IRData!$A$2:$N$142,8,FALSE)</f>
        <v>28433</v>
      </c>
      <c r="G40" s="43">
        <f>VLOOKUP($A40,IRData!$A$2:$N$142,9,FALSE)</f>
        <v>28717.33</v>
      </c>
      <c r="H40" s="43">
        <f>VLOOKUP($A40,IRData!$A$2:$N$142,10,FALSE)</f>
        <v>1896</v>
      </c>
      <c r="I40" s="43">
        <f>VLOOKUP($A40,IRData!$A$2:$N$142,11,FALSE)</f>
        <v>0</v>
      </c>
      <c r="J40" s="45">
        <f>VLOOKUP(A40,IRData!$A$3:$AF$142,32,FALSE)</f>
        <v>487.38762244080004</v>
      </c>
      <c r="K40" s="45">
        <f>VLOOKUP(A40,IRData!$A$3:$AM$142,37,FALSE)</f>
        <v>0</v>
      </c>
      <c r="L40" s="112">
        <f>VLOOKUP($A40,IRData!$A$2:$N$142,13,FALSE)</f>
        <v>350</v>
      </c>
      <c r="M40" s="44">
        <f>L40*Forutsetninger!$C$24</f>
        <v>369.25</v>
      </c>
      <c r="N40" s="112">
        <f>VLOOKUP(A40,IRData!$A$3:$E$142,5,FALSE)*Forutsetninger!$C$30</f>
        <v>0</v>
      </c>
      <c r="O40" s="112">
        <f>VLOOKUP(A40,IRData!$A$3:$AG$142,19,FALSE)*Forutsetninger!$C$24</f>
        <v>0</v>
      </c>
      <c r="P40" s="45">
        <f t="shared" si="7"/>
        <v>8149.5456750084104</v>
      </c>
      <c r="Q40" s="45">
        <f>D40+E40+J40+K40+M40+G40*Forutsetninger!$B$6+N40</f>
        <v>9907.0462710084103</v>
      </c>
      <c r="R40" s="46">
        <f>IFERROR((VLOOKUP(A40,'DEAnorm D-nett'!$A$4:$H$130,8,FALSE)+O40),0)</f>
        <v>10199.159994439691</v>
      </c>
      <c r="S40" s="21">
        <f>IFERROR((VLOOKUP(A40,'DEAnorm R-nett'!$A$4:$H$85,8,FALSE)+N40+K40),N40+K40)</f>
        <v>0</v>
      </c>
      <c r="T40" s="118">
        <f>IFERROR(VLOOKUP(A40,IRData!$A$3:$AN$142,40,FALSE),0)</f>
        <v>0</v>
      </c>
      <c r="U40" s="47">
        <f>(1-Forutsetninger!$B$4)*Q40+(R40+S40+T40)*Forutsetninger!$B$4</f>
        <v>10082.314505067179</v>
      </c>
      <c r="V40" s="41">
        <f>(R40+S40+T40)-G40*($K$156+$K$150)/Forutsetninger!$B$4</f>
        <v>9055.0194414987982</v>
      </c>
      <c r="W40" s="296">
        <f>(1-Forutsetninger!$B$4)*Q40+Forutsetninger!$B$4*V40</f>
        <v>9395.8301733026437</v>
      </c>
      <c r="X40" s="185">
        <v>9398.1335046647437</v>
      </c>
      <c r="Y40" s="198">
        <f t="shared" si="8"/>
        <v>-2.3033313620999252</v>
      </c>
      <c r="Z40" s="197">
        <f t="shared" si="9"/>
        <v>-2.4508391596657694E-4</v>
      </c>
      <c r="AA40" s="185">
        <f t="shared" si="10"/>
        <v>0</v>
      </c>
      <c r="AB40" s="197">
        <f>VLOOKUP(A40,Table1[[idaar]:[Andel SN]],8,FALSE)</f>
        <v>1</v>
      </c>
      <c r="AC40" s="197">
        <f>VLOOKUP(A40,Table1[[idaar]:[Andel SN]],9,FALSE)</f>
        <v>0</v>
      </c>
      <c r="AD40" s="197">
        <f>VLOOKUP(A40,Table1[[idaar]:[Andel SN]],10,FALSE)</f>
        <v>0</v>
      </c>
      <c r="AE40" s="312">
        <f t="shared" si="11"/>
        <v>0</v>
      </c>
      <c r="AF40" s="312">
        <f t="shared" si="12"/>
        <v>0</v>
      </c>
      <c r="AG40" s="312">
        <f t="shared" si="13"/>
        <v>0</v>
      </c>
    </row>
    <row r="41" spans="1:33" x14ac:dyDescent="0.2">
      <c r="A41">
        <v>532015</v>
      </c>
      <c r="B41" t="s">
        <v>205</v>
      </c>
      <c r="C41" s="112">
        <f>VLOOKUP(A41,IRData!$A$3:$F$142,6,FALSE)</f>
        <v>28728.653024252901</v>
      </c>
      <c r="D41" s="45">
        <f>C41*Forutsetninger!$C$30</f>
        <v>30394.914899659569</v>
      </c>
      <c r="E41" s="43">
        <f>VLOOKUP($A41,IRData!$A$2:$N$142,7,FALSE)</f>
        <v>13862</v>
      </c>
      <c r="F41" s="43">
        <f>VLOOKUP($A41,IRData!$A$2:$N$142,8,FALSE)</f>
        <v>203246</v>
      </c>
      <c r="G41" s="43">
        <f>VLOOKUP($A41,IRData!$A$2:$N$142,9,FALSE)</f>
        <v>205278.46</v>
      </c>
      <c r="H41" s="43">
        <f>VLOOKUP($A41,IRData!$A$2:$N$142,10,FALSE)</f>
        <v>11598</v>
      </c>
      <c r="I41" s="43">
        <f>VLOOKUP($A41,IRData!$A$2:$N$142,11,FALSE)</f>
        <v>0</v>
      </c>
      <c r="J41" s="45">
        <f>VLOOKUP(A41,IRData!$A$3:$AF$142,32,FALSE)</f>
        <v>3367.2853072127996</v>
      </c>
      <c r="K41" s="45">
        <f>VLOOKUP(A41,IRData!$A$3:$AM$142,37,FALSE)</f>
        <v>0</v>
      </c>
      <c r="L41" s="112">
        <f>VLOOKUP($A41,IRData!$A$2:$N$142,13,FALSE)</f>
        <v>2438</v>
      </c>
      <c r="M41" s="44">
        <f>L41*Forutsetninger!$C$24</f>
        <v>2572.0899999999997</v>
      </c>
      <c r="N41" s="112">
        <f>VLOOKUP(A41,IRData!$A$3:$E$142,5,FALSE)*Forutsetninger!$C$30</f>
        <v>0</v>
      </c>
      <c r="O41" s="112">
        <f>VLOOKUP(A41,IRData!$A$3:$AG$142,19,FALSE)*Forutsetninger!$C$24</f>
        <v>0</v>
      </c>
      <c r="P41" s="45">
        <f t="shared" si="7"/>
        <v>50196.290206872363</v>
      </c>
      <c r="Q41" s="45">
        <f>D41+E41+J41+K41+M41+G41*Forutsetninger!$B$6+N41</f>
        <v>62759.331958872361</v>
      </c>
      <c r="R41" s="46">
        <f>IFERROR((VLOOKUP(A41,'DEAnorm D-nett'!$A$4:$H$130,8,FALSE)+O41),0)</f>
        <v>62342.171718542377</v>
      </c>
      <c r="S41" s="21">
        <f>IFERROR((VLOOKUP(A41,'DEAnorm R-nett'!$A$4:$H$85,8,FALSE)+N41+K41),N41+K41)</f>
        <v>0</v>
      </c>
      <c r="T41" s="118">
        <f>IFERROR(VLOOKUP(A41,IRData!$A$3:$AN$142,40,FALSE),0)</f>
        <v>0</v>
      </c>
      <c r="U41" s="47">
        <f>(1-Forutsetninger!$B$4)*Q41+(R41+S41+T41)*Forutsetninger!$B$4</f>
        <v>62509.035814674367</v>
      </c>
      <c r="V41" s="41">
        <f>(R41+S41+T41)-G41*($K$156+$K$150)/Forutsetninger!$B$4</f>
        <v>54163.576747099876</v>
      </c>
      <c r="W41" s="296">
        <f>(1-Forutsetninger!$B$4)*Q41+Forutsetninger!$B$4*V41</f>
        <v>57601.87883180887</v>
      </c>
      <c r="X41" s="185">
        <v>57615.114638234358</v>
      </c>
      <c r="Y41" s="198">
        <f t="shared" si="8"/>
        <v>-13.235806425487681</v>
      </c>
      <c r="Z41" s="197">
        <f t="shared" si="9"/>
        <v>-2.2972802377631957E-4</v>
      </c>
      <c r="AA41" s="185">
        <f t="shared" si="10"/>
        <v>0</v>
      </c>
      <c r="AB41" s="197">
        <f>VLOOKUP(A41,Table1[[idaar]:[Andel SN]],8,FALSE)</f>
        <v>1</v>
      </c>
      <c r="AC41" s="197">
        <f>VLOOKUP(A41,Table1[[idaar]:[Andel SN]],9,FALSE)</f>
        <v>0</v>
      </c>
      <c r="AD41" s="197">
        <f>VLOOKUP(A41,Table1[[idaar]:[Andel SN]],10,FALSE)</f>
        <v>0</v>
      </c>
      <c r="AE41" s="312">
        <f t="shared" si="11"/>
        <v>0</v>
      </c>
      <c r="AF41" s="312">
        <f t="shared" si="12"/>
        <v>0</v>
      </c>
      <c r="AG41" s="312">
        <f t="shared" si="13"/>
        <v>0</v>
      </c>
    </row>
    <row r="42" spans="1:33" x14ac:dyDescent="0.2">
      <c r="A42">
        <v>882015</v>
      </c>
      <c r="B42" t="s">
        <v>164</v>
      </c>
      <c r="C42" s="112">
        <f>VLOOKUP(A42,IRData!$A$3:$F$142,6,FALSE)</f>
        <v>20555.118834241359</v>
      </c>
      <c r="D42" s="45">
        <f>C42*Forutsetninger!$C$30</f>
        <v>21747.315726627359</v>
      </c>
      <c r="E42" s="43">
        <f>VLOOKUP($A42,IRData!$A$2:$N$142,7,FALSE)</f>
        <v>9130</v>
      </c>
      <c r="F42" s="43">
        <f>VLOOKUP($A42,IRData!$A$2:$N$142,8,FALSE)</f>
        <v>147205</v>
      </c>
      <c r="G42" s="43">
        <f>VLOOKUP($A42,IRData!$A$2:$N$142,9,FALSE)</f>
        <v>148677.04999999999</v>
      </c>
      <c r="H42" s="43">
        <f>VLOOKUP($A42,IRData!$A$2:$N$142,10,FALSE)</f>
        <v>8885</v>
      </c>
      <c r="I42" s="43">
        <f>VLOOKUP($A42,IRData!$A$2:$N$142,11,FALSE)</f>
        <v>1700</v>
      </c>
      <c r="J42" s="45">
        <f>VLOOKUP(A42,IRData!$A$3:$AF$142,32,FALSE)</f>
        <v>2530.2746811934999</v>
      </c>
      <c r="K42" s="45">
        <f>VLOOKUP(A42,IRData!$A$3:$AM$142,37,FALSE)</f>
        <v>484.12683827000001</v>
      </c>
      <c r="L42" s="112">
        <f>VLOOKUP($A42,IRData!$A$2:$N$142,13,FALSE)</f>
        <v>1999</v>
      </c>
      <c r="M42" s="44">
        <f>L42*Forutsetninger!$C$24</f>
        <v>2108.9449999999997</v>
      </c>
      <c r="N42" s="112">
        <f>VLOOKUP(A42,IRData!$A$3:$E$142,5,FALSE)*Forutsetninger!$C$30</f>
        <v>0</v>
      </c>
      <c r="O42" s="112">
        <f>VLOOKUP(A42,IRData!$A$3:$AG$142,19,FALSE)*Forutsetninger!$C$24</f>
        <v>1076.1210999999998</v>
      </c>
      <c r="P42" s="45">
        <f t="shared" si="7"/>
        <v>36000.662246090862</v>
      </c>
      <c r="Q42" s="45">
        <f>D42+E42+J42+K42+M42+G42*Forutsetninger!$B$6+N42</f>
        <v>45099.697706090861</v>
      </c>
      <c r="R42" s="46">
        <f>IFERROR((VLOOKUP(A42,'DEAnorm D-nett'!$A$4:$H$130,8,FALSE)+O42),0)</f>
        <v>39922.05498715143</v>
      </c>
      <c r="S42" s="21">
        <f>IFERROR((VLOOKUP(A42,'DEAnorm R-nett'!$A$4:$H$85,8,FALSE)+N42+K42),N42+K42)</f>
        <v>4244.2611986040301</v>
      </c>
      <c r="T42" s="118">
        <f>IFERROR(VLOOKUP(A42,IRData!$A$3:$AN$142,40,FALSE),0)</f>
        <v>0</v>
      </c>
      <c r="U42" s="47">
        <f>(1-Forutsetninger!$B$4)*Q42+(R42+S42+T42)*Forutsetninger!$B$4</f>
        <v>44539.668793889621</v>
      </c>
      <c r="V42" s="41">
        <f>(R42+S42+T42)-G42*($K$156+$K$150)/Forutsetninger!$B$4</f>
        <v>38242.804417891915</v>
      </c>
      <c r="W42" s="296">
        <f>(1-Forutsetninger!$B$4)*Q42+Forutsetninger!$B$4*V42</f>
        <v>40985.561733171489</v>
      </c>
      <c r="X42" s="185">
        <v>40994.620851759028</v>
      </c>
      <c r="Y42" s="198">
        <f t="shared" si="8"/>
        <v>-9.0591185875382507</v>
      </c>
      <c r="Z42" s="197">
        <f t="shared" si="9"/>
        <v>-2.2098310459552732E-4</v>
      </c>
      <c r="AA42" s="185">
        <f t="shared" si="10"/>
        <v>0</v>
      </c>
      <c r="AB42" s="197">
        <f>VLOOKUP(A42,Table1[[idaar]:[Andel SN]],8,FALSE)</f>
        <v>1</v>
      </c>
      <c r="AC42" s="197">
        <f>VLOOKUP(A42,Table1[[idaar]:[Andel SN]],9,FALSE)</f>
        <v>0</v>
      </c>
      <c r="AD42" s="197">
        <f>VLOOKUP(A42,Table1[[idaar]:[Andel SN]],10,FALSE)</f>
        <v>0</v>
      </c>
      <c r="AE42" s="312">
        <f t="shared" si="11"/>
        <v>0</v>
      </c>
      <c r="AF42" s="312">
        <f t="shared" si="12"/>
        <v>0</v>
      </c>
      <c r="AG42" s="312">
        <f t="shared" si="13"/>
        <v>0</v>
      </c>
    </row>
    <row r="43" spans="1:33" x14ac:dyDescent="0.2">
      <c r="A43">
        <v>322015</v>
      </c>
      <c r="B43" t="s">
        <v>198</v>
      </c>
      <c r="C43" s="112">
        <f>VLOOKUP(A43,IRData!$A$3:$F$142,6,FALSE)</f>
        <v>60584.258831840401</v>
      </c>
      <c r="D43" s="45">
        <f>C43*Forutsetninger!$C$30</f>
        <v>64098.14584408715</v>
      </c>
      <c r="E43" s="43">
        <f>VLOOKUP($A43,IRData!$A$2:$N$142,7,FALSE)</f>
        <v>32593</v>
      </c>
      <c r="F43" s="43">
        <f>VLOOKUP($A43,IRData!$A$2:$N$142,8,FALSE)</f>
        <v>462078</v>
      </c>
      <c r="G43" s="43">
        <f>VLOOKUP($A43,IRData!$A$2:$N$142,9,FALSE)</f>
        <v>466698.78</v>
      </c>
      <c r="H43" s="43">
        <f>VLOOKUP($A43,IRData!$A$2:$N$142,10,FALSE)</f>
        <v>60279</v>
      </c>
      <c r="I43" s="43">
        <f>VLOOKUP($A43,IRData!$A$2:$N$142,11,FALSE)</f>
        <v>0</v>
      </c>
      <c r="J43" s="45">
        <f>VLOOKUP(A43,IRData!$A$3:$AF$142,32,FALSE)</f>
        <v>17295.073098066001</v>
      </c>
      <c r="K43" s="45">
        <f>VLOOKUP(A43,IRData!$A$3:$AM$142,37,FALSE)</f>
        <v>0</v>
      </c>
      <c r="L43" s="112">
        <f>VLOOKUP($A43,IRData!$A$2:$N$142,13,FALSE)</f>
        <v>2815</v>
      </c>
      <c r="M43" s="44">
        <f>L43*Forutsetninger!$C$24</f>
        <v>2969.8249999999998</v>
      </c>
      <c r="N43" s="112">
        <f>VLOOKUP(A43,IRData!$A$3:$E$142,5,FALSE)*Forutsetninger!$C$30</f>
        <v>0</v>
      </c>
      <c r="O43" s="112">
        <f>VLOOKUP(A43,IRData!$A$3:$AG$142,19,FALSE)*Forutsetninger!$C$24</f>
        <v>8852.0407999999989</v>
      </c>
      <c r="P43" s="45">
        <f t="shared" si="7"/>
        <v>116956.04394215315</v>
      </c>
      <c r="Q43" s="45">
        <f>D43+E43+J43+K43+M43+G43*Forutsetninger!$B$6+N43</f>
        <v>145518.00927815316</v>
      </c>
      <c r="R43" s="46">
        <f>IFERROR((VLOOKUP(A43,'DEAnorm D-nett'!$A$4:$H$130,8,FALSE)+O43),0)</f>
        <v>137001.71968078782</v>
      </c>
      <c r="S43" s="21">
        <f>IFERROR((VLOOKUP(A43,'DEAnorm R-nett'!$A$4:$H$85,8,FALSE)+N43+K43),N43+K43)</f>
        <v>0</v>
      </c>
      <c r="T43" s="118">
        <f>IFERROR(VLOOKUP(A43,IRData!$A$3:$AN$142,40,FALSE),0)</f>
        <v>0</v>
      </c>
      <c r="U43" s="47">
        <f>(1-Forutsetninger!$B$4)*Q43+(R43+S43+T43)*Forutsetninger!$B$4</f>
        <v>140408.23551973395</v>
      </c>
      <c r="V43" s="41">
        <f>(R43+S43+T43)-G43*($K$156+$K$150)/Forutsetninger!$B$4</f>
        <v>118407.75568044238</v>
      </c>
      <c r="W43" s="296">
        <f>(1-Forutsetninger!$B$4)*Q43+Forutsetninger!$B$4*V43</f>
        <v>129251.85711952668</v>
      </c>
      <c r="X43" s="185">
        <v>129279.82056058416</v>
      </c>
      <c r="Y43" s="198">
        <f t="shared" si="8"/>
        <v>-27.96344105747994</v>
      </c>
      <c r="Z43" s="197">
        <f t="shared" si="9"/>
        <v>-2.1630166979057249E-4</v>
      </c>
      <c r="AA43" s="185">
        <f t="shared" si="10"/>
        <v>0</v>
      </c>
      <c r="AB43" s="197">
        <f>VLOOKUP(A43,Table1[[idaar]:[Andel SN]],8,FALSE)</f>
        <v>0.99863215417142315</v>
      </c>
      <c r="AC43" s="197">
        <f>VLOOKUP(A43,Table1[[idaar]:[Andel SN]],9,FALSE)</f>
        <v>1.3678458285768325E-3</v>
      </c>
      <c r="AD43" s="197">
        <f>VLOOKUP(A43,Table1[[idaar]:[Andel SN]],10,FALSE)</f>
        <v>0</v>
      </c>
      <c r="AE43" s="312">
        <f t="shared" si="11"/>
        <v>0</v>
      </c>
      <c r="AF43" s="312">
        <f t="shared" si="12"/>
        <v>0</v>
      </c>
      <c r="AG43" s="312">
        <f t="shared" si="13"/>
        <v>0</v>
      </c>
    </row>
    <row r="44" spans="1:33" x14ac:dyDescent="0.2">
      <c r="A44">
        <v>432015</v>
      </c>
      <c r="B44" t="s">
        <v>201</v>
      </c>
      <c r="C44" s="112">
        <f>VLOOKUP(A44,IRData!$A$3:$F$142,6,FALSE)</f>
        <v>23176.347276021199</v>
      </c>
      <c r="D44" s="45">
        <f>C44*Forutsetninger!$C$30</f>
        <v>24520.575418030428</v>
      </c>
      <c r="E44" s="43">
        <f>VLOOKUP($A44,IRData!$A$2:$N$142,7,FALSE)</f>
        <v>10216</v>
      </c>
      <c r="F44" s="43">
        <f>VLOOKUP($A44,IRData!$A$2:$N$142,8,FALSE)</f>
        <v>175696</v>
      </c>
      <c r="G44" s="43">
        <f>VLOOKUP($A44,IRData!$A$2:$N$142,9,FALSE)</f>
        <v>177452.96</v>
      </c>
      <c r="H44" s="43">
        <f>VLOOKUP($A44,IRData!$A$2:$N$142,10,FALSE)</f>
        <v>9610</v>
      </c>
      <c r="I44" s="43">
        <f>VLOOKUP($A44,IRData!$A$2:$N$142,11,FALSE)</f>
        <v>0</v>
      </c>
      <c r="J44" s="45">
        <f>VLOOKUP(A44,IRData!$A$3:$AF$142,32,FALSE)</f>
        <v>2736.740538691</v>
      </c>
      <c r="K44" s="45">
        <f>VLOOKUP(A44,IRData!$A$3:$AM$142,37,FALSE)</f>
        <v>0</v>
      </c>
      <c r="L44" s="112">
        <f>VLOOKUP($A44,IRData!$A$2:$N$142,13,FALSE)</f>
        <v>811</v>
      </c>
      <c r="M44" s="44">
        <f>L44*Forutsetninger!$C$24</f>
        <v>855.6049999999999</v>
      </c>
      <c r="N44" s="112">
        <f>VLOOKUP(A44,IRData!$A$3:$E$142,5,FALSE)*Forutsetninger!$C$30</f>
        <v>0</v>
      </c>
      <c r="O44" s="112">
        <f>VLOOKUP(A44,IRData!$A$3:$AG$142,19,FALSE)*Forutsetninger!$C$24</f>
        <v>277.70765</v>
      </c>
      <c r="P44" s="45">
        <f t="shared" si="7"/>
        <v>38328.920956721435</v>
      </c>
      <c r="Q44" s="45">
        <f>D44+E44+J44+K44+M44+G44*Forutsetninger!$B$6+N44</f>
        <v>49189.042108721434</v>
      </c>
      <c r="R44" s="46">
        <f>IFERROR((VLOOKUP(A44,'DEAnorm D-nett'!$A$4:$H$130,8,FALSE)+O44),0)</f>
        <v>43348.808726726922</v>
      </c>
      <c r="S44" s="21">
        <f>IFERROR((VLOOKUP(A44,'DEAnorm R-nett'!$A$4:$H$85,8,FALSE)+N44+K44),N44+K44)</f>
        <v>0</v>
      </c>
      <c r="T44" s="118">
        <f>IFERROR(VLOOKUP(A44,IRData!$A$3:$AN$142,40,FALSE),0)</f>
        <v>0</v>
      </c>
      <c r="U44" s="47">
        <f>(1-Forutsetninger!$B$4)*Q44+(R44+S44+T44)*Forutsetninger!$B$4</f>
        <v>45684.902079524734</v>
      </c>
      <c r="V44" s="41">
        <f>(R44+S44+T44)-G44*($K$156+$K$150)/Forutsetninger!$B$4</f>
        <v>36278.822492790896</v>
      </c>
      <c r="W44" s="296">
        <f>(1-Forutsetninger!$B$4)*Q44+Forutsetninger!$B$4*V44</f>
        <v>41442.910339163114</v>
      </c>
      <c r="X44" s="185">
        <v>41451.728654057035</v>
      </c>
      <c r="Y44" s="198">
        <f t="shared" si="8"/>
        <v>-8.8183148939206148</v>
      </c>
      <c r="Z44" s="197">
        <f t="shared" si="9"/>
        <v>-2.1273696369855817E-4</v>
      </c>
      <c r="AA44" s="185">
        <f t="shared" si="10"/>
        <v>0</v>
      </c>
      <c r="AB44" s="197">
        <f>VLOOKUP(A44,Table1[[idaar]:[Andel SN]],8,FALSE)</f>
        <v>1</v>
      </c>
      <c r="AC44" s="197">
        <f>VLOOKUP(A44,Table1[[idaar]:[Andel SN]],9,FALSE)</f>
        <v>0</v>
      </c>
      <c r="AD44" s="197">
        <f>VLOOKUP(A44,Table1[[idaar]:[Andel SN]],10,FALSE)</f>
        <v>0</v>
      </c>
      <c r="AE44" s="312">
        <f t="shared" si="11"/>
        <v>0</v>
      </c>
      <c r="AF44" s="312">
        <f t="shared" si="12"/>
        <v>0</v>
      </c>
      <c r="AG44" s="312">
        <f t="shared" si="13"/>
        <v>0</v>
      </c>
    </row>
    <row r="45" spans="1:33" x14ac:dyDescent="0.2">
      <c r="A45">
        <v>2752015</v>
      </c>
      <c r="B45" t="s">
        <v>264</v>
      </c>
      <c r="C45" s="112">
        <f>VLOOKUP(A45,IRData!$A$3:$F$142,6,FALSE)</f>
        <v>66777.184521890216</v>
      </c>
      <c r="D45" s="45">
        <f>C45*Forutsetninger!$C$30</f>
        <v>70650.261224159854</v>
      </c>
      <c r="E45" s="43">
        <f>VLOOKUP($A45,IRData!$A$2:$N$142,7,FALSE)</f>
        <v>21585</v>
      </c>
      <c r="F45" s="43">
        <f>VLOOKUP($A45,IRData!$A$2:$N$142,8,FALSE)</f>
        <v>277404</v>
      </c>
      <c r="G45" s="43">
        <f>VLOOKUP($A45,IRData!$A$2:$N$142,9,FALSE)</f>
        <v>280178.03999999998</v>
      </c>
      <c r="H45" s="43">
        <f>VLOOKUP($A45,IRData!$A$2:$N$142,10,FALSE)</f>
        <v>36392</v>
      </c>
      <c r="I45" s="43">
        <f>VLOOKUP($A45,IRData!$A$2:$N$142,11,FALSE)</f>
        <v>4650</v>
      </c>
      <c r="J45" s="45">
        <f>VLOOKUP(A45,IRData!$A$3:$AF$142,32,FALSE)</f>
        <v>10362.539823224799</v>
      </c>
      <c r="K45" s="45">
        <f>VLOOKUP(A45,IRData!$A$3:$AM$142,37,FALSE)</f>
        <v>1324.0769998349999</v>
      </c>
      <c r="L45" s="112">
        <f>VLOOKUP($A45,IRData!$A$2:$N$142,13,FALSE)</f>
        <v>4266</v>
      </c>
      <c r="M45" s="44">
        <f>L45*Forutsetninger!$C$24</f>
        <v>4500.63</v>
      </c>
      <c r="N45" s="112">
        <f>VLOOKUP(A45,IRData!$A$3:$E$142,5,FALSE)*Forutsetninger!$C$30</f>
        <v>0</v>
      </c>
      <c r="O45" s="112">
        <f>VLOOKUP(A45,IRData!$A$3:$AG$142,19,FALSE)*Forutsetninger!$C$24</f>
        <v>0</v>
      </c>
      <c r="P45" s="45">
        <f t="shared" si="7"/>
        <v>108422.50804721966</v>
      </c>
      <c r="Q45" s="45">
        <f>D45+E45+J45+K45+M45+G45*Forutsetninger!$B$6+N45</f>
        <v>125569.40409521965</v>
      </c>
      <c r="R45" s="46">
        <f>IFERROR((VLOOKUP(A45,'DEAnorm D-nett'!$A$4:$H$130,8,FALSE)+O45),0)</f>
        <v>113277.92191393184</v>
      </c>
      <c r="S45" s="21">
        <f>IFERROR((VLOOKUP(A45,'DEAnorm R-nett'!$A$4:$H$85,8,FALSE)+N45+K45),N45+K45)</f>
        <v>14998.030716095886</v>
      </c>
      <c r="T45" s="118">
        <f>IFERROR(VLOOKUP(A45,IRData!$A$3:$AN$142,40,FALSE),0)</f>
        <v>0</v>
      </c>
      <c r="U45" s="47">
        <f>(1-Forutsetninger!$B$4)*Q45+(R45+S45+T45)*Forutsetninger!$B$4</f>
        <v>127193.3332161045</v>
      </c>
      <c r="V45" s="41">
        <f>(R45+S45+T45)-G45*($K$156+$K$150)/Forutsetninger!$B$4</f>
        <v>117113.24852043623</v>
      </c>
      <c r="W45" s="296">
        <f>(1-Forutsetninger!$B$4)*Q45+Forutsetninger!$B$4*V45</f>
        <v>120495.71075034959</v>
      </c>
      <c r="X45" s="185">
        <v>120520.29178843809</v>
      </c>
      <c r="Y45" s="198">
        <f t="shared" si="8"/>
        <v>-24.581038088494097</v>
      </c>
      <c r="Z45" s="197">
        <f t="shared" si="9"/>
        <v>-2.0395767155661864E-4</v>
      </c>
      <c r="AA45" s="185">
        <f t="shared" si="10"/>
        <v>0</v>
      </c>
      <c r="AB45" s="197">
        <f>VLOOKUP(A45,Table1[[idaar]:[Andel SN]],8,FALSE)</f>
        <v>0.91785595751742455</v>
      </c>
      <c r="AC45" s="197">
        <f>VLOOKUP(A45,Table1[[idaar]:[Andel SN]],9,FALSE)</f>
        <v>7.467640225688682E-2</v>
      </c>
      <c r="AD45" s="197">
        <f>VLOOKUP(A45,Table1[[idaar]:[Andel SN]],10,FALSE)</f>
        <v>7.4676402256886824E-3</v>
      </c>
      <c r="AE45" s="312">
        <f t="shared" si="11"/>
        <v>0</v>
      </c>
      <c r="AF45" s="312">
        <f t="shared" si="12"/>
        <v>0</v>
      </c>
      <c r="AG45" s="312">
        <f t="shared" si="13"/>
        <v>0</v>
      </c>
    </row>
    <row r="46" spans="1:33" x14ac:dyDescent="0.2">
      <c r="A46">
        <v>5932015</v>
      </c>
      <c r="B46" t="s">
        <v>283</v>
      </c>
      <c r="C46" s="112">
        <f>VLOOKUP(A46,IRData!$A$3:$F$142,6,FALSE)</f>
        <v>12754.817316318</v>
      </c>
      <c r="D46" s="45">
        <f>C46*Forutsetninger!$C$30</f>
        <v>13494.596720664445</v>
      </c>
      <c r="E46" s="43">
        <f>VLOOKUP($A46,IRData!$A$2:$N$142,7,FALSE)</f>
        <v>2856</v>
      </c>
      <c r="F46" s="43">
        <f>VLOOKUP($A46,IRData!$A$2:$N$142,8,FALSE)</f>
        <v>28294</v>
      </c>
      <c r="G46" s="43">
        <f>VLOOKUP($A46,IRData!$A$2:$N$142,9,FALSE)</f>
        <v>28576.94</v>
      </c>
      <c r="H46" s="43">
        <f>VLOOKUP($A46,IRData!$A$2:$N$142,10,FALSE)</f>
        <v>3853</v>
      </c>
      <c r="I46" s="43">
        <f>VLOOKUP($A46,IRData!$A$2:$N$142,11,FALSE)</f>
        <v>0</v>
      </c>
      <c r="J46" s="45">
        <f>VLOOKUP(A46,IRData!$A$3:$AF$142,32,FALSE)</f>
        <v>1118.6541031807999</v>
      </c>
      <c r="K46" s="45">
        <f>VLOOKUP(A46,IRData!$A$3:$AM$142,37,FALSE)</f>
        <v>0</v>
      </c>
      <c r="L46" s="112">
        <f>VLOOKUP($A46,IRData!$A$2:$N$142,13,FALSE)</f>
        <v>244</v>
      </c>
      <c r="M46" s="44">
        <f>L46*Forutsetninger!$C$24</f>
        <v>257.41999999999996</v>
      </c>
      <c r="N46" s="112">
        <f>VLOOKUP(A46,IRData!$A$3:$E$142,5,FALSE)*Forutsetninger!$C$30</f>
        <v>0</v>
      </c>
      <c r="O46" s="112">
        <f>VLOOKUP(A46,IRData!$A$3:$AG$142,19,FALSE)*Forutsetninger!$C$24</f>
        <v>0</v>
      </c>
      <c r="P46" s="45">
        <f t="shared" si="7"/>
        <v>17726.670823845245</v>
      </c>
      <c r="Q46" s="45">
        <f>D46+E46+J46+K46+M46+G46*Forutsetninger!$B$6+N46</f>
        <v>19475.579551845243</v>
      </c>
      <c r="R46" s="46">
        <f>IFERROR((VLOOKUP(A46,'DEAnorm D-nett'!$A$4:$H$130,8,FALSE)+O46),0)</f>
        <v>16832.069170129405</v>
      </c>
      <c r="S46" s="21">
        <f>IFERROR((VLOOKUP(A46,'DEAnorm R-nett'!$A$4:$H$85,8,FALSE)+N46+K46),N46+K46)</f>
        <v>0</v>
      </c>
      <c r="T46" s="118">
        <f>IFERROR(VLOOKUP(A46,IRData!$A$3:$AN$142,40,FALSE),0)</f>
        <v>0</v>
      </c>
      <c r="U46" s="47">
        <f>(1-Forutsetninger!$B$4)*Q46+(R46+S46+T46)*Forutsetninger!$B$4</f>
        <v>17889.473322815742</v>
      </c>
      <c r="V46" s="41">
        <f>(R46+S46+T46)-G46*($K$156+$K$150)/Forutsetninger!$B$4</f>
        <v>15693.52196072802</v>
      </c>
      <c r="W46" s="296">
        <f>(1-Forutsetninger!$B$4)*Q46+Forutsetninger!$B$4*V46</f>
        <v>17206.344997174907</v>
      </c>
      <c r="X46" s="185">
        <v>17209.667687014247</v>
      </c>
      <c r="Y46" s="198">
        <f t="shared" si="8"/>
        <v>-3.3226898393404554</v>
      </c>
      <c r="Z46" s="197">
        <f t="shared" si="9"/>
        <v>-1.9307112140507101E-4</v>
      </c>
      <c r="AA46" s="185">
        <f t="shared" si="10"/>
        <v>0</v>
      </c>
      <c r="AB46" s="197">
        <f>VLOOKUP(A46,Table1[[idaar]:[Andel SN]],8,FALSE)</f>
        <v>1</v>
      </c>
      <c r="AC46" s="197">
        <f>VLOOKUP(A46,Table1[[idaar]:[Andel SN]],9,FALSE)</f>
        <v>0</v>
      </c>
      <c r="AD46" s="197">
        <f>VLOOKUP(A46,Table1[[idaar]:[Andel SN]],10,FALSE)</f>
        <v>0</v>
      </c>
      <c r="AE46" s="312">
        <f t="shared" si="11"/>
        <v>0</v>
      </c>
      <c r="AF46" s="312">
        <f t="shared" si="12"/>
        <v>0</v>
      </c>
      <c r="AG46" s="312">
        <f t="shared" si="13"/>
        <v>0</v>
      </c>
    </row>
    <row r="47" spans="1:33" x14ac:dyDescent="0.2">
      <c r="A47">
        <v>962015</v>
      </c>
      <c r="B47" t="s">
        <v>219</v>
      </c>
      <c r="C47" s="112">
        <f>VLOOKUP(A47,IRData!$A$3:$F$142,6,FALSE)</f>
        <v>26661.599999999999</v>
      </c>
      <c r="D47" s="45">
        <f>C47*Forutsetninger!$C$30</f>
        <v>28207.9728</v>
      </c>
      <c r="E47" s="43">
        <f>VLOOKUP($A47,IRData!$A$2:$N$142,7,FALSE)</f>
        <v>7850</v>
      </c>
      <c r="F47" s="43">
        <f>VLOOKUP($A47,IRData!$A$2:$N$142,8,FALSE)</f>
        <v>132041</v>
      </c>
      <c r="G47" s="43">
        <f>VLOOKUP($A47,IRData!$A$2:$N$142,9,FALSE)</f>
        <v>133361.41</v>
      </c>
      <c r="H47" s="43">
        <f>VLOOKUP($A47,IRData!$A$2:$N$142,10,FALSE)</f>
        <v>8631</v>
      </c>
      <c r="I47" s="43">
        <f>VLOOKUP($A47,IRData!$A$2:$N$142,11,FALSE)</f>
        <v>0</v>
      </c>
      <c r="J47" s="45">
        <f>VLOOKUP(A47,IRData!$A$3:$AF$142,32,FALSE)</f>
        <v>2457.9404359461</v>
      </c>
      <c r="K47" s="45">
        <f>VLOOKUP(A47,IRData!$A$3:$AM$142,37,FALSE)</f>
        <v>0</v>
      </c>
      <c r="L47" s="112">
        <f>VLOOKUP($A47,IRData!$A$2:$N$142,13,FALSE)</f>
        <v>935</v>
      </c>
      <c r="M47" s="44">
        <f>L47*Forutsetninger!$C$24</f>
        <v>986.42499999999995</v>
      </c>
      <c r="N47" s="112">
        <f>VLOOKUP(A47,IRData!$A$3:$E$142,5,FALSE)*Forutsetninger!$C$30</f>
        <v>0</v>
      </c>
      <c r="O47" s="112">
        <f>VLOOKUP(A47,IRData!$A$3:$AG$142,19,FALSE)*Forutsetninger!$C$24</f>
        <v>138.84855000000002</v>
      </c>
      <c r="P47" s="45">
        <f t="shared" si="7"/>
        <v>39502.338235946103</v>
      </c>
      <c r="Q47" s="45">
        <f>D47+E47+J47+K47+M47+G47*Forutsetninger!$B$6+N47</f>
        <v>47664.056527946101</v>
      </c>
      <c r="R47" s="46">
        <f>IFERROR((VLOOKUP(A47,'DEAnorm D-nett'!$A$4:$H$130,8,FALSE)+O47),0)</f>
        <v>40531.366126616216</v>
      </c>
      <c r="S47" s="21">
        <f>IFERROR((VLOOKUP(A47,'DEAnorm R-nett'!$A$4:$H$85,8,FALSE)+N47+K47),N47+K47)</f>
        <v>0</v>
      </c>
      <c r="T47" s="118">
        <f>IFERROR(VLOOKUP(A47,IRData!$A$3:$AN$142,40,FALSE),0)</f>
        <v>0</v>
      </c>
      <c r="U47" s="47">
        <f>(1-Forutsetninger!$B$4)*Q47+(R47+S47+T47)*Forutsetninger!$B$4</f>
        <v>43384.442287148166</v>
      </c>
      <c r="V47" s="41">
        <f>(R47+S47+T47)-G47*($K$156+$K$150)/Forutsetninger!$B$4</f>
        <v>35218.051923019397</v>
      </c>
      <c r="W47" s="296">
        <f>(1-Forutsetninger!$B$4)*Q47+Forutsetninger!$B$4*V47</f>
        <v>40196.453764990074</v>
      </c>
      <c r="X47" s="185">
        <v>40203.458435188892</v>
      </c>
      <c r="Y47" s="198">
        <f t="shared" si="8"/>
        <v>-7.004670198817621</v>
      </c>
      <c r="Z47" s="197">
        <f t="shared" si="9"/>
        <v>-1.742305381540669E-4</v>
      </c>
      <c r="AA47" s="185">
        <f t="shared" si="10"/>
        <v>0</v>
      </c>
      <c r="AB47" s="197">
        <f>VLOOKUP(A47,Table1[[idaar]:[Andel SN]],8,FALSE)</f>
        <v>1</v>
      </c>
      <c r="AC47" s="197">
        <f>VLOOKUP(A47,Table1[[idaar]:[Andel SN]],9,FALSE)</f>
        <v>0</v>
      </c>
      <c r="AD47" s="197">
        <f>VLOOKUP(A47,Table1[[idaar]:[Andel SN]],10,FALSE)</f>
        <v>0</v>
      </c>
      <c r="AE47" s="312">
        <f t="shared" si="11"/>
        <v>0</v>
      </c>
      <c r="AF47" s="312">
        <f t="shared" si="12"/>
        <v>0</v>
      </c>
      <c r="AG47" s="312">
        <f t="shared" si="13"/>
        <v>0</v>
      </c>
    </row>
    <row r="48" spans="1:33" x14ac:dyDescent="0.2">
      <c r="A48">
        <v>1352015</v>
      </c>
      <c r="B48" t="s">
        <v>167</v>
      </c>
      <c r="C48" s="112">
        <f>VLOOKUP(A48,IRData!$A$3:$F$142,6,FALSE)</f>
        <v>46378.879654919903</v>
      </c>
      <c r="D48" s="45">
        <f>C48*Forutsetninger!$C$30</f>
        <v>49068.854674905262</v>
      </c>
      <c r="E48" s="43">
        <f>VLOOKUP($A48,IRData!$A$2:$N$142,7,FALSE)</f>
        <v>13510</v>
      </c>
      <c r="F48" s="43">
        <f>VLOOKUP($A48,IRData!$A$2:$N$142,8,FALSE)</f>
        <v>186965</v>
      </c>
      <c r="G48" s="43">
        <f>VLOOKUP($A48,IRData!$A$2:$N$142,9,FALSE)</f>
        <v>188834.65000000002</v>
      </c>
      <c r="H48" s="43">
        <f>VLOOKUP($A48,IRData!$A$2:$N$142,10,FALSE)</f>
        <v>16130</v>
      </c>
      <c r="I48" s="43">
        <f>VLOOKUP($A48,IRData!$A$2:$N$142,11,FALSE)</f>
        <v>0</v>
      </c>
      <c r="J48" s="45">
        <f>VLOOKUP(A48,IRData!$A$3:$AF$142,32,FALSE)</f>
        <v>4627.9720810200006</v>
      </c>
      <c r="K48" s="45">
        <f>VLOOKUP(A48,IRData!$A$3:$AM$142,37,FALSE)</f>
        <v>0</v>
      </c>
      <c r="L48" s="112">
        <f>VLOOKUP($A48,IRData!$A$2:$N$142,13,FALSE)</f>
        <v>1516</v>
      </c>
      <c r="M48" s="44">
        <f>L48*Forutsetninger!$C$24</f>
        <v>1599.3799999999999</v>
      </c>
      <c r="N48" s="112">
        <f>VLOOKUP(A48,IRData!$A$3:$E$142,5,FALSE)*Forutsetninger!$C$30</f>
        <v>0</v>
      </c>
      <c r="O48" s="112">
        <f>VLOOKUP(A48,IRData!$A$3:$AG$142,19,FALSE)*Forutsetninger!$C$24</f>
        <v>69.418999999999997</v>
      </c>
      <c r="P48" s="45">
        <f t="shared" si="7"/>
        <v>68806.206755925261</v>
      </c>
      <c r="Q48" s="45">
        <f>D48+E48+J48+K48+M48+G48*Forutsetninger!$B$6+N48</f>
        <v>80362.887335925261</v>
      </c>
      <c r="R48" s="46">
        <f>IFERROR((VLOOKUP(A48,'DEAnorm D-nett'!$A$4:$H$130,8,FALSE)+O48),0)</f>
        <v>73403.458470110083</v>
      </c>
      <c r="S48" s="21">
        <f>IFERROR((VLOOKUP(A48,'DEAnorm R-nett'!$A$4:$H$85,8,FALSE)+N48+K48),N48+K48)</f>
        <v>110.04124507732129</v>
      </c>
      <c r="T48" s="118">
        <f>IFERROR(VLOOKUP(A48,IRData!$A$3:$AN$142,40,FALSE),0)</f>
        <v>0</v>
      </c>
      <c r="U48" s="47">
        <f>(1-Forutsetninger!$B$4)*Q48+(R48+S48+T48)*Forutsetninger!$B$4</f>
        <v>76253.254763482546</v>
      </c>
      <c r="V48" s="41">
        <f>(R48+S48+T48)-G48*($K$156+$K$150)/Forutsetninger!$B$4</f>
        <v>65990.050255735565</v>
      </c>
      <c r="W48" s="296">
        <f>(1-Forutsetninger!$B$4)*Q48+Forutsetninger!$B$4*V48</f>
        <v>71739.185087811435</v>
      </c>
      <c r="X48" s="185">
        <v>71749.436522939519</v>
      </c>
      <c r="Y48" s="198">
        <f t="shared" si="8"/>
        <v>-10.251435128084267</v>
      </c>
      <c r="Z48" s="197">
        <f t="shared" si="9"/>
        <v>-1.4287826671372826E-4</v>
      </c>
      <c r="AA48" s="185">
        <f t="shared" si="10"/>
        <v>0</v>
      </c>
      <c r="AB48" s="197">
        <f>VLOOKUP(A48,Table1[[idaar]:[Andel SN]],8,FALSE)</f>
        <v>0.9982717529164169</v>
      </c>
      <c r="AC48" s="197">
        <f>VLOOKUP(A48,Table1[[idaar]:[Andel SN]],9,FALSE)</f>
        <v>1.7282470835830465E-3</v>
      </c>
      <c r="AD48" s="197">
        <f>VLOOKUP(A48,Table1[[idaar]:[Andel SN]],10,FALSE)</f>
        <v>0</v>
      </c>
      <c r="AE48" s="312">
        <f t="shared" si="11"/>
        <v>0</v>
      </c>
      <c r="AF48" s="312">
        <f t="shared" si="12"/>
        <v>0</v>
      </c>
      <c r="AG48" s="312">
        <f t="shared" si="13"/>
        <v>0</v>
      </c>
    </row>
    <row r="49" spans="1:33" x14ac:dyDescent="0.2">
      <c r="A49">
        <v>2312015</v>
      </c>
      <c r="B49" t="s">
        <v>253</v>
      </c>
      <c r="C49" s="112">
        <f>VLOOKUP(A49,IRData!$A$3:$F$142,6,FALSE)</f>
        <v>9749.6641314135904</v>
      </c>
      <c r="D49" s="45">
        <f>C49*Forutsetninger!$C$30</f>
        <v>10315.14465103558</v>
      </c>
      <c r="E49" s="43">
        <f>VLOOKUP($A49,IRData!$A$2:$N$142,7,FALSE)</f>
        <v>2918</v>
      </c>
      <c r="F49" s="43">
        <f>VLOOKUP($A49,IRData!$A$2:$N$142,8,FALSE)</f>
        <v>37811</v>
      </c>
      <c r="G49" s="43">
        <f>VLOOKUP($A49,IRData!$A$2:$N$142,9,FALSE)</f>
        <v>38189.11</v>
      </c>
      <c r="H49" s="43">
        <f>VLOOKUP($A49,IRData!$A$2:$N$142,10,FALSE)</f>
        <v>6548</v>
      </c>
      <c r="I49" s="43">
        <f>VLOOKUP($A49,IRData!$A$2:$N$142,11,FALSE)</f>
        <v>0</v>
      </c>
      <c r="J49" s="45">
        <f>VLOOKUP(A49,IRData!$A$3:$AF$142,32,FALSE)</f>
        <v>1878.732869592</v>
      </c>
      <c r="K49" s="45">
        <f>VLOOKUP(A49,IRData!$A$3:$AM$142,37,FALSE)</f>
        <v>0</v>
      </c>
      <c r="L49" s="112">
        <f>VLOOKUP($A49,IRData!$A$2:$N$142,13,FALSE)</f>
        <v>80</v>
      </c>
      <c r="M49" s="44">
        <f>L49*Forutsetninger!$C$24</f>
        <v>84.399999999999991</v>
      </c>
      <c r="N49" s="112">
        <f>VLOOKUP(A49,IRData!$A$3:$E$142,5,FALSE)*Forutsetninger!$C$30</f>
        <v>0</v>
      </c>
      <c r="O49" s="112">
        <f>VLOOKUP(A49,IRData!$A$3:$AG$142,19,FALSE)*Forutsetninger!$C$24</f>
        <v>277.70765</v>
      </c>
      <c r="P49" s="45">
        <f t="shared" si="7"/>
        <v>15196.27752062758</v>
      </c>
      <c r="Q49" s="45">
        <f>D49+E49+J49+K49+M49+G49*Forutsetninger!$B$6+N49</f>
        <v>17533.451052627581</v>
      </c>
      <c r="R49" s="46">
        <f>IFERROR((VLOOKUP(A49,'DEAnorm D-nett'!$A$4:$H$130,8,FALSE)+O49),0)</f>
        <v>19792.18975138446</v>
      </c>
      <c r="S49" s="21">
        <f>IFERROR((VLOOKUP(A49,'DEAnorm R-nett'!$A$4:$H$85,8,FALSE)+N49+K49),N49+K49)</f>
        <v>0</v>
      </c>
      <c r="T49" s="118">
        <f>IFERROR(VLOOKUP(A49,IRData!$A$3:$AN$142,40,FALSE),0)</f>
        <v>0</v>
      </c>
      <c r="U49" s="47">
        <f>(1-Forutsetninger!$B$4)*Q49+(R49+S49+T49)*Forutsetninger!$B$4</f>
        <v>18888.694271881708</v>
      </c>
      <c r="V49" s="41">
        <f>(R49+S49+T49)-G49*($K$156+$K$150)/Forutsetninger!$B$4</f>
        <v>18270.679588993993</v>
      </c>
      <c r="W49" s="296">
        <f>(1-Forutsetninger!$B$4)*Q49+Forutsetninger!$B$4*V49</f>
        <v>17975.788174447429</v>
      </c>
      <c r="X49" s="185">
        <v>17978.349008511912</v>
      </c>
      <c r="Y49" s="198">
        <f t="shared" si="8"/>
        <v>-2.5608340644830605</v>
      </c>
      <c r="Z49" s="197">
        <f t="shared" si="9"/>
        <v>-1.4243989051890274E-4</v>
      </c>
      <c r="AA49" s="185">
        <f t="shared" si="10"/>
        <v>0</v>
      </c>
      <c r="AB49" s="197">
        <f>VLOOKUP(A49,Table1[[idaar]:[Andel SN]],8,FALSE)</f>
        <v>1</v>
      </c>
      <c r="AC49" s="197">
        <f>VLOOKUP(A49,Table1[[idaar]:[Andel SN]],9,FALSE)</f>
        <v>0</v>
      </c>
      <c r="AD49" s="197">
        <f>VLOOKUP(A49,Table1[[idaar]:[Andel SN]],10,FALSE)</f>
        <v>0</v>
      </c>
      <c r="AE49" s="312">
        <f t="shared" si="11"/>
        <v>0</v>
      </c>
      <c r="AF49" s="312">
        <f t="shared" si="12"/>
        <v>0</v>
      </c>
      <c r="AG49" s="312">
        <f t="shared" si="13"/>
        <v>0</v>
      </c>
    </row>
    <row r="50" spans="1:33" x14ac:dyDescent="0.2">
      <c r="A50">
        <v>3732015</v>
      </c>
      <c r="B50" t="s">
        <v>272</v>
      </c>
      <c r="C50" s="112">
        <f>VLOOKUP(A50,IRData!$A$3:$F$142,6,FALSE)</f>
        <v>9905.3514773901297</v>
      </c>
      <c r="D50" s="45">
        <f>C50*Forutsetninger!$C$30</f>
        <v>10479.861863078757</v>
      </c>
      <c r="E50" s="43">
        <f>VLOOKUP($A50,IRData!$A$2:$N$142,7,FALSE)</f>
        <v>2326</v>
      </c>
      <c r="F50" s="43">
        <f>VLOOKUP($A50,IRData!$A$2:$N$142,8,FALSE)</f>
        <v>40039</v>
      </c>
      <c r="G50" s="43">
        <f>VLOOKUP($A50,IRData!$A$2:$N$142,9,FALSE)</f>
        <v>40439.39</v>
      </c>
      <c r="H50" s="43">
        <f>VLOOKUP($A50,IRData!$A$2:$N$142,10,FALSE)</f>
        <v>3213</v>
      </c>
      <c r="I50" s="43">
        <f>VLOOKUP($A50,IRData!$A$2:$N$142,11,FALSE)</f>
        <v>0</v>
      </c>
      <c r="J50" s="45">
        <f>VLOOKUP(A50,IRData!$A$3:$AF$142,32,FALSE)</f>
        <v>914.89449472469994</v>
      </c>
      <c r="K50" s="45">
        <f>VLOOKUP(A50,IRData!$A$3:$AM$142,37,FALSE)</f>
        <v>0</v>
      </c>
      <c r="L50" s="112">
        <f>VLOOKUP($A50,IRData!$A$2:$N$142,13,FALSE)</f>
        <v>138</v>
      </c>
      <c r="M50" s="44">
        <f>L50*Forutsetninger!$C$24</f>
        <v>145.59</v>
      </c>
      <c r="N50" s="112">
        <f>VLOOKUP(A50,IRData!$A$3:$E$142,5,FALSE)*Forutsetninger!$C$30</f>
        <v>0</v>
      </c>
      <c r="O50" s="112">
        <f>VLOOKUP(A50,IRData!$A$3:$AG$142,19,FALSE)*Forutsetninger!$C$24</f>
        <v>0</v>
      </c>
      <c r="P50" s="45">
        <f t="shared" si="7"/>
        <v>13866.346357803457</v>
      </c>
      <c r="Q50" s="45">
        <f>D50+E50+J50+K50+M50+G50*Forutsetninger!$B$6+N50</f>
        <v>16341.237025803457</v>
      </c>
      <c r="R50" s="46">
        <f>IFERROR((VLOOKUP(A50,'DEAnorm D-nett'!$A$4:$H$130,8,FALSE)+O50),0)</f>
        <v>15286.172980427655</v>
      </c>
      <c r="S50" s="21">
        <f>IFERROR((VLOOKUP(A50,'DEAnorm R-nett'!$A$4:$H$85,8,FALSE)+N50+K50),N50+K50)</f>
        <v>0</v>
      </c>
      <c r="T50" s="158">
        <f>IFERROR(VLOOKUP(A50,IRData!$A$3:$AN$142,40,FALSE),0)</f>
        <v>0</v>
      </c>
      <c r="U50" s="47">
        <f>(1-Forutsetninger!$B$4)*Q50+(R50+S50+T50)*Forutsetninger!$B$4</f>
        <v>15708.198598577976</v>
      </c>
      <c r="V50" s="41">
        <f>(R50+S50+T50)-G50*($K$156+$K$150)/Forutsetninger!$B$4</f>
        <v>13675.00836187877</v>
      </c>
      <c r="W50" s="296">
        <f>(1-Forutsetninger!$B$4)*Q50+Forutsetninger!$B$4*V50</f>
        <v>14741.499827448644</v>
      </c>
      <c r="X50" s="185">
        <v>14743.48479079442</v>
      </c>
      <c r="Y50" s="198">
        <f t="shared" si="8"/>
        <v>-1.9849633457761229</v>
      </c>
      <c r="Z50" s="197">
        <f t="shared" si="9"/>
        <v>-1.3463325488798279E-4</v>
      </c>
      <c r="AA50" s="185">
        <f t="shared" si="10"/>
        <v>0</v>
      </c>
      <c r="AB50" s="197">
        <f>VLOOKUP(A50,Table1[[idaar]:[Andel SN]],8,FALSE)</f>
        <v>1</v>
      </c>
      <c r="AC50" s="197">
        <f>VLOOKUP(A50,Table1[[idaar]:[Andel SN]],9,FALSE)</f>
        <v>0</v>
      </c>
      <c r="AD50" s="197">
        <f>VLOOKUP(A50,Table1[[idaar]:[Andel SN]],10,FALSE)</f>
        <v>0</v>
      </c>
      <c r="AE50" s="312">
        <f t="shared" si="11"/>
        <v>0</v>
      </c>
      <c r="AF50" s="312">
        <f t="shared" si="12"/>
        <v>0</v>
      </c>
      <c r="AG50" s="312">
        <f t="shared" si="13"/>
        <v>0</v>
      </c>
    </row>
    <row r="51" spans="1:33" x14ac:dyDescent="0.2">
      <c r="A51">
        <v>1832015</v>
      </c>
      <c r="B51" t="s">
        <v>240</v>
      </c>
      <c r="C51" s="112">
        <f>VLOOKUP(A51,IRData!$A$3:$F$142,6,FALSE)</f>
        <v>9422.2503272555005</v>
      </c>
      <c r="D51" s="45">
        <f>C51*Forutsetninger!$C$30</f>
        <v>9968.7408462363201</v>
      </c>
      <c r="E51" s="43">
        <f>VLOOKUP($A51,IRData!$A$2:$N$142,7,FALSE)</f>
        <v>2523</v>
      </c>
      <c r="F51" s="43">
        <f>VLOOKUP($A51,IRData!$A$2:$N$142,8,FALSE)</f>
        <v>45416</v>
      </c>
      <c r="G51" s="43">
        <f>VLOOKUP($A51,IRData!$A$2:$N$142,9,FALSE)</f>
        <v>45870.16</v>
      </c>
      <c r="H51" s="43">
        <f>VLOOKUP($A51,IRData!$A$2:$N$142,10,FALSE)</f>
        <v>2796</v>
      </c>
      <c r="I51" s="43">
        <f>VLOOKUP($A51,IRData!$A$2:$N$142,11,FALSE)</f>
        <v>0</v>
      </c>
      <c r="J51" s="45">
        <f>VLOOKUP(A51,IRData!$A$3:$AF$142,32,FALSE)</f>
        <v>796.24625870759996</v>
      </c>
      <c r="K51" s="45">
        <f>VLOOKUP(A51,IRData!$A$3:$AM$142,37,FALSE)</f>
        <v>0</v>
      </c>
      <c r="L51" s="112">
        <f>VLOOKUP($A51,IRData!$A$2:$N$142,13,FALSE)</f>
        <v>993</v>
      </c>
      <c r="M51" s="44">
        <f>L51*Forutsetninger!$C$24</f>
        <v>1047.615</v>
      </c>
      <c r="N51" s="112">
        <f>VLOOKUP(A51,IRData!$A$3:$E$142,5,FALSE)*Forutsetninger!$C$30</f>
        <v>0</v>
      </c>
      <c r="O51" s="112">
        <f>VLOOKUP(A51,IRData!$A$3:$AG$142,19,FALSE)*Forutsetninger!$C$24</f>
        <v>0</v>
      </c>
      <c r="P51" s="45">
        <f t="shared" si="7"/>
        <v>14335.60210494392</v>
      </c>
      <c r="Q51" s="45">
        <f>D51+E51+J51+K51+M51+G51*Forutsetninger!$B$6+N51</f>
        <v>17142.855896943922</v>
      </c>
      <c r="R51" s="46">
        <f>IFERROR((VLOOKUP(A51,'DEAnorm D-nett'!$A$4:$H$130,8,FALSE)+O51),0)</f>
        <v>15768.027029487286</v>
      </c>
      <c r="S51" s="21">
        <f>IFERROR((VLOOKUP(A51,'DEAnorm R-nett'!$A$4:$H$85,8,FALSE)+N51+K51),N51+K51)</f>
        <v>0</v>
      </c>
      <c r="T51" s="118">
        <f>IFERROR(VLOOKUP(A51,IRData!$A$3:$AN$142,40,FALSE),0)</f>
        <v>0</v>
      </c>
      <c r="U51" s="47">
        <f>(1-Forutsetninger!$B$4)*Q51+(R51+S51+T51)*Forutsetninger!$B$4</f>
        <v>16317.95857646994</v>
      </c>
      <c r="V51" s="41">
        <f>(R51+S51+T51)-G51*($K$156+$K$150)/Forutsetninger!$B$4</f>
        <v>13940.492567687139</v>
      </c>
      <c r="W51" s="296">
        <f>(1-Forutsetninger!$B$4)*Q51+Forutsetninger!$B$4*V51</f>
        <v>15221.437899389854</v>
      </c>
      <c r="X51" s="185">
        <v>15223.397912363866</v>
      </c>
      <c r="Y51" s="198">
        <f t="shared" si="8"/>
        <v>-1.9600129740119883</v>
      </c>
      <c r="Z51" s="197">
        <f t="shared" si="9"/>
        <v>-1.2875003237090323E-4</v>
      </c>
      <c r="AA51" s="185">
        <f t="shared" si="10"/>
        <v>0</v>
      </c>
      <c r="AB51" s="197">
        <f>VLOOKUP(A51,Table1[[idaar]:[Andel SN]],8,FALSE)</f>
        <v>1</v>
      </c>
      <c r="AC51" s="197">
        <f>VLOOKUP(A51,Table1[[idaar]:[Andel SN]],9,FALSE)</f>
        <v>0</v>
      </c>
      <c r="AD51" s="197">
        <f>VLOOKUP(A51,Table1[[idaar]:[Andel SN]],10,FALSE)</f>
        <v>0</v>
      </c>
      <c r="AE51" s="312">
        <f t="shared" si="11"/>
        <v>0</v>
      </c>
      <c r="AF51" s="312">
        <f t="shared" si="12"/>
        <v>0</v>
      </c>
      <c r="AG51" s="312">
        <f t="shared" si="13"/>
        <v>0</v>
      </c>
    </row>
    <row r="52" spans="1:33" x14ac:dyDescent="0.2">
      <c r="A52">
        <v>1672015</v>
      </c>
      <c r="B52" t="s">
        <v>188</v>
      </c>
      <c r="C52" s="112">
        <f>VLOOKUP(A52,IRData!$A$3:$F$142,6,FALSE)</f>
        <v>146</v>
      </c>
      <c r="D52" s="45">
        <f>C52*Forutsetninger!$C$30</f>
        <v>154.46800000000002</v>
      </c>
      <c r="E52" s="43">
        <f>VLOOKUP($A52,IRData!$A$2:$N$142,7,FALSE)</f>
        <v>439</v>
      </c>
      <c r="F52" s="43">
        <f>VLOOKUP($A52,IRData!$A$2:$N$142,8,FALSE)</f>
        <v>11558</v>
      </c>
      <c r="G52" s="43">
        <f>VLOOKUP($A52,IRData!$A$2:$N$142,9,FALSE)</f>
        <v>11673.58</v>
      </c>
      <c r="H52" s="43">
        <f>VLOOKUP($A52,IRData!$A$2:$N$142,10,FALSE)</f>
        <v>1387</v>
      </c>
      <c r="I52" s="43">
        <f>VLOOKUP($A52,IRData!$A$2:$N$142,11,FALSE)</f>
        <v>0</v>
      </c>
      <c r="J52" s="45">
        <f>VLOOKUP(A52,IRData!$A$3:$AF$142,32,FALSE)</f>
        <v>394.99054392969998</v>
      </c>
      <c r="K52" s="45">
        <f>VLOOKUP(A52,IRData!$A$3:$AM$142,37,FALSE)</f>
        <v>0</v>
      </c>
      <c r="L52" s="112">
        <f>VLOOKUP($A52,IRData!$A$2:$N$142,13,FALSE)</f>
        <v>114</v>
      </c>
      <c r="M52" s="44">
        <f>L52*Forutsetninger!$C$24</f>
        <v>120.27</v>
      </c>
      <c r="N52" s="112">
        <f>VLOOKUP(A52,IRData!$A$3:$E$142,5,FALSE)*Forutsetninger!$C$30</f>
        <v>0</v>
      </c>
      <c r="O52" s="112">
        <f>VLOOKUP(A52,IRData!$A$3:$AG$142,19,FALSE)*Forutsetninger!$C$24</f>
        <v>0</v>
      </c>
      <c r="P52" s="45">
        <f t="shared" si="7"/>
        <v>1108.7285439297</v>
      </c>
      <c r="Q52" s="45">
        <f>D52+E52+J52+K52+M52+G52*Forutsetninger!$B$6+N52</f>
        <v>1823.1516399297</v>
      </c>
      <c r="R52" s="46">
        <f>IFERROR((VLOOKUP(A52,'DEAnorm D-nett'!$A$4:$H$130,8,FALSE)+O52),0)</f>
        <v>1206.6668500934138</v>
      </c>
      <c r="S52" s="21">
        <f>IFERROR((VLOOKUP(A52,'DEAnorm R-nett'!$A$4:$H$85,8,FALSE)+N52+K52),N52+K52)</f>
        <v>0</v>
      </c>
      <c r="T52" s="118">
        <f>IFERROR(VLOOKUP(A52,IRData!$A$3:$AN$142,40,FALSE),0)</f>
        <v>0</v>
      </c>
      <c r="U52" s="47">
        <f>(1-Forutsetninger!$B$4)*Q52+(R52+S52+T52)*Forutsetninger!$B$4</f>
        <v>1453.2607660279282</v>
      </c>
      <c r="V52" s="41">
        <f>(R52+S52+T52)-G52*($K$156+$K$150)/Forutsetninger!$B$4</f>
        <v>741.57429880122368</v>
      </c>
      <c r="W52" s="296">
        <f>(1-Forutsetninger!$B$4)*Q52+Forutsetninger!$B$4*V52</f>
        <v>1174.2052352526143</v>
      </c>
      <c r="X52" s="185">
        <v>1174.3559846636481</v>
      </c>
      <c r="Y52" s="198">
        <f t="shared" si="8"/>
        <v>-0.1507494110337575</v>
      </c>
      <c r="Z52" s="197">
        <f t="shared" si="9"/>
        <v>-1.283677292085621E-4</v>
      </c>
      <c r="AA52" s="185">
        <f t="shared" si="10"/>
        <v>0</v>
      </c>
      <c r="AB52" s="197">
        <f>VLOOKUP(A52,Table1[[idaar]:[Andel SN]],8,FALSE)</f>
        <v>1</v>
      </c>
      <c r="AC52" s="197">
        <f>VLOOKUP(A52,Table1[[idaar]:[Andel SN]],9,FALSE)</f>
        <v>0</v>
      </c>
      <c r="AD52" s="197">
        <f>VLOOKUP(A52,Table1[[idaar]:[Andel SN]],10,FALSE)</f>
        <v>0</v>
      </c>
      <c r="AE52" s="312">
        <f t="shared" si="11"/>
        <v>0</v>
      </c>
      <c r="AF52" s="312">
        <f t="shared" si="12"/>
        <v>0</v>
      </c>
      <c r="AG52" s="312">
        <f t="shared" si="13"/>
        <v>0</v>
      </c>
    </row>
    <row r="53" spans="1:33" x14ac:dyDescent="0.2">
      <c r="A53">
        <v>1472015</v>
      </c>
      <c r="B53" t="s">
        <v>168</v>
      </c>
      <c r="C53" s="112">
        <f>VLOOKUP(A53,IRData!$A$3:$F$142,6,FALSE)</f>
        <v>7653.3428154489266</v>
      </c>
      <c r="D53" s="45">
        <f>C53*Forutsetninger!$C$30</f>
        <v>8097.236698744965</v>
      </c>
      <c r="E53" s="43">
        <f>VLOOKUP($A53,IRData!$A$2:$N$142,7,FALSE)</f>
        <v>1739</v>
      </c>
      <c r="F53" s="43">
        <f>VLOOKUP($A53,IRData!$A$2:$N$142,8,FALSE)</f>
        <v>18721</v>
      </c>
      <c r="G53" s="43">
        <f>VLOOKUP($A53,IRData!$A$2:$N$142,9,FALSE)</f>
        <v>18908.21</v>
      </c>
      <c r="H53" s="43">
        <f>VLOOKUP($A53,IRData!$A$2:$N$142,10,FALSE)</f>
        <v>1576</v>
      </c>
      <c r="I53" s="43">
        <f>VLOOKUP($A53,IRData!$A$2:$N$142,11,FALSE)</f>
        <v>286</v>
      </c>
      <c r="J53" s="45">
        <f>VLOOKUP(A53,IRData!$A$3:$AF$142,32,FALSE)</f>
        <v>405.12810810480005</v>
      </c>
      <c r="K53" s="45">
        <f>VLOOKUP(A53,IRData!$A$3:$AM$142,37,FALSE)</f>
        <v>73.519440937800013</v>
      </c>
      <c r="L53" s="112">
        <f>VLOOKUP($A53,IRData!$A$2:$N$142,13,FALSE)</f>
        <v>568</v>
      </c>
      <c r="M53" s="44">
        <f>L53*Forutsetninger!$C$24</f>
        <v>599.24</v>
      </c>
      <c r="N53" s="112">
        <f>VLOOKUP(A53,IRData!$A$3:$E$142,5,FALSE)*Forutsetninger!$C$30</f>
        <v>0</v>
      </c>
      <c r="O53" s="112">
        <f>VLOOKUP(A53,IRData!$A$3:$AG$142,19,FALSE)*Forutsetninger!$C$24</f>
        <v>0</v>
      </c>
      <c r="P53" s="45">
        <f t="shared" si="7"/>
        <v>10914.124247787564</v>
      </c>
      <c r="Q53" s="45">
        <f>D53+E53+J53+K53+M53+G53*Forutsetninger!$B$6+N53</f>
        <v>12071.306699787565</v>
      </c>
      <c r="R53" s="46">
        <f>IFERROR((VLOOKUP(A53,'DEAnorm D-nett'!$A$4:$H$130,8,FALSE)+O53),0)</f>
        <v>9069.6014531210058</v>
      </c>
      <c r="S53" s="21">
        <f>IFERROR((VLOOKUP(A53,'DEAnorm R-nett'!$A$4:$H$85,8,FALSE)+N53+K53),N53+K53)</f>
        <v>821.71134628204982</v>
      </c>
      <c r="T53" s="118">
        <f>IFERROR(VLOOKUP(A53,IRData!$A$3:$AN$142,40,FALSE),0)</f>
        <v>0</v>
      </c>
      <c r="U53" s="47">
        <f>(1-Forutsetninger!$B$4)*Q53+(R53+S53+T53)*Forutsetninger!$B$4</f>
        <v>10763.310359556857</v>
      </c>
      <c r="V53" s="41">
        <f>(R53+S53+T53)-G53*($K$156+$K$150)/Forutsetninger!$B$4</f>
        <v>9137.9819763591804</v>
      </c>
      <c r="W53" s="296">
        <f>(1-Forutsetninger!$B$4)*Q53+Forutsetninger!$B$4*V53</f>
        <v>10311.311865730535</v>
      </c>
      <c r="X53" s="185">
        <v>10312.607067286253</v>
      </c>
      <c r="Y53" s="198">
        <f t="shared" si="8"/>
        <v>-1.2952015557184495</v>
      </c>
      <c r="Z53" s="197">
        <f t="shared" si="9"/>
        <v>-1.2559399842035094E-4</v>
      </c>
      <c r="AA53" s="185">
        <f t="shared" si="10"/>
        <v>0</v>
      </c>
      <c r="AB53" s="200">
        <v>0.92225085910652926</v>
      </c>
      <c r="AC53" s="200">
        <v>7.7749140893470792E-2</v>
      </c>
      <c r="AD53" s="200">
        <v>0</v>
      </c>
      <c r="AE53" s="312">
        <f t="shared" si="11"/>
        <v>0</v>
      </c>
      <c r="AF53" s="312">
        <f t="shared" si="12"/>
        <v>0</v>
      </c>
      <c r="AG53" s="312">
        <f t="shared" si="13"/>
        <v>0</v>
      </c>
    </row>
    <row r="54" spans="1:33" x14ac:dyDescent="0.2">
      <c r="A54">
        <v>972015</v>
      </c>
      <c r="B54" t="s">
        <v>220</v>
      </c>
      <c r="C54" s="112">
        <f>VLOOKUP(A54,IRData!$A$3:$F$142,6,FALSE)</f>
        <v>28891.532280506901</v>
      </c>
      <c r="D54" s="45">
        <f>C54*Forutsetninger!$C$30</f>
        <v>30567.241152776303</v>
      </c>
      <c r="E54" s="43">
        <f>VLOOKUP($A54,IRData!$A$2:$N$142,7,FALSE)</f>
        <v>9097</v>
      </c>
      <c r="F54" s="43">
        <f>VLOOKUP($A54,IRData!$A$2:$N$142,8,FALSE)</f>
        <v>131220</v>
      </c>
      <c r="G54" s="43">
        <f>VLOOKUP($A54,IRData!$A$2:$N$142,9,FALSE)</f>
        <v>132532.20000000001</v>
      </c>
      <c r="H54" s="43">
        <f>VLOOKUP($A54,IRData!$A$2:$N$142,10,FALSE)</f>
        <v>10514</v>
      </c>
      <c r="I54" s="43">
        <f>VLOOKUP($A54,IRData!$A$2:$N$142,11,FALSE)</f>
        <v>0</v>
      </c>
      <c r="J54" s="45">
        <f>VLOOKUP(A54,IRData!$A$3:$AF$142,32,FALSE)</f>
        <v>2993.8377583366</v>
      </c>
      <c r="K54" s="45">
        <f>VLOOKUP(A54,IRData!$A$3:$AM$142,37,FALSE)</f>
        <v>0</v>
      </c>
      <c r="L54" s="112">
        <f>VLOOKUP($A54,IRData!$A$2:$N$142,13,FALSE)</f>
        <v>1863</v>
      </c>
      <c r="M54" s="44">
        <f>L54*Forutsetninger!$C$24</f>
        <v>1965.4649999999999</v>
      </c>
      <c r="N54" s="112">
        <f>VLOOKUP(A54,IRData!$A$3:$E$142,5,FALSE)*Forutsetninger!$C$30</f>
        <v>0</v>
      </c>
      <c r="O54" s="112">
        <f>VLOOKUP(A54,IRData!$A$3:$AG$142,19,FALSE)*Forutsetninger!$C$24</f>
        <v>971.98204999999984</v>
      </c>
      <c r="P54" s="45">
        <f t="shared" si="7"/>
        <v>44623.543911112902</v>
      </c>
      <c r="Q54" s="45">
        <f>D54+E54+J54+K54+M54+G54*Forutsetninger!$B$6+N54</f>
        <v>52734.514551112901</v>
      </c>
      <c r="R54" s="46">
        <f>IFERROR((VLOOKUP(A54,'DEAnorm D-nett'!$A$4:$H$130,8,FALSE)+O54),0)</f>
        <v>42720.356651904927</v>
      </c>
      <c r="S54" s="21">
        <f>IFERROR((VLOOKUP(A54,'DEAnorm R-nett'!$A$4:$H$85,8,FALSE)+N54+K54),N54+K54)</f>
        <v>0</v>
      </c>
      <c r="T54" s="118">
        <f>IFERROR(VLOOKUP(A54,IRData!$A$3:$AN$142,40,FALSE),0)</f>
        <v>0</v>
      </c>
      <c r="U54" s="47">
        <f>(1-Forutsetninger!$B$4)*Q54+(R54+S54+T54)*Forutsetninger!$B$4</f>
        <v>46726.019811588121</v>
      </c>
      <c r="V54" s="41">
        <f>(R54+S54+T54)-G54*($K$156+$K$150)/Forutsetninger!$B$4</f>
        <v>37440.079391084611</v>
      </c>
      <c r="W54" s="296">
        <f>(1-Forutsetninger!$B$4)*Q54+Forutsetninger!$B$4*V54</f>
        <v>43557.85345509593</v>
      </c>
      <c r="X54" s="185">
        <v>43562.912861616562</v>
      </c>
      <c r="Y54" s="198">
        <f t="shared" si="8"/>
        <v>-5.0594065206314554</v>
      </c>
      <c r="Z54" s="197">
        <f t="shared" si="9"/>
        <v>-1.1614022544138265E-4</v>
      </c>
      <c r="AA54" s="185">
        <f t="shared" si="10"/>
        <v>0</v>
      </c>
      <c r="AB54" s="197">
        <f>VLOOKUP(A54,Table1[[idaar]:[Andel SN]],8,FALSE)</f>
        <v>1</v>
      </c>
      <c r="AC54" s="197">
        <f>VLOOKUP(A54,Table1[[idaar]:[Andel SN]],9,FALSE)</f>
        <v>0</v>
      </c>
      <c r="AD54" s="197">
        <f>VLOOKUP(A54,Table1[[idaar]:[Andel SN]],10,FALSE)</f>
        <v>0</v>
      </c>
      <c r="AE54" s="312">
        <f t="shared" si="11"/>
        <v>0</v>
      </c>
      <c r="AF54" s="312">
        <f t="shared" si="12"/>
        <v>0</v>
      </c>
      <c r="AG54" s="312">
        <f t="shared" si="13"/>
        <v>0</v>
      </c>
    </row>
    <row r="55" spans="1:33" x14ac:dyDescent="0.2">
      <c r="A55">
        <v>722015</v>
      </c>
      <c r="B55" t="s">
        <v>212</v>
      </c>
      <c r="C55" s="112">
        <f>VLOOKUP(A55,IRData!$A$3:$F$142,6,FALSE)</f>
        <v>19133.449385505399</v>
      </c>
      <c r="D55" s="45">
        <f>C55*Forutsetninger!$C$30</f>
        <v>20243.189449864713</v>
      </c>
      <c r="E55" s="43">
        <f>VLOOKUP($A55,IRData!$A$2:$N$142,7,FALSE)</f>
        <v>5274</v>
      </c>
      <c r="F55" s="43">
        <f>VLOOKUP($A55,IRData!$A$2:$N$142,8,FALSE)</f>
        <v>59499</v>
      </c>
      <c r="G55" s="43">
        <f>VLOOKUP($A55,IRData!$A$2:$N$142,9,FALSE)</f>
        <v>60093.99</v>
      </c>
      <c r="H55" s="43">
        <f>VLOOKUP($A55,IRData!$A$2:$N$142,10,FALSE)</f>
        <v>6240</v>
      </c>
      <c r="I55" s="43">
        <f>VLOOKUP($A55,IRData!$A$2:$N$142,11,FALSE)</f>
        <v>0</v>
      </c>
      <c r="J55" s="45">
        <f>VLOOKUP(A55,IRData!$A$3:$AF$142,32,FALSE)</f>
        <v>1811.6796272639999</v>
      </c>
      <c r="K55" s="45">
        <f>VLOOKUP(A55,IRData!$A$3:$AM$142,37,FALSE)</f>
        <v>0</v>
      </c>
      <c r="L55" s="112">
        <f>VLOOKUP($A55,IRData!$A$2:$N$142,13,FALSE)</f>
        <v>1767</v>
      </c>
      <c r="M55" s="44">
        <f>L55*Forutsetninger!$C$24</f>
        <v>1864.1849999999999</v>
      </c>
      <c r="N55" s="112">
        <f>VLOOKUP(A55,IRData!$A$3:$E$142,5,FALSE)*Forutsetninger!$C$30</f>
        <v>0</v>
      </c>
      <c r="O55" s="112">
        <f>VLOOKUP(A55,IRData!$A$3:$AG$142,19,FALSE)*Forutsetninger!$C$24</f>
        <v>0</v>
      </c>
      <c r="P55" s="45">
        <f t="shared" si="7"/>
        <v>29193.054077128712</v>
      </c>
      <c r="Q55" s="45">
        <f>D55+E55+J55+K55+M55+G55*Forutsetninger!$B$6+N55</f>
        <v>32870.806265128711</v>
      </c>
      <c r="R55" s="46">
        <f>IFERROR((VLOOKUP(A55,'DEAnorm D-nett'!$A$4:$H$130,8,FALSE)+O55),0)</f>
        <v>27656.970349465551</v>
      </c>
      <c r="S55" s="21">
        <f>IFERROR((VLOOKUP(A55,'DEAnorm R-nett'!$A$4:$H$85,8,FALSE)+N55+K55),N55+K55)</f>
        <v>0</v>
      </c>
      <c r="T55" s="118">
        <f>IFERROR(VLOOKUP(A55,IRData!$A$3:$AN$142,40,FALSE),0)</f>
        <v>0</v>
      </c>
      <c r="U55" s="47">
        <f>(1-Forutsetninger!$B$4)*Q55+(R55+S55+T55)*Forutsetninger!$B$4</f>
        <v>29742.504715730814</v>
      </c>
      <c r="V55" s="41">
        <f>(R55+S55+T55)-G55*($K$156+$K$150)/Forutsetninger!$B$4</f>
        <v>25262.73763538578</v>
      </c>
      <c r="W55" s="296">
        <f>(1-Forutsetninger!$B$4)*Q55+Forutsetninger!$B$4*V55</f>
        <v>28305.965087282952</v>
      </c>
      <c r="X55" s="185">
        <v>28309.180352827534</v>
      </c>
      <c r="Y55" s="198">
        <f t="shared" si="8"/>
        <v>-3.2152655445825076</v>
      </c>
      <c r="Z55" s="197">
        <f t="shared" si="9"/>
        <v>-1.1357677984701402E-4</v>
      </c>
      <c r="AA55" s="185">
        <f t="shared" si="10"/>
        <v>0</v>
      </c>
      <c r="AB55" s="197">
        <f>VLOOKUP(A55,Table1[[idaar]:[Andel SN]],8,FALSE)</f>
        <v>1</v>
      </c>
      <c r="AC55" s="197">
        <f>VLOOKUP(A55,Table1[[idaar]:[Andel SN]],9,FALSE)</f>
        <v>0</v>
      </c>
      <c r="AD55" s="197">
        <f>VLOOKUP(A55,Table1[[idaar]:[Andel SN]],10,FALSE)</f>
        <v>0</v>
      </c>
      <c r="AE55" s="312">
        <f t="shared" si="11"/>
        <v>0</v>
      </c>
      <c r="AF55" s="312">
        <f t="shared" si="12"/>
        <v>0</v>
      </c>
      <c r="AG55" s="312">
        <f t="shared" si="13"/>
        <v>0</v>
      </c>
    </row>
    <row r="56" spans="1:33" x14ac:dyDescent="0.2">
      <c r="A56">
        <v>3062015</v>
      </c>
      <c r="B56" t="s">
        <v>268</v>
      </c>
      <c r="C56" s="112">
        <f>VLOOKUP(A56,IRData!$A$3:$F$142,6,FALSE)</f>
        <v>33148.499974553299</v>
      </c>
      <c r="D56" s="45">
        <f>C56*Forutsetninger!$C$30</f>
        <v>35071.11297307739</v>
      </c>
      <c r="E56" s="43">
        <f>VLOOKUP($A56,IRData!$A$2:$N$142,7,FALSE)</f>
        <v>12365</v>
      </c>
      <c r="F56" s="43">
        <f>VLOOKUP($A56,IRData!$A$2:$N$142,8,FALSE)</f>
        <v>209401</v>
      </c>
      <c r="G56" s="43">
        <f>VLOOKUP($A56,IRData!$A$2:$N$142,9,FALSE)</f>
        <v>211495.01</v>
      </c>
      <c r="H56" s="43">
        <f>VLOOKUP($A56,IRData!$A$2:$N$142,10,FALSE)</f>
        <v>16402</v>
      </c>
      <c r="I56" s="43">
        <f>VLOOKUP($A56,IRData!$A$2:$N$142,11,FALSE)</f>
        <v>0</v>
      </c>
      <c r="J56" s="45">
        <f>VLOOKUP(A56,IRData!$A$3:$AF$142,32,FALSE)</f>
        <v>4706.0135197079999</v>
      </c>
      <c r="K56" s="45">
        <f>VLOOKUP(A56,IRData!$A$3:$AM$142,37,FALSE)</f>
        <v>0</v>
      </c>
      <c r="L56" s="112">
        <f>VLOOKUP($A56,IRData!$A$2:$N$142,13,FALSE)</f>
        <v>2089</v>
      </c>
      <c r="M56" s="44">
        <f>L56*Forutsetninger!$C$24</f>
        <v>2203.895</v>
      </c>
      <c r="N56" s="112">
        <f>VLOOKUP(A56,IRData!$A$3:$E$142,5,FALSE)*Forutsetninger!$C$30</f>
        <v>0</v>
      </c>
      <c r="O56" s="112">
        <f>VLOOKUP(A56,IRData!$A$3:$AG$142,19,FALSE)*Forutsetninger!$C$24</f>
        <v>69.418999999999997</v>
      </c>
      <c r="P56" s="45">
        <f t="shared" si="7"/>
        <v>54346.021492785389</v>
      </c>
      <c r="Q56" s="45">
        <f>D56+E56+J56+K56+M56+G56*Forutsetninger!$B$6+N56</f>
        <v>67289.516104785391</v>
      </c>
      <c r="R56" s="46">
        <f>IFERROR((VLOOKUP(A56,'DEAnorm D-nett'!$A$4:$H$130,8,FALSE)+O56),0)</f>
        <v>65411.906156841032</v>
      </c>
      <c r="S56" s="21">
        <f>IFERROR((VLOOKUP(A56,'DEAnorm R-nett'!$A$4:$H$85,8,FALSE)+N56+K56),N56+K56)</f>
        <v>0</v>
      </c>
      <c r="T56" s="118">
        <f>IFERROR(VLOOKUP(A56,IRData!$A$3:$AN$142,40,FALSE),0)</f>
        <v>0</v>
      </c>
      <c r="U56" s="47">
        <f>(1-Forutsetninger!$B$4)*Q56+(R56+S56+T56)*Forutsetninger!$B$4</f>
        <v>66162.950136018771</v>
      </c>
      <c r="V56" s="41">
        <f>(R56+S56+T56)-G56*($K$156+$K$150)/Forutsetninger!$B$4</f>
        <v>56985.634714278662</v>
      </c>
      <c r="W56" s="296">
        <f>(1-Forutsetninger!$B$4)*Q56+Forutsetninger!$B$4*V56</f>
        <v>61107.187270481358</v>
      </c>
      <c r="X56" s="185">
        <v>61113.476494090282</v>
      </c>
      <c r="Y56" s="198">
        <f t="shared" si="8"/>
        <v>-6.289223608924658</v>
      </c>
      <c r="Z56" s="197">
        <f t="shared" si="9"/>
        <v>-1.0291058486147209E-4</v>
      </c>
      <c r="AA56" s="185">
        <f t="shared" si="10"/>
        <v>0</v>
      </c>
      <c r="AB56" s="197">
        <f>VLOOKUP(A56,Table1[[idaar]:[Andel SN]],8,FALSE)</f>
        <v>1</v>
      </c>
      <c r="AC56" s="197">
        <f>VLOOKUP(A56,Table1[[idaar]:[Andel SN]],9,FALSE)</f>
        <v>0</v>
      </c>
      <c r="AD56" s="197">
        <f>VLOOKUP(A56,Table1[[idaar]:[Andel SN]],10,FALSE)</f>
        <v>0</v>
      </c>
      <c r="AE56" s="312">
        <f t="shared" si="11"/>
        <v>0</v>
      </c>
      <c r="AF56" s="312">
        <f t="shared" si="12"/>
        <v>0</v>
      </c>
      <c r="AG56" s="312">
        <f t="shared" si="13"/>
        <v>0</v>
      </c>
    </row>
    <row r="57" spans="1:33" x14ac:dyDescent="0.2">
      <c r="A57">
        <v>2342015</v>
      </c>
      <c r="B57" t="s">
        <v>254</v>
      </c>
      <c r="C57" s="112">
        <f>VLOOKUP(A57,IRData!$A$3:$F$142,6,FALSE)</f>
        <v>16977.1915098586</v>
      </c>
      <c r="D57" s="45">
        <f>C57*Forutsetninger!$C$30</f>
        <v>17961.868617430398</v>
      </c>
      <c r="E57" s="43">
        <f>VLOOKUP($A57,IRData!$A$2:$N$142,7,FALSE)</f>
        <v>4319</v>
      </c>
      <c r="F57" s="43">
        <f>VLOOKUP($A57,IRData!$A$2:$N$142,8,FALSE)</f>
        <v>72319</v>
      </c>
      <c r="G57" s="43">
        <f>VLOOKUP($A57,IRData!$A$2:$N$142,9,FALSE)</f>
        <v>73042.19</v>
      </c>
      <c r="H57" s="43">
        <f>VLOOKUP($A57,IRData!$A$2:$N$142,10,FALSE)</f>
        <v>3487</v>
      </c>
      <c r="I57" s="43">
        <f>VLOOKUP($A57,IRData!$A$2:$N$142,11,FALSE)</f>
        <v>0</v>
      </c>
      <c r="J57" s="45">
        <f>VLOOKUP(A57,IRData!$A$3:$AF$142,32,FALSE)</f>
        <v>993.0295794397</v>
      </c>
      <c r="K57" s="45">
        <f>VLOOKUP(A57,IRData!$A$3:$AM$142,37,FALSE)</f>
        <v>0</v>
      </c>
      <c r="L57" s="112">
        <f>VLOOKUP($A57,IRData!$A$2:$N$142,13,FALSE)</f>
        <v>1340</v>
      </c>
      <c r="M57" s="44">
        <f>L57*Forutsetninger!$C$24</f>
        <v>1413.6999999999998</v>
      </c>
      <c r="N57" s="112">
        <f>VLOOKUP(A57,IRData!$A$3:$E$142,5,FALSE)*Forutsetninger!$C$30</f>
        <v>0</v>
      </c>
      <c r="O57" s="112">
        <f>VLOOKUP(A57,IRData!$A$3:$AG$142,19,FALSE)*Forutsetninger!$C$24</f>
        <v>69.418999999999997</v>
      </c>
      <c r="P57" s="45">
        <f t="shared" si="7"/>
        <v>24687.598196870098</v>
      </c>
      <c r="Q57" s="45">
        <f>D57+E57+J57+K57+M57+G57*Forutsetninger!$B$6+N57</f>
        <v>29157.780224870097</v>
      </c>
      <c r="R57" s="46">
        <f>IFERROR((VLOOKUP(A57,'DEAnorm D-nett'!$A$4:$H$130,8,FALSE)+O57),0)</f>
        <v>23145.256373096454</v>
      </c>
      <c r="S57" s="21">
        <f>IFERROR((VLOOKUP(A57,'DEAnorm R-nett'!$A$4:$H$85,8,FALSE)+N57+K57),N57+K57)</f>
        <v>0</v>
      </c>
      <c r="T57" s="118">
        <f>IFERROR(VLOOKUP(A57,IRData!$A$3:$AN$142,40,FALSE),0)</f>
        <v>0</v>
      </c>
      <c r="U57" s="47">
        <f>(1-Forutsetninger!$B$4)*Q57+(R57+S57+T57)*Forutsetninger!$B$4</f>
        <v>25550.26591380591</v>
      </c>
      <c r="V57" s="41">
        <f>(R57+S57+T57)-G57*($K$156+$K$150)/Forutsetninger!$B$4</f>
        <v>20235.148377171561</v>
      </c>
      <c r="W57" s="296">
        <f>(1-Forutsetninger!$B$4)*Q57+Forutsetninger!$B$4*V57</f>
        <v>23804.201116250973</v>
      </c>
      <c r="X57" s="185">
        <v>23806.511996249297</v>
      </c>
      <c r="Y57" s="198">
        <f t="shared" si="8"/>
        <v>-2.3108799983237986</v>
      </c>
      <c r="Z57" s="197">
        <f t="shared" si="9"/>
        <v>-9.7069238815323991E-5</v>
      </c>
      <c r="AA57" s="185">
        <f t="shared" si="10"/>
        <v>0</v>
      </c>
      <c r="AB57" s="197">
        <f>VLOOKUP(A57,Table1[[idaar]:[Andel SN]],8,FALSE)</f>
        <v>1</v>
      </c>
      <c r="AC57" s="197">
        <f>VLOOKUP(A57,Table1[[idaar]:[Andel SN]],9,FALSE)</f>
        <v>0</v>
      </c>
      <c r="AD57" s="197">
        <f>VLOOKUP(A57,Table1[[idaar]:[Andel SN]],10,FALSE)</f>
        <v>0</v>
      </c>
      <c r="AE57" s="312">
        <f t="shared" si="11"/>
        <v>0</v>
      </c>
      <c r="AF57" s="312">
        <f t="shared" si="12"/>
        <v>0</v>
      </c>
      <c r="AG57" s="312">
        <f t="shared" si="13"/>
        <v>0</v>
      </c>
    </row>
    <row r="58" spans="1:33" x14ac:dyDescent="0.2">
      <c r="A58">
        <v>352015</v>
      </c>
      <c r="B58" t="s">
        <v>162</v>
      </c>
      <c r="C58" s="112">
        <f>VLOOKUP(A58,IRData!$A$3:$F$142,6,FALSE)</f>
        <v>12301.5016433686</v>
      </c>
      <c r="D58" s="45">
        <f>C58*Forutsetninger!$C$30</f>
        <v>13014.988738683978</v>
      </c>
      <c r="E58" s="43">
        <f>VLOOKUP($A58,IRData!$A$2:$N$142,7,FALSE)</f>
        <v>4079</v>
      </c>
      <c r="F58" s="43">
        <f>VLOOKUP($A58,IRData!$A$2:$N$142,8,FALSE)</f>
        <v>64856</v>
      </c>
      <c r="G58" s="43">
        <f>VLOOKUP($A58,IRData!$A$2:$N$142,9,FALSE)</f>
        <v>65504.56</v>
      </c>
      <c r="H58" s="43">
        <f>VLOOKUP($A58,IRData!$A$2:$N$142,10,FALSE)</f>
        <v>5276</v>
      </c>
      <c r="I58" s="43">
        <f>VLOOKUP($A58,IRData!$A$2:$N$142,11,FALSE)</f>
        <v>0</v>
      </c>
      <c r="J58" s="45">
        <f>VLOOKUP(A58,IRData!$A$3:$AF$142,32,FALSE)</f>
        <v>1502.5018815956</v>
      </c>
      <c r="K58" s="45">
        <f>VLOOKUP(A58,IRData!$A$3:$AM$142,37,FALSE)</f>
        <v>0</v>
      </c>
      <c r="L58" s="112">
        <f>VLOOKUP($A58,IRData!$A$2:$N$142,13,FALSE)</f>
        <v>811</v>
      </c>
      <c r="M58" s="44">
        <f>L58*Forutsetninger!$C$24</f>
        <v>855.6049999999999</v>
      </c>
      <c r="N58" s="112">
        <f>VLOOKUP(A58,IRData!$A$3:$E$142,5,FALSE)*Forutsetninger!$C$30</f>
        <v>0</v>
      </c>
      <c r="O58" s="112">
        <f>VLOOKUP(A58,IRData!$A$3:$AG$142,19,FALSE)*Forutsetninger!$C$24</f>
        <v>520.70579999999995</v>
      </c>
      <c r="P58" s="45">
        <f t="shared" si="7"/>
        <v>19452.095620279575</v>
      </c>
      <c r="Q58" s="45">
        <f>D58+E58+J58+K58+M58+G58*Forutsetninger!$B$6+N58</f>
        <v>23460.974692279575</v>
      </c>
      <c r="R58" s="46">
        <f>IFERROR((VLOOKUP(A58,'DEAnorm D-nett'!$A$4:$H$130,8,FALSE)+O58),0)</f>
        <v>23343.937920355776</v>
      </c>
      <c r="S58" s="21">
        <f>IFERROR((VLOOKUP(A58,'DEAnorm R-nett'!$A$4:$H$85,8,FALSE)+N58+K58),N58+K58)</f>
        <v>0</v>
      </c>
      <c r="T58" s="118">
        <f>IFERROR(VLOOKUP(A58,IRData!$A$3:$AN$142,40,FALSE),0)</f>
        <v>0</v>
      </c>
      <c r="U58" s="47">
        <f>(1-Forutsetninger!$B$4)*Q58+(R58+S58+T58)*Forutsetninger!$B$4</f>
        <v>23390.752629125294</v>
      </c>
      <c r="V58" s="41">
        <f>(R58+S58+T58)-G58*($K$156+$K$150)/Forutsetninger!$B$4</f>
        <v>20734.140160656323</v>
      </c>
      <c r="W58" s="296">
        <f>(1-Forutsetninger!$B$4)*Q58+Forutsetninger!$B$4*V58</f>
        <v>21824.873973305621</v>
      </c>
      <c r="X58" s="185">
        <v>21826.745268167731</v>
      </c>
      <c r="Y58" s="198">
        <f t="shared" si="8"/>
        <v>-1.871294862110517</v>
      </c>
      <c r="Z58" s="197">
        <f t="shared" si="9"/>
        <v>-8.5734031305144962E-5</v>
      </c>
      <c r="AA58" s="185">
        <f t="shared" si="10"/>
        <v>0</v>
      </c>
      <c r="AB58" s="197">
        <f>VLOOKUP(A58,Table1[[idaar]:[Andel SN]],8,FALSE)</f>
        <v>1</v>
      </c>
      <c r="AC58" s="197">
        <f>VLOOKUP(A58,Table1[[idaar]:[Andel SN]],9,FALSE)</f>
        <v>0</v>
      </c>
      <c r="AD58" s="197">
        <f>VLOOKUP(A58,Table1[[idaar]:[Andel SN]],10,FALSE)</f>
        <v>0</v>
      </c>
      <c r="AE58" s="312">
        <f t="shared" si="11"/>
        <v>0</v>
      </c>
      <c r="AF58" s="312">
        <f t="shared" si="12"/>
        <v>0</v>
      </c>
      <c r="AG58" s="312">
        <f t="shared" si="13"/>
        <v>0</v>
      </c>
    </row>
    <row r="59" spans="1:33" x14ac:dyDescent="0.2">
      <c r="A59">
        <v>1192015</v>
      </c>
      <c r="B59" t="s">
        <v>225</v>
      </c>
      <c r="C59" s="112">
        <f>VLOOKUP(A59,IRData!$A$3:$F$142,6,FALSE)</f>
        <v>18038.2784764524</v>
      </c>
      <c r="D59" s="45">
        <f>C59*Forutsetninger!$C$30</f>
        <v>19084.49862808664</v>
      </c>
      <c r="E59" s="43">
        <f>VLOOKUP($A59,IRData!$A$2:$N$142,7,FALSE)</f>
        <v>5379</v>
      </c>
      <c r="F59" s="43">
        <f>VLOOKUP($A59,IRData!$A$2:$N$142,8,FALSE)</f>
        <v>78436</v>
      </c>
      <c r="G59" s="43">
        <f>VLOOKUP($A59,IRData!$A$2:$N$142,9,FALSE)</f>
        <v>79220.36</v>
      </c>
      <c r="H59" s="43">
        <f>VLOOKUP($A59,IRData!$A$2:$N$142,10,FALSE)</f>
        <v>7223</v>
      </c>
      <c r="I59" s="43">
        <f>VLOOKUP($A59,IRData!$A$2:$N$142,11,FALSE)</f>
        <v>0</v>
      </c>
      <c r="J59" s="45">
        <f>VLOOKUP(A59,IRData!$A$3:$AF$142,32,FALSE)</f>
        <v>2097.0772352127997</v>
      </c>
      <c r="K59" s="45">
        <f>VLOOKUP(A59,IRData!$A$3:$AM$142,37,FALSE)</f>
        <v>0</v>
      </c>
      <c r="L59" s="112">
        <f>VLOOKUP($A59,IRData!$A$2:$N$142,13,FALSE)</f>
        <v>1005</v>
      </c>
      <c r="M59" s="44">
        <f>L59*Forutsetninger!$C$24</f>
        <v>1060.2749999999999</v>
      </c>
      <c r="N59" s="112">
        <f>VLOOKUP(A59,IRData!$A$3:$E$142,5,FALSE)*Forutsetninger!$C$30</f>
        <v>0</v>
      </c>
      <c r="O59" s="112">
        <f>VLOOKUP(A59,IRData!$A$3:$AG$142,19,FALSE)*Forutsetninger!$C$24</f>
        <v>0</v>
      </c>
      <c r="P59" s="45">
        <f t="shared" si="7"/>
        <v>27620.850863299442</v>
      </c>
      <c r="Q59" s="45">
        <f>D59+E59+J59+K59+M59+G59*Forutsetninger!$B$6+N59</f>
        <v>32469.136895299442</v>
      </c>
      <c r="R59" s="46">
        <f>IFERROR((VLOOKUP(A59,'DEAnorm D-nett'!$A$4:$H$130,8,FALSE)+O59),0)</f>
        <v>32213.55218226853</v>
      </c>
      <c r="S59" s="21">
        <f>IFERROR((VLOOKUP(A59,'DEAnorm R-nett'!$A$4:$H$85,8,FALSE)+N59+K59),N59+K59)</f>
        <v>0</v>
      </c>
      <c r="T59" s="118">
        <f>IFERROR(VLOOKUP(A59,IRData!$A$3:$AN$142,40,FALSE),0)</f>
        <v>0</v>
      </c>
      <c r="U59" s="47">
        <f>(1-Forutsetninger!$B$4)*Q59+(R59+S59+T59)*Forutsetninger!$B$4</f>
        <v>32315.786067480894</v>
      </c>
      <c r="V59" s="41">
        <f>(R59+S59+T59)-G59*($K$156+$K$150)/Forutsetninger!$B$4</f>
        <v>29057.296830723779</v>
      </c>
      <c r="W59" s="296">
        <f>(1-Forutsetninger!$B$4)*Q59+Forutsetninger!$B$4*V59</f>
        <v>30422.032856554044</v>
      </c>
      <c r="X59" s="185">
        <v>30424.599877343222</v>
      </c>
      <c r="Y59" s="198">
        <f t="shared" si="8"/>
        <v>-2.5670207891780592</v>
      </c>
      <c r="Z59" s="197">
        <f t="shared" si="9"/>
        <v>-8.437319798870006E-5</v>
      </c>
      <c r="AA59" s="185">
        <f t="shared" si="10"/>
        <v>0</v>
      </c>
      <c r="AB59" s="197">
        <f>VLOOKUP(A59,Table1[[idaar]:[Andel SN]],8,FALSE)</f>
        <v>1</v>
      </c>
      <c r="AC59" s="197">
        <f>VLOOKUP(A59,Table1[[idaar]:[Andel SN]],9,FALSE)</f>
        <v>0</v>
      </c>
      <c r="AD59" s="197">
        <f>VLOOKUP(A59,Table1[[idaar]:[Andel SN]],10,FALSE)</f>
        <v>0</v>
      </c>
      <c r="AE59" s="312">
        <f t="shared" si="11"/>
        <v>0</v>
      </c>
      <c r="AF59" s="312">
        <f t="shared" si="12"/>
        <v>0</v>
      </c>
      <c r="AG59" s="312">
        <f t="shared" si="13"/>
        <v>0</v>
      </c>
    </row>
    <row r="60" spans="1:33" x14ac:dyDescent="0.2">
      <c r="A60">
        <v>2942015</v>
      </c>
      <c r="B60" t="s">
        <v>266</v>
      </c>
      <c r="C60" s="112">
        <f>VLOOKUP(A60,IRData!$A$3:$F$142,6,FALSE)</f>
        <v>2275</v>
      </c>
      <c r="D60" s="45">
        <f>C60*Forutsetninger!$C$30</f>
        <v>2406.9500000000003</v>
      </c>
      <c r="E60" s="43">
        <f>VLOOKUP($A60,IRData!$A$2:$N$142,7,FALSE)</f>
        <v>8932</v>
      </c>
      <c r="F60" s="43">
        <f>VLOOKUP($A60,IRData!$A$2:$N$142,8,FALSE)</f>
        <v>103215</v>
      </c>
      <c r="G60" s="43">
        <f>VLOOKUP($A60,IRData!$A$2:$N$142,9,FALSE)</f>
        <v>104247.15</v>
      </c>
      <c r="H60" s="43">
        <f>VLOOKUP($A60,IRData!$A$2:$N$142,10,FALSE)</f>
        <v>4910</v>
      </c>
      <c r="I60" s="43">
        <f>VLOOKUP($A60,IRData!$A$2:$N$142,11,FALSE)</f>
        <v>0</v>
      </c>
      <c r="J60" s="45">
        <f>VLOOKUP(A60,IRData!$A$3:$AF$142,32,FALSE)</f>
        <v>1412.3362935330001</v>
      </c>
      <c r="K60" s="45">
        <f>VLOOKUP(A60,IRData!$A$3:$AM$142,37,FALSE)</f>
        <v>0</v>
      </c>
      <c r="L60" s="112">
        <f>VLOOKUP($A60,IRData!$A$2:$N$142,13,FALSE)</f>
        <v>492</v>
      </c>
      <c r="M60" s="44">
        <f>L60*Forutsetninger!$C$24</f>
        <v>519.05999999999995</v>
      </c>
      <c r="N60" s="112">
        <f>VLOOKUP(A60,IRData!$A$3:$E$142,5,FALSE)*Forutsetninger!$C$30</f>
        <v>0</v>
      </c>
      <c r="O60" s="112">
        <f>VLOOKUP(A60,IRData!$A$3:$AG$142,19,FALSE)*Forutsetninger!$C$24</f>
        <v>0</v>
      </c>
      <c r="P60" s="45">
        <f t="shared" si="7"/>
        <v>13270.346293533001</v>
      </c>
      <c r="Q60" s="45">
        <f>D60+E60+J60+K60+M60+G60*Forutsetninger!$B$6+N60</f>
        <v>19650.271873532998</v>
      </c>
      <c r="R60" s="46">
        <f>IFERROR((VLOOKUP(A60,'DEAnorm D-nett'!$A$4:$H$130,8,FALSE)+O60),0)</f>
        <v>19650.271873532998</v>
      </c>
      <c r="S60" s="21">
        <f>IFERROR((VLOOKUP(A60,'DEAnorm R-nett'!$A$4:$H$85,8,FALSE)+N60+K60),N60+K60)</f>
        <v>0</v>
      </c>
      <c r="T60" s="118">
        <f>IFERROR(VLOOKUP(A60,IRData!$A$3:$AN$142,40,FALSE),0)</f>
        <v>0</v>
      </c>
      <c r="U60" s="47">
        <f>(1-Forutsetninger!$B$4)*Q60+(R60+S60+T60)*Forutsetninger!$B$4</f>
        <v>19650.271873532998</v>
      </c>
      <c r="V60" s="41">
        <f>(R60+S60+T60)-G60*($K$156+$K$150)/Forutsetninger!$B$4</f>
        <v>15496.912496337689</v>
      </c>
      <c r="W60" s="296">
        <f>(1-Forutsetninger!$B$4)*Q60+Forutsetninger!$B$4*V60</f>
        <v>17158.256247215813</v>
      </c>
      <c r="X60" s="185">
        <v>17159.602853062235</v>
      </c>
      <c r="Y60" s="198">
        <f t="shared" si="8"/>
        <v>-1.3466058464218804</v>
      </c>
      <c r="Z60" s="197">
        <f t="shared" si="9"/>
        <v>-7.8475350388518489E-5</v>
      </c>
      <c r="AA60" s="185">
        <f t="shared" si="10"/>
        <v>0</v>
      </c>
      <c r="AB60" s="197">
        <f>VLOOKUP(A60,Table1[[idaar]:[Andel SN]],8,FALSE)</f>
        <v>1</v>
      </c>
      <c r="AC60" s="197">
        <f>VLOOKUP(A60,Table1[[idaar]:[Andel SN]],9,FALSE)</f>
        <v>0</v>
      </c>
      <c r="AD60" s="197">
        <f>VLOOKUP(A60,Table1[[idaar]:[Andel SN]],10,FALSE)</f>
        <v>0</v>
      </c>
      <c r="AE60" s="312">
        <f t="shared" si="11"/>
        <v>0</v>
      </c>
      <c r="AF60" s="312">
        <f t="shared" si="12"/>
        <v>0</v>
      </c>
      <c r="AG60" s="312">
        <f t="shared" si="13"/>
        <v>0</v>
      </c>
    </row>
    <row r="61" spans="1:33" x14ac:dyDescent="0.2">
      <c r="A61">
        <v>6852015</v>
      </c>
      <c r="B61" t="s">
        <v>295</v>
      </c>
      <c r="C61" s="112">
        <f>VLOOKUP(A61,IRData!$A$3:$F$142,6,FALSE)</f>
        <v>0</v>
      </c>
      <c r="D61" s="45">
        <f>C61*Forutsetninger!$C$30</f>
        <v>0</v>
      </c>
      <c r="E61" s="43">
        <f>VLOOKUP($A61,IRData!$A$2:$N$142,7,FALSE)</f>
        <v>564</v>
      </c>
      <c r="F61" s="43">
        <f>VLOOKUP($A61,IRData!$A$2:$N$142,8,FALSE)</f>
        <v>6129</v>
      </c>
      <c r="G61" s="43">
        <f>VLOOKUP($A61,IRData!$A$2:$N$142,9,FALSE)</f>
        <v>6190.29</v>
      </c>
      <c r="H61" s="43">
        <f>VLOOKUP($A61,IRData!$A$2:$N$142,10,FALSE)</f>
        <v>0</v>
      </c>
      <c r="I61" s="43">
        <f>VLOOKUP($A61,IRData!$A$2:$N$142,11,FALSE)</f>
        <v>1445</v>
      </c>
      <c r="J61" s="45">
        <f>VLOOKUP(A61,IRData!$A$3:$AF$142,32,FALSE)</f>
        <v>0</v>
      </c>
      <c r="K61" s="45">
        <f>VLOOKUP(A61,IRData!$A$3:$AM$142,37,FALSE)</f>
        <v>411.46048704550003</v>
      </c>
      <c r="L61" s="112">
        <f>VLOOKUP($A61,IRData!$A$2:$N$142,13,FALSE)</f>
        <v>0</v>
      </c>
      <c r="M61" s="44">
        <f>L61*Forutsetninger!$C$24</f>
        <v>0</v>
      </c>
      <c r="N61" s="112">
        <f>VLOOKUP(A61,IRData!$A$3:$E$142,5,FALSE)*Forutsetninger!$C$30</f>
        <v>0</v>
      </c>
      <c r="O61" s="112">
        <f>VLOOKUP(A61,IRData!$A$3:$AG$142,19,FALSE)*Forutsetninger!$C$24</f>
        <v>0</v>
      </c>
      <c r="P61" s="45">
        <f t="shared" si="7"/>
        <v>975.46048704550003</v>
      </c>
      <c r="Q61" s="45">
        <f>D61+E61+J61+K61+M61+G61*Forutsetninger!$B$6+N61</f>
        <v>1354.3062350455</v>
      </c>
      <c r="R61" s="46">
        <f>IFERROR((VLOOKUP(A61,'DEAnorm D-nett'!$A$4:$H$130,8,FALSE)+O61),0)</f>
        <v>0</v>
      </c>
      <c r="S61" s="21">
        <f>IFERROR((VLOOKUP(A61,'DEAnorm R-nett'!$A$4:$H$85,8,FALSE)+N61+K61),N61+K61)</f>
        <v>841.34015104550008</v>
      </c>
      <c r="T61" s="118">
        <f>IFERROR(VLOOKUP(A61,IRData!$A$3:$AN$142,40,FALSE),0)</f>
        <v>512.96608400000002</v>
      </c>
      <c r="U61" s="47">
        <f>(1-Forutsetninger!$B$4)*Q61+(R61+S61+T61)*Forutsetninger!$B$4</f>
        <v>1354.3062350455002</v>
      </c>
      <c r="V61" s="41">
        <f>(R61+S61+T61)-G61*($K$156+$K$150)/Forutsetninger!$B$4</f>
        <v>1107.6760008466913</v>
      </c>
      <c r="W61" s="296">
        <f>(1-Forutsetninger!$B$4)*Q61+Forutsetninger!$B$4*V61</f>
        <v>1206.3280945262147</v>
      </c>
      <c r="X61" s="185">
        <v>1206.4080572254097</v>
      </c>
      <c r="Y61" s="198">
        <f t="shared" si="8"/>
        <v>-7.9962699194993547E-2</v>
      </c>
      <c r="Z61" s="197">
        <f t="shared" si="9"/>
        <v>-6.6281635567734792E-5</v>
      </c>
      <c r="AA61" s="185">
        <f t="shared" si="10"/>
        <v>0</v>
      </c>
      <c r="AB61" s="197">
        <f>VLOOKUP(A61,Table1[[idaar]:[Andel SN]],8,FALSE)</f>
        <v>0</v>
      </c>
      <c r="AC61" s="197">
        <f>VLOOKUP(A61,Table1[[idaar]:[Andel SN]],9,FALSE)</f>
        <v>0.21807628524046435</v>
      </c>
      <c r="AD61" s="197">
        <f>VLOOKUP(A61,Table1[[idaar]:[Andel SN]],10,FALSE)</f>
        <v>0.7819237147595357</v>
      </c>
      <c r="AE61" s="312">
        <f t="shared" si="11"/>
        <v>0</v>
      </c>
      <c r="AF61" s="312">
        <f t="shared" si="12"/>
        <v>0</v>
      </c>
      <c r="AG61" s="312">
        <f t="shared" si="13"/>
        <v>0</v>
      </c>
    </row>
    <row r="62" spans="1:33" x14ac:dyDescent="0.2">
      <c r="A62">
        <v>1872015</v>
      </c>
      <c r="B62" t="s">
        <v>241</v>
      </c>
      <c r="C62" s="112">
        <f>VLOOKUP(A62,IRData!$A$3:$F$142,6,FALSE)</f>
        <v>4228.0158774424799</v>
      </c>
      <c r="D62" s="45">
        <f>C62*Forutsetninger!$C$30</f>
        <v>4473.2407983341436</v>
      </c>
      <c r="E62" s="43">
        <f>VLOOKUP($A62,IRData!$A$2:$N$142,7,FALSE)</f>
        <v>2841</v>
      </c>
      <c r="F62" s="43">
        <f>VLOOKUP($A62,IRData!$A$2:$N$142,8,FALSE)</f>
        <v>47215</v>
      </c>
      <c r="G62" s="43">
        <f>VLOOKUP($A62,IRData!$A$2:$N$142,9,FALSE)</f>
        <v>47687.149999999994</v>
      </c>
      <c r="H62" s="43">
        <f>VLOOKUP($A62,IRData!$A$2:$N$142,10,FALSE)</f>
        <v>909</v>
      </c>
      <c r="I62" s="43">
        <f>VLOOKUP($A62,IRData!$A$2:$N$142,11,FALSE)</f>
        <v>0</v>
      </c>
      <c r="J62" s="45">
        <f>VLOOKUP(A62,IRData!$A$3:$AF$142,32,FALSE)</f>
        <v>258.86546822790001</v>
      </c>
      <c r="K62" s="45">
        <f>VLOOKUP(A62,IRData!$A$3:$AM$142,37,FALSE)</f>
        <v>0</v>
      </c>
      <c r="L62" s="112">
        <f>VLOOKUP($A62,IRData!$A$2:$N$142,13,FALSE)</f>
        <v>0</v>
      </c>
      <c r="M62" s="44">
        <f>L62*Forutsetninger!$C$24</f>
        <v>0</v>
      </c>
      <c r="N62" s="112">
        <f>VLOOKUP(A62,IRData!$A$3:$E$142,5,FALSE)*Forutsetninger!$C$30</f>
        <v>0</v>
      </c>
      <c r="O62" s="112">
        <f>VLOOKUP(A62,IRData!$A$3:$AG$142,19,FALSE)*Forutsetninger!$C$24</f>
        <v>0</v>
      </c>
      <c r="P62" s="45">
        <f t="shared" si="7"/>
        <v>7573.1062665620439</v>
      </c>
      <c r="Q62" s="45">
        <f>D62+E62+J62+K62+M62+G62*Forutsetninger!$B$6+N62</f>
        <v>10491.559846562042</v>
      </c>
      <c r="R62" s="46">
        <f>IFERROR((VLOOKUP(A62,'DEAnorm D-nett'!$A$4:$H$130,8,FALSE)+O62),0)</f>
        <v>5406.384006749011</v>
      </c>
      <c r="S62" s="21">
        <f>IFERROR((VLOOKUP(A62,'DEAnorm R-nett'!$A$4:$H$85,8,FALSE)+N62+K62),N62+K62)</f>
        <v>0</v>
      </c>
      <c r="T62" s="118">
        <f>IFERROR(VLOOKUP(A62,IRData!$A$3:$AN$142,40,FALSE),0)</f>
        <v>5085.1758398130323</v>
      </c>
      <c r="U62" s="47">
        <f>(1-Forutsetninger!$B$4)*Q62+(R62+S62+T62)*Forutsetninger!$B$4</f>
        <v>10491.559846562042</v>
      </c>
      <c r="V62" s="41">
        <f>(R62+S62+T62)-G62*($K$156+$K$150)/Forutsetninger!$B$4</f>
        <v>8591.6338378009459</v>
      </c>
      <c r="W62" s="296">
        <f>(1-Forutsetninger!$B$4)*Q62+Forutsetninger!$B$4*V62</f>
        <v>9351.6042413053838</v>
      </c>
      <c r="X62" s="185">
        <v>9352.2202119891081</v>
      </c>
      <c r="Y62" s="198">
        <f t="shared" si="8"/>
        <v>-0.61597068372429931</v>
      </c>
      <c r="Z62" s="197">
        <f t="shared" si="9"/>
        <v>-6.5863577820232867E-5</v>
      </c>
      <c r="AA62" s="185">
        <f t="shared" si="10"/>
        <v>0</v>
      </c>
      <c r="AB62" s="197">
        <f>VLOOKUP(A62,Table1[[idaar]:[Andel SN]],8,FALSE)</f>
        <v>0.46738665526090678</v>
      </c>
      <c r="AC62" s="197">
        <f>VLOOKUP(A62,Table1[[idaar]:[Andel SN]],9,FALSE)</f>
        <v>0</v>
      </c>
      <c r="AD62" s="197">
        <f>VLOOKUP(A62,Table1[[idaar]:[Andel SN]],10,FALSE)</f>
        <v>0.53261334473909328</v>
      </c>
      <c r="AE62" s="312">
        <f t="shared" si="11"/>
        <v>0</v>
      </c>
      <c r="AF62" s="312">
        <f t="shared" si="12"/>
        <v>0</v>
      </c>
      <c r="AG62" s="312">
        <f t="shared" si="13"/>
        <v>0</v>
      </c>
    </row>
    <row r="63" spans="1:33" x14ac:dyDescent="0.2">
      <c r="A63">
        <v>982015</v>
      </c>
      <c r="B63" t="s">
        <v>165</v>
      </c>
      <c r="C63" s="112">
        <f>VLOOKUP(A63,IRData!$A$3:$F$142,6,FALSE)</f>
        <v>1492.079499592189</v>
      </c>
      <c r="D63" s="45">
        <f>C63*Forutsetninger!$C$30</f>
        <v>1578.6201105685361</v>
      </c>
      <c r="E63" s="43">
        <f>VLOOKUP($A63,IRData!$A$2:$N$142,7,FALSE)</f>
        <v>1058</v>
      </c>
      <c r="F63" s="43">
        <f>VLOOKUP($A63,IRData!$A$2:$N$142,8,FALSE)</f>
        <v>15800</v>
      </c>
      <c r="G63" s="43">
        <f>VLOOKUP($A63,IRData!$A$2:$N$142,9,FALSE)</f>
        <v>15958</v>
      </c>
      <c r="H63" s="43">
        <f>VLOOKUP($A63,IRData!$A$2:$N$142,10,FALSE)</f>
        <v>0</v>
      </c>
      <c r="I63" s="43">
        <f>VLOOKUP($A63,IRData!$A$2:$N$142,11,FALSE)</f>
        <v>0</v>
      </c>
      <c r="J63" s="45">
        <f>VLOOKUP(A63,IRData!$A$3:$AF$142,32,FALSE)</f>
        <v>0</v>
      </c>
      <c r="K63" s="45">
        <f>VLOOKUP(A63,IRData!$A$3:$AM$142,37,FALSE)</f>
        <v>0</v>
      </c>
      <c r="L63" s="112">
        <f>VLOOKUP($A63,IRData!$A$2:$N$142,13,FALSE)</f>
        <v>0</v>
      </c>
      <c r="M63" s="44">
        <f>L63*Forutsetninger!$C$24</f>
        <v>0</v>
      </c>
      <c r="N63" s="112">
        <f>VLOOKUP(A63,IRData!$A$3:$E$142,5,FALSE)*Forutsetninger!$C$30</f>
        <v>0</v>
      </c>
      <c r="O63" s="112">
        <f>VLOOKUP(A63,IRData!$A$3:$AG$142,19,FALSE)*Forutsetninger!$C$24</f>
        <v>0</v>
      </c>
      <c r="P63" s="45">
        <f t="shared" si="7"/>
        <v>2636.6201105685359</v>
      </c>
      <c r="Q63" s="45">
        <f>D63+E63+J63+K63+M63+G63*Forutsetninger!$B$6+N63</f>
        <v>3613.2497105685361</v>
      </c>
      <c r="R63" s="46">
        <f>IFERROR((VLOOKUP(A63,'DEAnorm D-nett'!$A$4:$H$130,8,FALSE)+O63),0)</f>
        <v>0</v>
      </c>
      <c r="S63" s="21">
        <f>IFERROR((VLOOKUP(A63,'DEAnorm R-nett'!$A$4:$H$85,8,FALSE)+N63+K63),N63+K63)</f>
        <v>1750.5111819287542</v>
      </c>
      <c r="T63" s="118">
        <f>IFERROR(VLOOKUP(A63,IRData!$A$3:$AN$142,40,FALSE),0)</f>
        <v>1862.7385286397819</v>
      </c>
      <c r="U63" s="47">
        <f>(1-Forutsetninger!$B$4)*Q63+(R63+S63+T63)*Forutsetninger!$B$4</f>
        <v>3613.2497105685361</v>
      </c>
      <c r="V63" s="41">
        <f>(R63+S63+T63)-G63*($K$156+$K$150)/Forutsetninger!$B$4</f>
        <v>2977.4595816174542</v>
      </c>
      <c r="W63" s="296">
        <f>(1-Forutsetninger!$B$4)*Q63+Forutsetninger!$B$4*V63</f>
        <v>3231.7756331978871</v>
      </c>
      <c r="X63" s="185">
        <v>3231.9817694880048</v>
      </c>
      <c r="Y63" s="198">
        <f t="shared" si="8"/>
        <v>-0.20613629011768353</v>
      </c>
      <c r="Z63" s="197">
        <f t="shared" si="9"/>
        <v>-6.3780152494591162E-5</v>
      </c>
      <c r="AA63" s="185">
        <f t="shared" si="10"/>
        <v>0</v>
      </c>
      <c r="AB63" s="197">
        <f>VLOOKUP(A63,Table1[[idaar]:[Andel SN]],8,FALSE)</f>
        <v>0</v>
      </c>
      <c r="AC63" s="197">
        <f>VLOOKUP(A63,Table1[[idaar]:[Andel SN]],9,FALSE)</f>
        <v>0.48452970297029702</v>
      </c>
      <c r="AD63" s="197">
        <f>VLOOKUP(A63,Table1[[idaar]:[Andel SN]],10,FALSE)</f>
        <v>0.51547029702970293</v>
      </c>
      <c r="AE63" s="312">
        <f t="shared" si="11"/>
        <v>0</v>
      </c>
      <c r="AF63" s="312">
        <f t="shared" si="12"/>
        <v>0</v>
      </c>
      <c r="AG63" s="312">
        <f t="shared" si="13"/>
        <v>0</v>
      </c>
    </row>
    <row r="64" spans="1:33" x14ac:dyDescent="0.2">
      <c r="A64">
        <v>6522015</v>
      </c>
      <c r="B64" t="s">
        <v>292</v>
      </c>
      <c r="C64" s="112">
        <f>VLOOKUP(A64,IRData!$A$3:$F$142,6,FALSE)</f>
        <v>447.65515417655098</v>
      </c>
      <c r="D64" s="45">
        <f>C64*Forutsetninger!$C$30</f>
        <v>473.61915311879096</v>
      </c>
      <c r="E64" s="43">
        <f>VLOOKUP($A64,IRData!$A$2:$N$142,7,FALSE)</f>
        <v>138</v>
      </c>
      <c r="F64" s="43">
        <f>VLOOKUP($A64,IRData!$A$2:$N$142,8,FALSE)</f>
        <v>3663</v>
      </c>
      <c r="G64" s="43">
        <f>VLOOKUP($A64,IRData!$A$2:$N$142,9,FALSE)</f>
        <v>3699.63</v>
      </c>
      <c r="H64" s="43">
        <f>VLOOKUP($A64,IRData!$A$2:$N$142,10,FALSE)</f>
        <v>0</v>
      </c>
      <c r="I64" s="43">
        <f>VLOOKUP($A64,IRData!$A$2:$N$142,11,FALSE)</f>
        <v>0</v>
      </c>
      <c r="J64" s="45">
        <f>VLOOKUP(A64,IRData!$A$3:$AF$142,32,FALSE)</f>
        <v>0</v>
      </c>
      <c r="K64" s="45">
        <f>VLOOKUP(A64,IRData!$A$3:$AM$142,37,FALSE)</f>
        <v>0</v>
      </c>
      <c r="L64" s="112">
        <f>VLOOKUP($A64,IRData!$A$2:$N$142,13,FALSE)</f>
        <v>0</v>
      </c>
      <c r="M64" s="44">
        <f>L64*Forutsetninger!$C$24</f>
        <v>0</v>
      </c>
      <c r="N64" s="112">
        <f>VLOOKUP(A64,IRData!$A$3:$E$142,5,FALSE)*Forutsetninger!$C$30</f>
        <v>0</v>
      </c>
      <c r="O64" s="112">
        <f>VLOOKUP(A64,IRData!$A$3:$AG$142,19,FALSE)*Forutsetninger!$C$24</f>
        <v>0</v>
      </c>
      <c r="P64" s="45">
        <f t="shared" si="7"/>
        <v>611.61915311879102</v>
      </c>
      <c r="Q64" s="45">
        <f>D64+E64+J64+K64+M64+G64*Forutsetninger!$B$6+N64</f>
        <v>838.03650911879095</v>
      </c>
      <c r="R64" s="46">
        <f>IFERROR((VLOOKUP(A64,'DEAnorm D-nett'!$A$4:$H$130,8,FALSE)+O64),0)</f>
        <v>838.03650911879095</v>
      </c>
      <c r="S64" s="21">
        <f>IFERROR((VLOOKUP(A64,'DEAnorm R-nett'!$A$4:$H$85,8,FALSE)+N64+K64),N64+K64)</f>
        <v>0</v>
      </c>
      <c r="T64" s="118">
        <f>IFERROR(VLOOKUP(A64,IRData!$A$3:$AN$142,40,FALSE),0)</f>
        <v>0</v>
      </c>
      <c r="U64" s="47">
        <f>(1-Forutsetninger!$B$4)*Q64+(R64+S64+T64)*Forutsetninger!$B$4</f>
        <v>838.03650911879095</v>
      </c>
      <c r="V64" s="41">
        <f>(R64+S64+T64)-G64*($K$156+$K$150)/Forutsetninger!$B$4</f>
        <v>690.6378228942458</v>
      </c>
      <c r="W64" s="296">
        <f>(1-Forutsetninger!$B$4)*Q64+Forutsetninger!$B$4*V64</f>
        <v>749.59729738406395</v>
      </c>
      <c r="X64" s="185">
        <v>749.64508615463342</v>
      </c>
      <c r="Y64" s="198">
        <f t="shared" si="8"/>
        <v>-4.7788770569468397E-2</v>
      </c>
      <c r="Z64" s="197">
        <f t="shared" si="9"/>
        <v>-6.3748527739446477E-5</v>
      </c>
      <c r="AA64" s="185">
        <f t="shared" si="10"/>
        <v>0</v>
      </c>
      <c r="AB64" s="197">
        <f>VLOOKUP(A64,Table1[[idaar]:[Andel SN]],8,FALSE)</f>
        <v>1</v>
      </c>
      <c r="AC64" s="197">
        <f>VLOOKUP(A64,Table1[[idaar]:[Andel SN]],9,FALSE)</f>
        <v>0</v>
      </c>
      <c r="AD64" s="197">
        <f>VLOOKUP(A64,Table1[[idaar]:[Andel SN]],10,FALSE)</f>
        <v>0</v>
      </c>
      <c r="AE64" s="312">
        <f t="shared" si="11"/>
        <v>0</v>
      </c>
      <c r="AF64" s="312">
        <f t="shared" si="12"/>
        <v>0</v>
      </c>
      <c r="AG64" s="312">
        <f t="shared" si="13"/>
        <v>0</v>
      </c>
    </row>
    <row r="65" spans="1:33" x14ac:dyDescent="0.2">
      <c r="A65">
        <v>2672015</v>
      </c>
      <c r="B65" t="s">
        <v>261</v>
      </c>
      <c r="C65" s="112">
        <f>VLOOKUP(A65,IRData!$A$3:$F$142,6,FALSE)</f>
        <v>13182.6049830683</v>
      </c>
      <c r="D65" s="45">
        <f>C65*Forutsetninger!$C$30</f>
        <v>13947.196072086263</v>
      </c>
      <c r="E65" s="43">
        <f>VLOOKUP($A65,IRData!$A$2:$N$142,7,FALSE)</f>
        <v>3861</v>
      </c>
      <c r="F65" s="43">
        <f>VLOOKUP($A65,IRData!$A$2:$N$142,8,FALSE)</f>
        <v>60790</v>
      </c>
      <c r="G65" s="43">
        <f>VLOOKUP($A65,IRData!$A$2:$N$142,9,FALSE)</f>
        <v>61397.9</v>
      </c>
      <c r="H65" s="43">
        <f>VLOOKUP($A65,IRData!$A$2:$N$142,10,FALSE)</f>
        <v>5672</v>
      </c>
      <c r="I65" s="43">
        <f>VLOOKUP($A65,IRData!$A$2:$N$142,11,FALSE)</f>
        <v>0</v>
      </c>
      <c r="J65" s="45">
        <f>VLOOKUP(A65,IRData!$A$3:$AF$142,32,FALSE)</f>
        <v>1615.0891920567999</v>
      </c>
      <c r="K65" s="45">
        <f>VLOOKUP(A65,IRData!$A$3:$AM$142,37,FALSE)</f>
        <v>0</v>
      </c>
      <c r="L65" s="112">
        <f>VLOOKUP($A65,IRData!$A$2:$N$142,13,FALSE)</f>
        <v>354</v>
      </c>
      <c r="M65" s="44">
        <f>L65*Forutsetninger!$C$24</f>
        <v>373.46999999999997</v>
      </c>
      <c r="N65" s="112">
        <f>VLOOKUP(A65,IRData!$A$3:$E$142,5,FALSE)*Forutsetninger!$C$30</f>
        <v>0</v>
      </c>
      <c r="O65" s="112">
        <f>VLOOKUP(A65,IRData!$A$3:$AG$142,19,FALSE)*Forutsetninger!$C$24</f>
        <v>0</v>
      </c>
      <c r="P65" s="45">
        <f t="shared" si="7"/>
        <v>19796.755264143063</v>
      </c>
      <c r="Q65" s="45">
        <f>D65+E65+J65+K65+M65+G65*Forutsetninger!$B$6+N65</f>
        <v>23554.306744143061</v>
      </c>
      <c r="R65" s="46">
        <f>IFERROR((VLOOKUP(A65,'DEAnorm D-nett'!$A$4:$H$130,8,FALSE)+O65),0)</f>
        <v>21112.726707815847</v>
      </c>
      <c r="S65" s="21">
        <f>IFERROR((VLOOKUP(A65,'DEAnorm R-nett'!$A$4:$H$85,8,FALSE)+N65+K65),N65+K65)</f>
        <v>0</v>
      </c>
      <c r="T65" s="118">
        <f>IFERROR(VLOOKUP(A65,IRData!$A$3:$AN$142,40,FALSE),0)</f>
        <v>0</v>
      </c>
      <c r="U65" s="47">
        <f>(1-Forutsetninger!$B$4)*Q65+(R65+S65+T65)*Forutsetninger!$B$4</f>
        <v>22089.358722346733</v>
      </c>
      <c r="V65" s="41">
        <f>(R65+S65+T65)-G65*($K$156+$K$150)/Forutsetninger!$B$4</f>
        <v>18666.54430661735</v>
      </c>
      <c r="W65" s="296">
        <f>(1-Forutsetninger!$B$4)*Q65+Forutsetninger!$B$4*V65</f>
        <v>20621.649281627637</v>
      </c>
      <c r="X65" s="185">
        <v>20622.831343647395</v>
      </c>
      <c r="Y65" s="198">
        <f t="shared" si="8"/>
        <v>-1.1820620197577227</v>
      </c>
      <c r="Z65" s="197">
        <f t="shared" si="9"/>
        <v>-5.7318124755059015E-5</v>
      </c>
      <c r="AA65" s="185">
        <f t="shared" si="10"/>
        <v>0</v>
      </c>
      <c r="AB65" s="197">
        <f>VLOOKUP(A65,Table1[[idaar]:[Andel SN]],8,FALSE)</f>
        <v>1</v>
      </c>
      <c r="AC65" s="197">
        <f>VLOOKUP(A65,Table1[[idaar]:[Andel SN]],9,FALSE)</f>
        <v>0</v>
      </c>
      <c r="AD65" s="197">
        <f>VLOOKUP(A65,Table1[[idaar]:[Andel SN]],10,FALSE)</f>
        <v>0</v>
      </c>
      <c r="AE65" s="312">
        <f t="shared" si="11"/>
        <v>0</v>
      </c>
      <c r="AF65" s="312">
        <f t="shared" si="12"/>
        <v>0</v>
      </c>
      <c r="AG65" s="312">
        <f t="shared" si="13"/>
        <v>0</v>
      </c>
    </row>
    <row r="66" spans="1:33" x14ac:dyDescent="0.2">
      <c r="A66">
        <v>6132015</v>
      </c>
      <c r="B66" t="s">
        <v>286</v>
      </c>
      <c r="C66" s="112">
        <f>VLOOKUP(A66,IRData!$A$3:$F$142,6,FALSE)</f>
        <v>24511.8757080582</v>
      </c>
      <c r="D66" s="45">
        <f>C66*Forutsetninger!$C$30</f>
        <v>25933.564499125576</v>
      </c>
      <c r="E66" s="43">
        <f>VLOOKUP($A66,IRData!$A$2:$N$142,7,FALSE)</f>
        <v>15143</v>
      </c>
      <c r="F66" s="43">
        <f>VLOOKUP($A66,IRData!$A$2:$N$142,8,FALSE)</f>
        <v>197769</v>
      </c>
      <c r="G66" s="43">
        <f>VLOOKUP($A66,IRData!$A$2:$N$142,9,FALSE)</f>
        <v>199746.69</v>
      </c>
      <c r="H66" s="43">
        <f>VLOOKUP($A66,IRData!$A$2:$N$142,10,FALSE)</f>
        <v>22931</v>
      </c>
      <c r="I66" s="43">
        <f>VLOOKUP($A66,IRData!$A$2:$N$142,11,FALSE)</f>
        <v>0</v>
      </c>
      <c r="J66" s="45">
        <f>VLOOKUP(A66,IRData!$A$3:$AF$142,32,FALSE)</f>
        <v>6657.6322969215998</v>
      </c>
      <c r="K66" s="45">
        <f>VLOOKUP(A66,IRData!$A$3:$AM$142,37,FALSE)</f>
        <v>0</v>
      </c>
      <c r="L66" s="112">
        <f>VLOOKUP($A66,IRData!$A$2:$N$142,13,FALSE)</f>
        <v>2071</v>
      </c>
      <c r="M66" s="44">
        <f>L66*Forutsetninger!$C$24</f>
        <v>2184.9049999999997</v>
      </c>
      <c r="N66" s="112">
        <f>VLOOKUP(A66,IRData!$A$3:$E$142,5,FALSE)*Forutsetninger!$C$30</f>
        <v>0</v>
      </c>
      <c r="O66" s="112">
        <f>VLOOKUP(A66,IRData!$A$3:$AG$142,19,FALSE)*Forutsetninger!$C$24</f>
        <v>0</v>
      </c>
      <c r="P66" s="45">
        <f t="shared" si="7"/>
        <v>49919.101796047173</v>
      </c>
      <c r="Q66" s="45">
        <f>D66+E66+J66+K66+M66+G66*Forutsetninger!$B$6+N66</f>
        <v>62143.599224047168</v>
      </c>
      <c r="R66" s="46">
        <f>IFERROR((VLOOKUP(A66,'DEAnorm D-nett'!$A$4:$H$130,8,FALSE)+O66),0)</f>
        <v>75647.191350781897</v>
      </c>
      <c r="S66" s="21">
        <f>IFERROR((VLOOKUP(A66,'DEAnorm R-nett'!$A$4:$H$85,8,FALSE)+N66+K66),N66+K66)</f>
        <v>0</v>
      </c>
      <c r="T66" s="118">
        <f>IFERROR(VLOOKUP(A66,IRData!$A$3:$AN$142,40,FALSE),0)</f>
        <v>0</v>
      </c>
      <c r="U66" s="47">
        <f>(1-Forutsetninger!$B$4)*Q66+(R66+S66+T66)*Forutsetninger!$B$4</f>
        <v>70245.754500088005</v>
      </c>
      <c r="V66" s="41">
        <f>(R66+S66+T66)-G66*($K$156+$K$150)/Forutsetninger!$B$4</f>
        <v>67688.990210748569</v>
      </c>
      <c r="W66" s="296">
        <f>(1-Forutsetninger!$B$4)*Q66+Forutsetninger!$B$4*V66</f>
        <v>65470.833816068007</v>
      </c>
      <c r="X66" s="185">
        <v>65474.358706716004</v>
      </c>
      <c r="Y66" s="198">
        <f t="shared" si="8"/>
        <v>-3.5248906479973812</v>
      </c>
      <c r="Z66" s="197">
        <f t="shared" si="9"/>
        <v>-5.3836199660796635E-5</v>
      </c>
      <c r="AA66" s="185">
        <f t="shared" si="10"/>
        <v>0</v>
      </c>
      <c r="AB66" s="197">
        <f>VLOOKUP(A66,Table1[[idaar]:[Andel SN]],8,FALSE)</f>
        <v>1</v>
      </c>
      <c r="AC66" s="197">
        <f>VLOOKUP(A66,Table1[[idaar]:[Andel SN]],9,FALSE)</f>
        <v>0</v>
      </c>
      <c r="AD66" s="197">
        <f>VLOOKUP(A66,Table1[[idaar]:[Andel SN]],10,FALSE)</f>
        <v>0</v>
      </c>
      <c r="AE66" s="312">
        <f t="shared" si="11"/>
        <v>0</v>
      </c>
      <c r="AF66" s="312">
        <f t="shared" si="12"/>
        <v>0</v>
      </c>
      <c r="AG66" s="312">
        <f t="shared" si="13"/>
        <v>0</v>
      </c>
    </row>
    <row r="67" spans="1:33" x14ac:dyDescent="0.2">
      <c r="A67">
        <v>1212015</v>
      </c>
      <c r="B67" t="s">
        <v>226</v>
      </c>
      <c r="C67" s="112">
        <f>VLOOKUP(A67,IRData!$A$3:$F$142,6,FALSE)</f>
        <v>1356.4033787902099</v>
      </c>
      <c r="D67" s="45">
        <f>C67*Forutsetninger!$C$30</f>
        <v>1435.0747747600421</v>
      </c>
      <c r="E67" s="43">
        <f>VLOOKUP($A67,IRData!$A$2:$N$142,7,FALSE)</f>
        <v>719</v>
      </c>
      <c r="F67" s="43">
        <f>VLOOKUP($A67,IRData!$A$2:$N$142,8,FALSE)</f>
        <v>11682</v>
      </c>
      <c r="G67" s="43">
        <f>VLOOKUP($A67,IRData!$A$2:$N$142,9,FALSE)</f>
        <v>11798.82</v>
      </c>
      <c r="H67" s="43">
        <f>VLOOKUP($A67,IRData!$A$2:$N$142,10,FALSE)</f>
        <v>2391</v>
      </c>
      <c r="I67" s="43">
        <f>VLOOKUP($A67,IRData!$A$2:$N$142,11,FALSE)</f>
        <v>0</v>
      </c>
      <c r="J67" s="45">
        <f>VLOOKUP(A67,IRData!$A$3:$AF$142,32,FALSE)</f>
        <v>686.01867611400007</v>
      </c>
      <c r="K67" s="45">
        <f>VLOOKUP(A67,IRData!$A$3:$AM$142,37,FALSE)</f>
        <v>0</v>
      </c>
      <c r="L67" s="112">
        <f>VLOOKUP($A67,IRData!$A$2:$N$142,13,FALSE)</f>
        <v>147</v>
      </c>
      <c r="M67" s="44">
        <f>L67*Forutsetninger!$C$24</f>
        <v>155.08499999999998</v>
      </c>
      <c r="N67" s="112">
        <f>VLOOKUP(A67,IRData!$A$3:$E$142,5,FALSE)*Forutsetninger!$C$30</f>
        <v>0</v>
      </c>
      <c r="O67" s="112">
        <f>VLOOKUP(A67,IRData!$A$3:$AG$142,19,FALSE)*Forutsetninger!$C$24</f>
        <v>0</v>
      </c>
      <c r="P67" s="45">
        <f t="shared" ref="P67:P98" si="14">D67+E67+K67+J67+M67+N67</f>
        <v>2995.178450874042</v>
      </c>
      <c r="Q67" s="45">
        <f>D67+E67+J67+K67+M67+G67*Forutsetninger!$B$6+N67</f>
        <v>3717.2662348740419</v>
      </c>
      <c r="R67" s="46">
        <f>IFERROR((VLOOKUP(A67,'DEAnorm D-nett'!$A$4:$H$130,8,FALSE)+O67),0)</f>
        <v>3020.0568183224241</v>
      </c>
      <c r="S67" s="21">
        <f>IFERROR((VLOOKUP(A67,'DEAnorm R-nett'!$A$4:$H$85,8,FALSE)+N67+K67),N67+K67)</f>
        <v>0</v>
      </c>
      <c r="T67" s="118">
        <f>IFERROR(VLOOKUP(A67,IRData!$A$3:$AN$142,40,FALSE),0)</f>
        <v>0</v>
      </c>
      <c r="U67" s="47">
        <f>(1-Forutsetninger!$B$4)*Q67+(R67+S67+T67)*Forutsetninger!$B$4</f>
        <v>3298.9405849430714</v>
      </c>
      <c r="V67" s="41">
        <f>(R67+S67+T67)-G67*($K$156+$K$150)/Forutsetninger!$B$4</f>
        <v>2549.9745217144155</v>
      </c>
      <c r="W67" s="296">
        <f>(1-Forutsetninger!$B$4)*Q67+Forutsetninger!$B$4*V67</f>
        <v>3016.8912069782659</v>
      </c>
      <c r="X67" s="185">
        <v>3017.0436054770198</v>
      </c>
      <c r="Y67" s="198">
        <f t="shared" ref="Y67:Y98" si="15">W67-X67</f>
        <v>-0.15239849875388245</v>
      </c>
      <c r="Z67" s="197">
        <f t="shared" ref="Z67:Z98" si="16">Y67/X67</f>
        <v>-5.0512527719925667E-5</v>
      </c>
      <c r="AA67" s="185">
        <f t="shared" ref="AA67:AA98" si="17">IF(Y67&gt;0,Y67,0)</f>
        <v>0</v>
      </c>
      <c r="AB67" s="197">
        <f>VLOOKUP(A67,Table1[[idaar]:[Andel SN]],8,FALSE)</f>
        <v>1</v>
      </c>
      <c r="AC67" s="197">
        <f>VLOOKUP(A67,Table1[[idaar]:[Andel SN]],9,FALSE)</f>
        <v>0</v>
      </c>
      <c r="AD67" s="197">
        <f>VLOOKUP(A67,Table1[[idaar]:[Andel SN]],10,FALSE)</f>
        <v>0</v>
      </c>
      <c r="AE67" s="312">
        <f t="shared" ref="AE67:AE98" si="18">$AA67*AB67</f>
        <v>0</v>
      </c>
      <c r="AF67" s="312">
        <f t="shared" ref="AF67:AF98" si="19">$AA67*AC67</f>
        <v>0</v>
      </c>
      <c r="AG67" s="312">
        <f t="shared" ref="AG67:AG98" si="20">$AA67*AD67</f>
        <v>0</v>
      </c>
    </row>
    <row r="68" spans="1:33" x14ac:dyDescent="0.2">
      <c r="A68">
        <v>9002015</v>
      </c>
      <c r="B68" t="s">
        <v>142</v>
      </c>
      <c r="C68" s="112">
        <f>VLOOKUP(A68,IRData!$A$3:$F$142,6,FALSE)</f>
        <v>1255</v>
      </c>
      <c r="D68" s="45">
        <f>C68*Forutsetninger!$C$30</f>
        <v>1327.79</v>
      </c>
      <c r="E68" s="43">
        <f>VLOOKUP($A68,IRData!$A$2:$N$142,7,FALSE)</f>
        <v>667</v>
      </c>
      <c r="F68" s="43">
        <f>VLOOKUP($A68,IRData!$A$2:$N$142,8,FALSE)</f>
        <v>8675</v>
      </c>
      <c r="G68" s="43">
        <f>VLOOKUP($A68,IRData!$A$2:$N$142,9,FALSE)</f>
        <v>8761.75</v>
      </c>
      <c r="H68" s="43">
        <f>VLOOKUP($A68,IRData!$A$2:$N$142,10,FALSE)</f>
        <v>0</v>
      </c>
      <c r="I68" s="43">
        <f>VLOOKUP($A68,IRData!$A$2:$N$142,11,FALSE)</f>
        <v>0</v>
      </c>
      <c r="J68" s="45">
        <f>VLOOKUP(A68,IRData!$A$3:$AF$142,32,FALSE)</f>
        <v>0</v>
      </c>
      <c r="K68" s="45">
        <f>VLOOKUP(A68,IRData!$A$3:$AM$142,37,FALSE)</f>
        <v>0</v>
      </c>
      <c r="L68" s="112">
        <f>VLOOKUP($A68,IRData!$A$2:$N$142,13,FALSE)</f>
        <v>0</v>
      </c>
      <c r="M68" s="44">
        <f>L68*Forutsetninger!$C$24</f>
        <v>0</v>
      </c>
      <c r="N68" s="112">
        <f>VLOOKUP(A68,IRData!$A$3:$E$142,5,FALSE)*Forutsetninger!$C$30</f>
        <v>0</v>
      </c>
      <c r="O68" s="112">
        <f>VLOOKUP(A68,IRData!$A$3:$AG$142,19,FALSE)*Forutsetninger!$C$24</f>
        <v>0</v>
      </c>
      <c r="P68" s="45">
        <f t="shared" si="14"/>
        <v>1994.79</v>
      </c>
      <c r="Q68" s="45">
        <f>D68+E68+J68+K68+M68+G68*Forutsetninger!$B$6+N68</f>
        <v>2531.0091000000002</v>
      </c>
      <c r="R68" s="46">
        <f>IFERROR((VLOOKUP(A68,'DEAnorm D-nett'!$A$4:$H$130,8,FALSE)+O68),0)</f>
        <v>0</v>
      </c>
      <c r="S68" s="21">
        <f>IFERROR((VLOOKUP(A68,'DEAnorm R-nett'!$A$4:$H$85,8,FALSE)+N68+K68),N68+K68)</f>
        <v>0</v>
      </c>
      <c r="T68" s="118">
        <f>IFERROR(VLOOKUP(A68,IRData!$A$3:$AN$142,40,FALSE),0)</f>
        <v>2531.0091000000002</v>
      </c>
      <c r="U68" s="47">
        <f>(1-Forutsetninger!$B$4)*Q68+(R68+S68+T68)*Forutsetninger!$B$4</f>
        <v>2531.0091000000002</v>
      </c>
      <c r="V68" s="41">
        <f>(R68+S68+T68)-G68*($K$156+$K$150)/Forutsetninger!$B$4</f>
        <v>2181.9281273005931</v>
      </c>
      <c r="W68" s="296">
        <f>(1-Forutsetninger!$B$4)*Q68+Forutsetninger!$B$4*V68</f>
        <v>2321.5605163803561</v>
      </c>
      <c r="X68" s="185">
        <v>2321.6736957042754</v>
      </c>
      <c r="Y68" s="198">
        <f t="shared" si="15"/>
        <v>-0.11317932391921204</v>
      </c>
      <c r="Z68" s="197">
        <f t="shared" si="16"/>
        <v>-4.8749022797055595E-5</v>
      </c>
      <c r="AA68" s="185">
        <f t="shared" si="17"/>
        <v>0</v>
      </c>
      <c r="AB68" s="197">
        <f>VLOOKUP(A68,Table1[[idaar]:[Andel SN]],8,FALSE)</f>
        <v>0</v>
      </c>
      <c r="AC68" s="197">
        <f>VLOOKUP(A68,Table1[[idaar]:[Andel SN]],9,FALSE)</f>
        <v>0</v>
      </c>
      <c r="AD68" s="197">
        <f>VLOOKUP(A68,Table1[[idaar]:[Andel SN]],10,FALSE)</f>
        <v>1</v>
      </c>
      <c r="AE68" s="312">
        <f t="shared" si="18"/>
        <v>0</v>
      </c>
      <c r="AF68" s="312">
        <f t="shared" si="19"/>
        <v>0</v>
      </c>
      <c r="AG68" s="312">
        <f t="shared" si="20"/>
        <v>0</v>
      </c>
    </row>
    <row r="69" spans="1:33" x14ac:dyDescent="0.2">
      <c r="A69">
        <v>5122015</v>
      </c>
      <c r="B69" s="174" t="s">
        <v>183</v>
      </c>
      <c r="C69" s="112">
        <f>VLOOKUP(A69,IRData!$A$3:$F$142,6,FALSE)</f>
        <v>1635</v>
      </c>
      <c r="D69" s="45">
        <f>C69*Forutsetninger!$C$30</f>
        <v>1729.8300000000002</v>
      </c>
      <c r="E69" s="43">
        <f>VLOOKUP($A69,IRData!$A$2:$N$142,7,FALSE)</f>
        <v>1108</v>
      </c>
      <c r="F69" s="43">
        <f>VLOOKUP($A69,IRData!$A$2:$N$142,8,FALSE)</f>
        <v>12313</v>
      </c>
      <c r="G69" s="43">
        <f>VLOOKUP($A69,IRData!$A$2:$N$142,9,FALSE)</f>
        <v>12436.130000000001</v>
      </c>
      <c r="H69" s="43">
        <f>VLOOKUP($A69,IRData!$A$2:$N$142,10,FALSE)</f>
        <v>0</v>
      </c>
      <c r="I69" s="43">
        <f>VLOOKUP($A69,IRData!$A$2:$N$142,11,FALSE)</f>
        <v>0</v>
      </c>
      <c r="J69" s="45">
        <f>VLOOKUP(A69,IRData!$A$3:$AF$142,32,FALSE)</f>
        <v>0</v>
      </c>
      <c r="K69" s="45">
        <f>VLOOKUP(A69,IRData!$A$3:$AM$142,37,FALSE)</f>
        <v>0</v>
      </c>
      <c r="L69" s="112">
        <f>VLOOKUP($A69,IRData!$A$2:$N$142,13,FALSE)</f>
        <v>0</v>
      </c>
      <c r="M69" s="44">
        <f>L69*Forutsetninger!$C$24</f>
        <v>0</v>
      </c>
      <c r="N69" s="112">
        <f>VLOOKUP(A69,IRData!$A$3:$E$142,5,FALSE)*Forutsetninger!$C$30</f>
        <v>0</v>
      </c>
      <c r="O69" s="112">
        <f>VLOOKUP(A69,IRData!$A$3:$AG$142,19,FALSE)*Forutsetninger!$C$24</f>
        <v>0</v>
      </c>
      <c r="P69" s="45">
        <f t="shared" si="14"/>
        <v>2837.83</v>
      </c>
      <c r="Q69" s="45">
        <f>D69+E69+J69+K69+M69+G69*Forutsetninger!$B$6+N69</f>
        <v>3598.9211559999999</v>
      </c>
      <c r="R69" s="46">
        <f>IFERROR((VLOOKUP(A69,'DEAnorm D-nett'!$A$4:$H$130,8,FALSE)+O69),0)</f>
        <v>1854.2094115191246</v>
      </c>
      <c r="S69" s="21">
        <f>IFERROR((VLOOKUP(A69,'DEAnorm R-nett'!$A$4:$H$85,8,FALSE)+N69+K69),N69+K69)</f>
        <v>1833.3222706030451</v>
      </c>
      <c r="T69" s="118">
        <f>IFERROR(VLOOKUP(A69,IRData!$A$3:$AN$142,40,FALSE),0)</f>
        <v>0</v>
      </c>
      <c r="U69" s="47">
        <f>(1-Forutsetninger!$B$4)*Q69+(R69+S69+T69)*Forutsetninger!$B$4</f>
        <v>3652.0874716733015</v>
      </c>
      <c r="V69" s="41">
        <f>(R69+S69+T69)-G69*($K$156+$K$150)/Forutsetninger!$B$4</f>
        <v>3192.0580202376968</v>
      </c>
      <c r="W69" s="296">
        <f>(1-Forutsetninger!$B$4)*Q69+Forutsetninger!$B$4*V69</f>
        <v>3354.8032745426181</v>
      </c>
      <c r="X69" s="185">
        <v>3354.9638922847016</v>
      </c>
      <c r="Y69" s="198">
        <f t="shared" si="15"/>
        <v>-0.16061774208355928</v>
      </c>
      <c r="Z69" s="197">
        <f t="shared" si="16"/>
        <v>-4.787465595469642E-5</v>
      </c>
      <c r="AA69" s="185">
        <f t="shared" si="17"/>
        <v>0</v>
      </c>
      <c r="AB69" s="197">
        <f>VLOOKUP(A69,Table1[[idaar]:[Andel SN]],8,FALSE)</f>
        <v>0.69538002980625935</v>
      </c>
      <c r="AC69" s="197">
        <f>VLOOKUP(A69,Table1[[idaar]:[Andel SN]],9,FALSE)</f>
        <v>0.30461997019374071</v>
      </c>
      <c r="AD69" s="197">
        <f>VLOOKUP(A69,Table1[[idaar]:[Andel SN]],10,FALSE)</f>
        <v>0</v>
      </c>
      <c r="AE69" s="312">
        <f t="shared" si="18"/>
        <v>0</v>
      </c>
      <c r="AF69" s="312">
        <f t="shared" si="19"/>
        <v>0</v>
      </c>
      <c r="AG69" s="312">
        <f t="shared" si="20"/>
        <v>0</v>
      </c>
    </row>
    <row r="70" spans="1:33" x14ac:dyDescent="0.2">
      <c r="A70">
        <v>1632015</v>
      </c>
      <c r="B70" t="s">
        <v>235</v>
      </c>
      <c r="C70" s="112">
        <f>VLOOKUP(A70,IRData!$A$3:$F$142,6,FALSE)</f>
        <v>15561.9270171233</v>
      </c>
      <c r="D70" s="45">
        <f>C70*Forutsetninger!$C$30</f>
        <v>16464.518784116452</v>
      </c>
      <c r="E70" s="43">
        <f>VLOOKUP($A70,IRData!$A$2:$N$142,7,FALSE)</f>
        <v>5291</v>
      </c>
      <c r="F70" s="43">
        <f>VLOOKUP($A70,IRData!$A$2:$N$142,8,FALSE)</f>
        <v>74715</v>
      </c>
      <c r="G70" s="43">
        <f>VLOOKUP($A70,IRData!$A$2:$N$142,9,FALSE)</f>
        <v>75462.149999999994</v>
      </c>
      <c r="H70" s="43">
        <f>VLOOKUP($A70,IRData!$A$2:$N$142,10,FALSE)</f>
        <v>5531</v>
      </c>
      <c r="I70" s="43">
        <f>VLOOKUP($A70,IRData!$A$2:$N$142,11,FALSE)</f>
        <v>0</v>
      </c>
      <c r="J70" s="45">
        <f>VLOOKUP(A70,IRData!$A$3:$AF$142,32,FALSE)</f>
        <v>1605.8333362815999</v>
      </c>
      <c r="K70" s="45">
        <f>VLOOKUP(A70,IRData!$A$3:$AM$142,37,FALSE)</f>
        <v>0</v>
      </c>
      <c r="L70" s="112">
        <f>VLOOKUP($A70,IRData!$A$2:$N$142,13,FALSE)</f>
        <v>515</v>
      </c>
      <c r="M70" s="44">
        <f>L70*Forutsetninger!$C$24</f>
        <v>543.32499999999993</v>
      </c>
      <c r="N70" s="112">
        <f>VLOOKUP(A70,IRData!$A$3:$E$142,5,FALSE)*Forutsetninger!$C$30</f>
        <v>0</v>
      </c>
      <c r="O70" s="112">
        <f>VLOOKUP(A70,IRData!$A$3:$AG$142,19,FALSE)*Forutsetninger!$C$24</f>
        <v>19.939499999999999</v>
      </c>
      <c r="P70" s="45">
        <f t="shared" si="14"/>
        <v>23904.677120398053</v>
      </c>
      <c r="Q70" s="45">
        <f>D70+E70+J70+K70+M70+G70*Forutsetninger!$B$6+N70</f>
        <v>28522.960700398053</v>
      </c>
      <c r="R70" s="46">
        <f>IFERROR((VLOOKUP(A70,'DEAnorm D-nett'!$A$4:$H$130,8,FALSE)+O70),0)</f>
        <v>24608.90192838943</v>
      </c>
      <c r="S70" s="21">
        <f>IFERROR((VLOOKUP(A70,'DEAnorm R-nett'!$A$4:$H$85,8,FALSE)+N70+K70),N70+K70)</f>
        <v>0</v>
      </c>
      <c r="T70" s="118">
        <f>IFERROR(VLOOKUP(A70,IRData!$A$3:$AN$142,40,FALSE),0)</f>
        <v>0</v>
      </c>
      <c r="U70" s="47">
        <f>(1-Forutsetninger!$B$4)*Q70+(R70+S70+T70)*Forutsetninger!$B$4</f>
        <v>26174.525437192879</v>
      </c>
      <c r="V70" s="41">
        <f>(R70+S70+T70)-G70*($K$156+$K$150)/Forutsetninger!$B$4</f>
        <v>21602.379176200819</v>
      </c>
      <c r="W70" s="296">
        <f>(1-Forutsetninger!$B$4)*Q70+Forutsetninger!$B$4*V70</f>
        <v>24370.611785879712</v>
      </c>
      <c r="X70" s="185">
        <v>24371.767609159899</v>
      </c>
      <c r="Y70" s="198">
        <f t="shared" si="15"/>
        <v>-1.1558232801871782</v>
      </c>
      <c r="Z70" s="197">
        <f t="shared" si="16"/>
        <v>-4.7424680011833564E-5</v>
      </c>
      <c r="AA70" s="185">
        <f t="shared" si="17"/>
        <v>0</v>
      </c>
      <c r="AB70" s="197">
        <f>VLOOKUP(A70,Table1[[idaar]:[Andel SN]],8,FALSE)</f>
        <v>1</v>
      </c>
      <c r="AC70" s="197">
        <f>VLOOKUP(A70,Table1[[idaar]:[Andel SN]],9,FALSE)</f>
        <v>0</v>
      </c>
      <c r="AD70" s="197">
        <f>VLOOKUP(A70,Table1[[idaar]:[Andel SN]],10,FALSE)</f>
        <v>0</v>
      </c>
      <c r="AE70" s="312">
        <f t="shared" si="18"/>
        <v>0</v>
      </c>
      <c r="AF70" s="312">
        <f t="shared" si="19"/>
        <v>0</v>
      </c>
      <c r="AG70" s="312">
        <f t="shared" si="20"/>
        <v>0</v>
      </c>
    </row>
    <row r="71" spans="1:33" x14ac:dyDescent="0.2">
      <c r="A71">
        <v>2482015</v>
      </c>
      <c r="B71" t="s">
        <v>256</v>
      </c>
      <c r="C71" s="112">
        <f>VLOOKUP(A71,IRData!$A$3:$F$142,6,FALSE)</f>
        <v>11605.0843903643</v>
      </c>
      <c r="D71" s="45">
        <f>C71*Forutsetninger!$C$30</f>
        <v>12278.17928500543</v>
      </c>
      <c r="E71" s="43">
        <f>VLOOKUP($A71,IRData!$A$2:$N$142,7,FALSE)</f>
        <v>3062</v>
      </c>
      <c r="F71" s="43">
        <f>VLOOKUP($A71,IRData!$A$2:$N$142,8,FALSE)</f>
        <v>42250</v>
      </c>
      <c r="G71" s="43">
        <f>VLOOKUP($A71,IRData!$A$2:$N$142,9,FALSE)</f>
        <v>42672.5</v>
      </c>
      <c r="H71" s="43">
        <f>VLOOKUP($A71,IRData!$A$2:$N$142,10,FALSE)</f>
        <v>2558</v>
      </c>
      <c r="I71" s="43">
        <f>VLOOKUP($A71,IRData!$A$2:$N$142,11,FALSE)</f>
        <v>0</v>
      </c>
      <c r="J71" s="45">
        <f>VLOOKUP(A71,IRData!$A$3:$AF$142,32,FALSE)</f>
        <v>731.68660527240002</v>
      </c>
      <c r="K71" s="45">
        <f>VLOOKUP(A71,IRData!$A$3:$AM$142,37,FALSE)</f>
        <v>0</v>
      </c>
      <c r="L71" s="112">
        <f>VLOOKUP($A71,IRData!$A$2:$N$142,13,FALSE)</f>
        <v>241</v>
      </c>
      <c r="M71" s="44">
        <f>L71*Forutsetninger!$C$24</f>
        <v>254.255</v>
      </c>
      <c r="N71" s="112">
        <f>VLOOKUP(A71,IRData!$A$3:$E$142,5,FALSE)*Forutsetninger!$C$30</f>
        <v>0</v>
      </c>
      <c r="O71" s="112">
        <f>VLOOKUP(A71,IRData!$A$3:$AG$142,19,FALSE)*Forutsetninger!$C$24</f>
        <v>0</v>
      </c>
      <c r="P71" s="45">
        <f t="shared" si="14"/>
        <v>16326.120890277829</v>
      </c>
      <c r="Q71" s="45">
        <f>D71+E71+J71+K71+M71+G71*Forutsetninger!$B$6+N71</f>
        <v>18937.677890277828</v>
      </c>
      <c r="R71" s="46">
        <f>IFERROR((VLOOKUP(A71,'DEAnorm D-nett'!$A$4:$H$130,8,FALSE)+O71),0)</f>
        <v>15948.333443623198</v>
      </c>
      <c r="S71" s="21">
        <f>IFERROR((VLOOKUP(A71,'DEAnorm R-nett'!$A$4:$H$85,8,FALSE)+N71+K71),N71+K71)</f>
        <v>0</v>
      </c>
      <c r="T71" s="118">
        <f>IFERROR(VLOOKUP(A71,IRData!$A$3:$AN$142,40,FALSE),0)</f>
        <v>0</v>
      </c>
      <c r="U71" s="47">
        <f>(1-Forutsetninger!$B$4)*Q71+(R71+S71+T71)*Forutsetninger!$B$4</f>
        <v>17144.071222285049</v>
      </c>
      <c r="V71" s="41">
        <f>(R71+S71+T71)-G71*($K$156+$K$150)/Forutsetninger!$B$4</f>
        <v>14248.198446902741</v>
      </c>
      <c r="W71" s="296">
        <f>(1-Forutsetninger!$B$4)*Q71+Forutsetninger!$B$4*V71</f>
        <v>16123.990224252775</v>
      </c>
      <c r="X71" s="185">
        <v>16124.751245119587</v>
      </c>
      <c r="Y71" s="198">
        <f t="shared" si="15"/>
        <v>-0.76102086681203218</v>
      </c>
      <c r="Z71" s="197">
        <f t="shared" si="16"/>
        <v>-4.7195820589317136E-5</v>
      </c>
      <c r="AA71" s="185">
        <f t="shared" si="17"/>
        <v>0</v>
      </c>
      <c r="AB71" s="197">
        <f>VLOOKUP(A71,Table1[[idaar]:[Andel SN]],8,FALSE)</f>
        <v>1</v>
      </c>
      <c r="AC71" s="197">
        <f>VLOOKUP(A71,Table1[[idaar]:[Andel SN]],9,FALSE)</f>
        <v>0</v>
      </c>
      <c r="AD71" s="197">
        <f>VLOOKUP(A71,Table1[[idaar]:[Andel SN]],10,FALSE)</f>
        <v>0</v>
      </c>
      <c r="AE71" s="312">
        <f t="shared" si="18"/>
        <v>0</v>
      </c>
      <c r="AF71" s="312">
        <f t="shared" si="19"/>
        <v>0</v>
      </c>
      <c r="AG71" s="312">
        <f t="shared" si="20"/>
        <v>0</v>
      </c>
    </row>
    <row r="72" spans="1:33" x14ac:dyDescent="0.2">
      <c r="A72">
        <v>1082015</v>
      </c>
      <c r="B72" t="s">
        <v>187</v>
      </c>
      <c r="C72" s="112">
        <f>VLOOKUP(A72,IRData!$A$3:$F$142,6,FALSE)</f>
        <v>1431.81451754561</v>
      </c>
      <c r="D72" s="45">
        <f>C72*Forutsetninger!$C$30</f>
        <v>1514.8597595632555</v>
      </c>
      <c r="E72" s="43">
        <f>VLOOKUP($A72,IRData!$A$2:$N$142,7,FALSE)</f>
        <v>762</v>
      </c>
      <c r="F72" s="43">
        <f>VLOOKUP($A72,IRData!$A$2:$N$142,8,FALSE)</f>
        <v>12817</v>
      </c>
      <c r="G72" s="43">
        <f>VLOOKUP($A72,IRData!$A$2:$N$142,9,FALSE)</f>
        <v>12945.17</v>
      </c>
      <c r="H72" s="43">
        <f>VLOOKUP($A72,IRData!$A$2:$N$142,10,FALSE)</f>
        <v>4135</v>
      </c>
      <c r="I72" s="43">
        <f>VLOOKUP($A72,IRData!$A$2:$N$142,11,FALSE)</f>
        <v>0</v>
      </c>
      <c r="J72" s="45">
        <f>VLOOKUP(A72,IRData!$A$3:$AF$142,32,FALSE)</f>
        <v>1177.5673389685001</v>
      </c>
      <c r="K72" s="45">
        <f>VLOOKUP(A72,IRData!$A$3:$AM$142,37,FALSE)</f>
        <v>0</v>
      </c>
      <c r="L72" s="112">
        <f>VLOOKUP($A72,IRData!$A$2:$N$142,13,FALSE)</f>
        <v>0</v>
      </c>
      <c r="M72" s="44">
        <f>L72*Forutsetninger!$C$24</f>
        <v>0</v>
      </c>
      <c r="N72" s="112">
        <f>VLOOKUP(A72,IRData!$A$3:$E$142,5,FALSE)*Forutsetninger!$C$30</f>
        <v>0</v>
      </c>
      <c r="O72" s="112">
        <f>VLOOKUP(A72,IRData!$A$3:$AG$142,19,FALSE)*Forutsetninger!$C$24</f>
        <v>0</v>
      </c>
      <c r="P72" s="45">
        <f t="shared" si="14"/>
        <v>3454.4270985317553</v>
      </c>
      <c r="Q72" s="45">
        <f>D72+E72+J72+K72+M72+G72*Forutsetninger!$B$6+N72</f>
        <v>4246.6715025317553</v>
      </c>
      <c r="R72" s="46">
        <f>IFERROR((VLOOKUP(A72,'DEAnorm D-nett'!$A$4:$H$130,8,FALSE)+O72),0)</f>
        <v>4102.8103373685708</v>
      </c>
      <c r="S72" s="21">
        <f>IFERROR((VLOOKUP(A72,'DEAnorm R-nett'!$A$4:$H$85,8,FALSE)+N72+K72),N72+K72)</f>
        <v>0</v>
      </c>
      <c r="T72" s="118">
        <f>IFERROR(VLOOKUP(A72,IRData!$A$3:$AN$142,40,FALSE),0)</f>
        <v>0</v>
      </c>
      <c r="U72" s="47">
        <f>(1-Forutsetninger!$B$4)*Q72+(R72+S72+T72)*Forutsetninger!$B$4</f>
        <v>4160.3548034338446</v>
      </c>
      <c r="V72" s="41">
        <f>(R72+S72+T72)-G72*($K$156+$K$150)/Forutsetninger!$B$4</f>
        <v>3587.0557751681899</v>
      </c>
      <c r="W72" s="296">
        <f>(1-Forutsetninger!$B$4)*Q72+Forutsetninger!$B$4*V72</f>
        <v>3850.902066113616</v>
      </c>
      <c r="X72" s="185">
        <v>3851.0693775196987</v>
      </c>
      <c r="Y72" s="198">
        <f t="shared" si="15"/>
        <v>-0.16731140608271744</v>
      </c>
      <c r="Z72" s="197">
        <f t="shared" si="16"/>
        <v>-4.3445440650688879E-5</v>
      </c>
      <c r="AA72" s="185">
        <f t="shared" si="17"/>
        <v>0</v>
      </c>
      <c r="AB72" s="200">
        <v>0.70460449561238636</v>
      </c>
      <c r="AC72" s="200">
        <v>0.29539550438761369</v>
      </c>
      <c r="AD72" s="200">
        <v>0</v>
      </c>
      <c r="AE72" s="312">
        <f t="shared" si="18"/>
        <v>0</v>
      </c>
      <c r="AF72" s="312">
        <f t="shared" si="19"/>
        <v>0</v>
      </c>
      <c r="AG72" s="312">
        <f t="shared" si="20"/>
        <v>0</v>
      </c>
    </row>
    <row r="73" spans="1:33" x14ac:dyDescent="0.2">
      <c r="A73">
        <v>1562015</v>
      </c>
      <c r="B73" t="s">
        <v>169</v>
      </c>
      <c r="C73" s="112">
        <f>VLOOKUP(A73,IRData!$A$3:$F$142,6,FALSE)</f>
        <v>168.79037085859201</v>
      </c>
      <c r="D73" s="45">
        <f>C73*Forutsetninger!$C$30</f>
        <v>178.58021236839036</v>
      </c>
      <c r="E73" s="43">
        <f>VLOOKUP($A73,IRData!$A$2:$N$142,7,FALSE)</f>
        <v>251</v>
      </c>
      <c r="F73" s="43">
        <f>VLOOKUP($A73,IRData!$A$2:$N$142,8,FALSE)</f>
        <v>1385</v>
      </c>
      <c r="G73" s="43">
        <f>VLOOKUP($A73,IRData!$A$2:$N$142,9,FALSE)</f>
        <v>1398.85</v>
      </c>
      <c r="H73" s="43">
        <f>VLOOKUP($A73,IRData!$A$2:$N$142,10,FALSE)</f>
        <v>0</v>
      </c>
      <c r="I73" s="43">
        <f>VLOOKUP($A73,IRData!$A$2:$N$142,11,FALSE)</f>
        <v>0</v>
      </c>
      <c r="J73" s="45">
        <f>VLOOKUP(A73,IRData!$A$3:$AF$142,32,FALSE)</f>
        <v>0</v>
      </c>
      <c r="K73" s="45">
        <f>VLOOKUP(A73,IRData!$A$3:$AM$142,37,FALSE)</f>
        <v>0</v>
      </c>
      <c r="L73" s="112">
        <f>VLOOKUP($A73,IRData!$A$2:$N$142,13,FALSE)</f>
        <v>0</v>
      </c>
      <c r="M73" s="44">
        <f>L73*Forutsetninger!$C$24</f>
        <v>0</v>
      </c>
      <c r="N73" s="112">
        <f>VLOOKUP(A73,IRData!$A$3:$E$142,5,FALSE)*Forutsetninger!$C$30</f>
        <v>0</v>
      </c>
      <c r="O73" s="112">
        <f>VLOOKUP(A73,IRData!$A$3:$AG$142,19,FALSE)*Forutsetninger!$C$24</f>
        <v>0</v>
      </c>
      <c r="P73" s="45">
        <f t="shared" si="14"/>
        <v>429.58021236839033</v>
      </c>
      <c r="Q73" s="45">
        <f>D73+E73+J73+K73+M73+G73*Forutsetninger!$B$6+N73</f>
        <v>515.18983236839028</v>
      </c>
      <c r="R73" s="46">
        <f>IFERROR((VLOOKUP(A73,'DEAnorm D-nett'!$A$4:$H$130,8,FALSE)+O73),0)</f>
        <v>0</v>
      </c>
      <c r="S73" s="21">
        <f>IFERROR((VLOOKUP(A73,'DEAnorm R-nett'!$A$4:$H$85,8,FALSE)+N73+K73),N73+K73)</f>
        <v>564.74280935331092</v>
      </c>
      <c r="T73" s="118">
        <f>IFERROR(VLOOKUP(A73,IRData!$A$3:$AN$142,40,FALSE),0)</f>
        <v>0</v>
      </c>
      <c r="U73" s="47">
        <f>(1-Forutsetninger!$B$4)*Q73+(R73+S73+T73)*Forutsetninger!$B$4</f>
        <v>544.92161855934273</v>
      </c>
      <c r="V73" s="41">
        <f>(R73+S73+T73)-G73*($K$156+$K$150)/Forutsetninger!$B$4</f>
        <v>509.01057336614332</v>
      </c>
      <c r="W73" s="296">
        <f>(1-Forutsetninger!$B$4)*Q73+Forutsetninger!$B$4*V73</f>
        <v>511.48227696704214</v>
      </c>
      <c r="X73" s="185">
        <v>511.50033932777455</v>
      </c>
      <c r="Y73" s="198">
        <f t="shared" si="15"/>
        <v>-1.8062360732415073E-2</v>
      </c>
      <c r="Z73" s="197">
        <f t="shared" si="16"/>
        <v>-3.531250977497501E-5</v>
      </c>
      <c r="AA73" s="185">
        <f t="shared" si="17"/>
        <v>0</v>
      </c>
      <c r="AB73" s="197">
        <f>VLOOKUP(A73,Table1[[idaar]:[Andel SN]],8,FALSE)</f>
        <v>0</v>
      </c>
      <c r="AC73" s="197">
        <f>VLOOKUP(A73,Table1[[idaar]:[Andel SN]],9,FALSE)</f>
        <v>1</v>
      </c>
      <c r="AD73" s="197">
        <f>VLOOKUP(A73,Table1[[idaar]:[Andel SN]],10,FALSE)</f>
        <v>0</v>
      </c>
      <c r="AE73" s="312">
        <f t="shared" si="18"/>
        <v>0</v>
      </c>
      <c r="AF73" s="312">
        <f t="shared" si="19"/>
        <v>0</v>
      </c>
      <c r="AG73" s="312">
        <f t="shared" si="20"/>
        <v>0</v>
      </c>
    </row>
    <row r="74" spans="1:33" x14ac:dyDescent="0.2">
      <c r="A74">
        <v>2222015</v>
      </c>
      <c r="B74" t="s">
        <v>175</v>
      </c>
      <c r="C74" s="112">
        <f>VLOOKUP(A74,IRData!$A$3:$F$142,6,FALSE)</f>
        <v>564</v>
      </c>
      <c r="D74" s="45">
        <f>C74*Forutsetninger!$C$30</f>
        <v>596.71199999999999</v>
      </c>
      <c r="E74" s="43">
        <f>VLOOKUP($A74,IRData!$A$2:$N$142,7,FALSE)</f>
        <v>450</v>
      </c>
      <c r="F74" s="43">
        <f>VLOOKUP($A74,IRData!$A$2:$N$142,8,FALSE)</f>
        <v>3962</v>
      </c>
      <c r="G74" s="43">
        <f>VLOOKUP($A74,IRData!$A$2:$N$142,9,FALSE)</f>
        <v>4001.62</v>
      </c>
      <c r="H74" s="43">
        <f>VLOOKUP($A74,IRData!$A$2:$N$142,10,FALSE)</f>
        <v>268</v>
      </c>
      <c r="I74" s="43">
        <f>VLOOKUP($A74,IRData!$A$2:$N$142,11,FALSE)</f>
        <v>998</v>
      </c>
      <c r="J74" s="45">
        <f>VLOOKUP(A74,IRData!$A$3:$AF$142,32,FALSE)</f>
        <v>76.32117215080001</v>
      </c>
      <c r="K74" s="45">
        <f>VLOOKUP(A74,IRData!$A$3:$AM$142,37,FALSE)</f>
        <v>284.21093211380003</v>
      </c>
      <c r="L74" s="112">
        <f>VLOOKUP($A74,IRData!$A$2:$N$142,13,FALSE)</f>
        <v>0</v>
      </c>
      <c r="M74" s="44">
        <f>L74*Forutsetninger!$C$24</f>
        <v>0</v>
      </c>
      <c r="N74" s="112">
        <f>VLOOKUP(A74,IRData!$A$3:$E$142,5,FALSE)*Forutsetninger!$C$30</f>
        <v>0</v>
      </c>
      <c r="O74" s="112">
        <f>VLOOKUP(A74,IRData!$A$3:$AG$142,19,FALSE)*Forutsetninger!$C$24</f>
        <v>0</v>
      </c>
      <c r="P74" s="45">
        <f t="shared" si="14"/>
        <v>1407.2441042646001</v>
      </c>
      <c r="Q74" s="45">
        <f>D74+E74+J74+K74+M74+G74*Forutsetninger!$B$6+N74</f>
        <v>1652.1432482646001</v>
      </c>
      <c r="R74" s="46">
        <f>IFERROR((VLOOKUP(A74,'DEAnorm D-nett'!$A$4:$H$130,8,FALSE)+O74),0)</f>
        <v>964.83699437171367</v>
      </c>
      <c r="S74" s="21">
        <f>IFERROR((VLOOKUP(A74,'DEAnorm R-nett'!$A$4:$H$85,8,FALSE)+N74+K74),N74+K74)</f>
        <v>711.79749400732112</v>
      </c>
      <c r="T74" s="118">
        <f>IFERROR(VLOOKUP(A74,IRData!$A$3:$AN$142,40,FALSE),0)</f>
        <v>0</v>
      </c>
      <c r="U74" s="47">
        <f>(1-Forutsetninger!$B$4)*Q74+(R74+S74+T74)*Forutsetninger!$B$4</f>
        <v>1666.8379923332609</v>
      </c>
      <c r="V74" s="41">
        <f>(R74+S74+T74)-G74*($K$156+$K$150)/Forutsetninger!$B$4</f>
        <v>1517.2040775623141</v>
      </c>
      <c r="W74" s="296">
        <f>(1-Forutsetninger!$B$4)*Q74+Forutsetninger!$B$4*V74</f>
        <v>1571.1797458432284</v>
      </c>
      <c r="X74" s="185">
        <v>1571.2314719968992</v>
      </c>
      <c r="Y74" s="198">
        <f t="shared" si="15"/>
        <v>-5.172615367087019E-2</v>
      </c>
      <c r="Z74" s="197">
        <f t="shared" si="16"/>
        <v>-3.2920772395890672E-5</v>
      </c>
      <c r="AA74" s="185">
        <f t="shared" si="17"/>
        <v>0</v>
      </c>
      <c r="AB74" s="197">
        <f>VLOOKUP(A74,Table1[[idaar]:[Andel SN]],8,FALSE)</f>
        <v>0.59388924252068742</v>
      </c>
      <c r="AC74" s="197">
        <f>VLOOKUP(A74,Table1[[idaar]:[Andel SN]],9,FALSE)</f>
        <v>0.40611075747931252</v>
      </c>
      <c r="AD74" s="197">
        <f>VLOOKUP(A74,Table1[[idaar]:[Andel SN]],10,FALSE)</f>
        <v>0</v>
      </c>
      <c r="AE74" s="312">
        <f t="shared" si="18"/>
        <v>0</v>
      </c>
      <c r="AF74" s="312">
        <f t="shared" si="19"/>
        <v>0</v>
      </c>
      <c r="AG74" s="312">
        <f t="shared" si="20"/>
        <v>0</v>
      </c>
    </row>
    <row r="75" spans="1:33" x14ac:dyDescent="0.2">
      <c r="A75">
        <v>1522015</v>
      </c>
      <c r="B75" t="s">
        <v>232</v>
      </c>
      <c r="C75" s="112">
        <f>VLOOKUP(A75,IRData!$A$3:$F$142,6,FALSE)</f>
        <v>833</v>
      </c>
      <c r="D75" s="45">
        <f>C75*Forutsetninger!$C$30</f>
        <v>881.31400000000008</v>
      </c>
      <c r="E75" s="43">
        <f>VLOOKUP($A75,IRData!$A$2:$N$142,7,FALSE)</f>
        <v>265</v>
      </c>
      <c r="F75" s="43">
        <f>VLOOKUP($A75,IRData!$A$2:$N$142,8,FALSE)</f>
        <v>3168</v>
      </c>
      <c r="G75" s="43">
        <f>VLOOKUP($A75,IRData!$A$2:$N$142,9,FALSE)</f>
        <v>3199.68</v>
      </c>
      <c r="H75" s="43">
        <f>VLOOKUP($A75,IRData!$A$2:$N$142,10,FALSE)</f>
        <v>0</v>
      </c>
      <c r="I75" s="43">
        <f>VLOOKUP($A75,IRData!$A$2:$N$142,11,FALSE)</f>
        <v>0</v>
      </c>
      <c r="J75" s="45">
        <f>VLOOKUP(A75,IRData!$A$3:$AF$142,32,FALSE)</f>
        <v>0</v>
      </c>
      <c r="K75" s="45">
        <f>VLOOKUP(A75,IRData!$A$3:$AM$142,37,FALSE)</f>
        <v>0</v>
      </c>
      <c r="L75" s="112">
        <f>VLOOKUP($A75,IRData!$A$2:$N$142,13,FALSE)</f>
        <v>0</v>
      </c>
      <c r="M75" s="44">
        <f>L75*Forutsetninger!$C$24</f>
        <v>0</v>
      </c>
      <c r="N75" s="112">
        <f>VLOOKUP(A75,IRData!$A$3:$E$142,5,FALSE)*Forutsetninger!$C$30</f>
        <v>0</v>
      </c>
      <c r="O75" s="112">
        <f>VLOOKUP(A75,IRData!$A$3:$AG$142,19,FALSE)*Forutsetninger!$C$24</f>
        <v>0</v>
      </c>
      <c r="P75" s="45">
        <f t="shared" si="14"/>
        <v>1146.3140000000001</v>
      </c>
      <c r="Q75" s="45">
        <f>D75+E75+J75+K75+M75+G75*Forutsetninger!$B$6+N75</f>
        <v>1342.1344160000001</v>
      </c>
      <c r="R75" s="46">
        <f>IFERROR((VLOOKUP(A75,'DEAnorm D-nett'!$A$4:$H$130,8,FALSE)+O75),0)</f>
        <v>0</v>
      </c>
      <c r="S75" s="21">
        <f>IFERROR((VLOOKUP(A75,'DEAnorm R-nett'!$A$4:$H$85,8,FALSE)+N75+K75),N75+K75)</f>
        <v>1342.1344160000001</v>
      </c>
      <c r="T75" s="118">
        <f>IFERROR(VLOOKUP(A75,IRData!$A$3:$AN$142,40,FALSE),0)</f>
        <v>0</v>
      </c>
      <c r="U75" s="47">
        <f>(1-Forutsetninger!$B$4)*Q75+(R75+S75+T75)*Forutsetninger!$B$4</f>
        <v>1342.1344160000001</v>
      </c>
      <c r="V75" s="41">
        <f>(R75+S75+T75)-G75*($K$156+$K$150)/Forutsetninger!$B$4</f>
        <v>1214.6544711571503</v>
      </c>
      <c r="W75" s="296">
        <f>(1-Forutsetninger!$B$4)*Q75+Forutsetninger!$B$4*V75</f>
        <v>1265.6464490942903</v>
      </c>
      <c r="X75" s="185">
        <v>1265.6877807482588</v>
      </c>
      <c r="Y75" s="198">
        <f t="shared" si="15"/>
        <v>-4.1331653968427418E-2</v>
      </c>
      <c r="Z75" s="197">
        <f t="shared" si="16"/>
        <v>-3.265548944779467E-5</v>
      </c>
      <c r="AA75" s="185">
        <f t="shared" si="17"/>
        <v>0</v>
      </c>
      <c r="AB75" s="200">
        <v>0.86529673575797228</v>
      </c>
      <c r="AC75" s="200">
        <v>0.13470326424202775</v>
      </c>
      <c r="AD75" s="200">
        <v>0</v>
      </c>
      <c r="AE75" s="312">
        <f t="shared" si="18"/>
        <v>0</v>
      </c>
      <c r="AF75" s="312">
        <f t="shared" si="19"/>
        <v>0</v>
      </c>
      <c r="AG75" s="312">
        <f t="shared" si="20"/>
        <v>0</v>
      </c>
    </row>
    <row r="76" spans="1:33" x14ac:dyDescent="0.2">
      <c r="A76">
        <v>4472015</v>
      </c>
      <c r="B76" t="s">
        <v>181</v>
      </c>
      <c r="C76" s="112">
        <f>VLOOKUP(A76,IRData!$A$3:$F$142,6,FALSE)</f>
        <v>23566.13867855581</v>
      </c>
      <c r="D76" s="45">
        <f>C76*Forutsetninger!$C$30</f>
        <v>24932.974721912047</v>
      </c>
      <c r="E76" s="43">
        <f>VLOOKUP($A76,IRData!$A$2:$N$142,7,FALSE)</f>
        <v>12642</v>
      </c>
      <c r="F76" s="43">
        <f>VLOOKUP($A76,IRData!$A$2:$N$142,8,FALSE)</f>
        <v>99164</v>
      </c>
      <c r="G76" s="43">
        <f>VLOOKUP($A76,IRData!$A$2:$N$142,9,FALSE)</f>
        <v>100155.64</v>
      </c>
      <c r="H76" s="43">
        <f>VLOOKUP($A76,IRData!$A$2:$N$142,10,FALSE)</f>
        <v>0</v>
      </c>
      <c r="I76" s="43">
        <f>VLOOKUP($A76,IRData!$A$2:$N$142,11,FALSE)</f>
        <v>2019</v>
      </c>
      <c r="J76" s="45">
        <f>VLOOKUP(A76,IRData!$A$3:$AF$142,32,FALSE)</f>
        <v>0</v>
      </c>
      <c r="K76" s="45">
        <f>VLOOKUP(A76,IRData!$A$3:$AM$142,37,FALSE)</f>
        <v>574.90569089610005</v>
      </c>
      <c r="L76" s="112">
        <f>VLOOKUP($A76,IRData!$A$2:$N$142,13,FALSE)</f>
        <v>0</v>
      </c>
      <c r="M76" s="44">
        <f>L76*Forutsetninger!$C$24</f>
        <v>0</v>
      </c>
      <c r="N76" s="112">
        <f>VLOOKUP(A76,IRData!$A$3:$E$142,5,FALSE)*Forutsetninger!$C$30</f>
        <v>0</v>
      </c>
      <c r="O76" s="112">
        <f>VLOOKUP(A76,IRData!$A$3:$AG$142,19,FALSE)*Forutsetninger!$C$24</f>
        <v>0</v>
      </c>
      <c r="P76" s="45">
        <f t="shared" si="14"/>
        <v>38149.880412808147</v>
      </c>
      <c r="Q76" s="45">
        <f>D76+E76+J76+K76+M76+G76*Forutsetninger!$B$6+N76</f>
        <v>44279.405580808147</v>
      </c>
      <c r="R76" s="46">
        <f>IFERROR((VLOOKUP(A76,'DEAnorm D-nett'!$A$4:$H$130,8,FALSE)+O76),0)</f>
        <v>0</v>
      </c>
      <c r="S76" s="21">
        <f>IFERROR((VLOOKUP(A76,'DEAnorm R-nett'!$A$4:$H$85,8,FALSE)+N76+K76),N76+K76)</f>
        <v>6240.4670479729803</v>
      </c>
      <c r="T76" s="118">
        <f>IFERROR(VLOOKUP(A76,IRData!$A$3:$AN$142,40,FALSE),0)</f>
        <v>37680.866530996209</v>
      </c>
      <c r="U76" s="47">
        <f>(1-Forutsetninger!$B$4)*Q76+(R76+S76+T76)*Forutsetninger!$B$4</f>
        <v>44064.562379704774</v>
      </c>
      <c r="V76" s="41">
        <f>(R76+S76+T76)-G76*($K$156+$K$150)/Forutsetninger!$B$4</f>
        <v>39930.985962051149</v>
      </c>
      <c r="W76" s="296">
        <f>(1-Forutsetninger!$B$4)*Q76+Forutsetninger!$B$4*V76</f>
        <v>41670.353809553948</v>
      </c>
      <c r="X76" s="185">
        <v>41671.647718559507</v>
      </c>
      <c r="Y76" s="198">
        <f t="shared" si="15"/>
        <v>-1.2939090055588167</v>
      </c>
      <c r="Z76" s="197">
        <f t="shared" si="16"/>
        <v>-3.1050104241079529E-5</v>
      </c>
      <c r="AA76" s="185">
        <f t="shared" si="17"/>
        <v>0</v>
      </c>
      <c r="AB76" s="197">
        <f>VLOOKUP(A76,Table1[[idaar]:[Andel SN]],8,FALSE)</f>
        <v>0</v>
      </c>
      <c r="AC76" s="197">
        <f>VLOOKUP(A76,Table1[[idaar]:[Andel SN]],9,FALSE)</f>
        <v>0.14866097139566137</v>
      </c>
      <c r="AD76" s="197">
        <f>VLOOKUP(A76,Table1[[idaar]:[Andel SN]],10,FALSE)</f>
        <v>0.85133902860433863</v>
      </c>
      <c r="AE76" s="312">
        <f t="shared" si="18"/>
        <v>0</v>
      </c>
      <c r="AF76" s="312">
        <f t="shared" si="19"/>
        <v>0</v>
      </c>
      <c r="AG76" s="312">
        <f t="shared" si="20"/>
        <v>0</v>
      </c>
    </row>
    <row r="77" spans="1:33" x14ac:dyDescent="0.2">
      <c r="A77">
        <v>862015</v>
      </c>
      <c r="B77" t="s">
        <v>215</v>
      </c>
      <c r="C77" s="112">
        <f>VLOOKUP(A77,IRData!$A$3:$F$142,6,FALSE)</f>
        <v>71621.64197815198</v>
      </c>
      <c r="D77" s="45">
        <f>C77*Forutsetninger!$C$30</f>
        <v>75775.697212884799</v>
      </c>
      <c r="E77" s="43">
        <f>VLOOKUP($A77,IRData!$A$2:$N$142,7,FALSE)</f>
        <v>32623</v>
      </c>
      <c r="F77" s="43">
        <f>VLOOKUP($A77,IRData!$A$2:$N$142,8,FALSE)</f>
        <v>499456</v>
      </c>
      <c r="G77" s="43">
        <f>VLOOKUP($A77,IRData!$A$2:$N$142,9,FALSE)</f>
        <v>504450.56</v>
      </c>
      <c r="H77" s="43">
        <f>VLOOKUP($A77,IRData!$A$2:$N$142,10,FALSE)</f>
        <v>30417</v>
      </c>
      <c r="I77" s="43">
        <f>VLOOKUP($A77,IRData!$A$2:$N$142,11,FALSE)</f>
        <v>14343</v>
      </c>
      <c r="J77" s="45">
        <f>VLOOKUP(A77,IRData!$A$3:$AF$142,32,FALSE)</f>
        <v>8831.0671830911997</v>
      </c>
      <c r="K77" s="45">
        <f>VLOOKUP(A77,IRData!$A$3:$AM$142,37,FALSE)</f>
        <v>4164.2501432447998</v>
      </c>
      <c r="L77" s="112">
        <f>VLOOKUP($A77,IRData!$A$2:$N$142,13,FALSE)</f>
        <v>5780</v>
      </c>
      <c r="M77" s="44">
        <f>L77*Forutsetninger!$C$24</f>
        <v>6097.9</v>
      </c>
      <c r="N77" s="112">
        <f>VLOOKUP(A77,IRData!$A$3:$E$142,5,FALSE)*Forutsetninger!$C$30</f>
        <v>253.92000000000002</v>
      </c>
      <c r="O77" s="112">
        <f>VLOOKUP(A77,IRData!$A$3:$AG$142,19,FALSE)*Forutsetninger!$C$24</f>
        <v>0</v>
      </c>
      <c r="P77" s="45">
        <f t="shared" si="14"/>
        <v>127745.8345392208</v>
      </c>
      <c r="Q77" s="45">
        <f>D77+E77+J77+K77+M77+G77*Forutsetninger!$B$6+N77</f>
        <v>158618.2088112208</v>
      </c>
      <c r="R77" s="46">
        <f>IFERROR((VLOOKUP(A77,'DEAnorm D-nett'!$A$4:$H$130,8,FALSE)+O77),0)</f>
        <v>132548.08389997791</v>
      </c>
      <c r="S77" s="21">
        <f>IFERROR((VLOOKUP(A77,'DEAnorm R-nett'!$A$4:$H$85,8,FALSE)+N77+K77),N77+K77)</f>
        <v>26127.6638741639</v>
      </c>
      <c r="T77" s="118">
        <f>IFERROR(VLOOKUP(A77,IRData!$A$3:$AN$142,40,FALSE),0)</f>
        <v>0</v>
      </c>
      <c r="U77" s="47">
        <f>(1-Forutsetninger!$B$4)*Q77+(R77+S77+T77)*Forutsetninger!$B$4</f>
        <v>158652.7321889734</v>
      </c>
      <c r="V77" s="41">
        <f>(R77+S77+T77)-G77*($K$156+$K$150)/Forutsetninger!$B$4</f>
        <v>138577.69748012969</v>
      </c>
      <c r="W77" s="296">
        <f>(1-Forutsetninger!$B$4)*Q77+Forutsetninger!$B$4*V77</f>
        <v>146593.90201256613</v>
      </c>
      <c r="X77" s="185">
        <v>146598.23351105556</v>
      </c>
      <c r="Y77" s="198">
        <f t="shared" si="15"/>
        <v>-4.3314984894241206</v>
      </c>
      <c r="Z77" s="197">
        <f t="shared" si="16"/>
        <v>-2.9546730446090029E-5</v>
      </c>
      <c r="AA77" s="185">
        <f t="shared" si="17"/>
        <v>0</v>
      </c>
      <c r="AB77" s="197">
        <f>VLOOKUP(A77,Table1[[idaar]:[Andel SN]],8,FALSE)</f>
        <v>0.84372228816218497</v>
      </c>
      <c r="AC77" s="197">
        <f>VLOOKUP(A77,Table1[[idaar]:[Andel SN]],9,FALSE)</f>
        <v>0.15627771183781497</v>
      </c>
      <c r="AD77" s="197">
        <f>VLOOKUP(A77,Table1[[idaar]:[Andel SN]],10,FALSE)</f>
        <v>0</v>
      </c>
      <c r="AE77" s="312">
        <f t="shared" si="18"/>
        <v>0</v>
      </c>
      <c r="AF77" s="312">
        <f t="shared" si="19"/>
        <v>0</v>
      </c>
      <c r="AG77" s="312">
        <f t="shared" si="20"/>
        <v>0</v>
      </c>
    </row>
    <row r="78" spans="1:33" x14ac:dyDescent="0.2">
      <c r="A78">
        <v>1532015</v>
      </c>
      <c r="B78" t="s">
        <v>233</v>
      </c>
      <c r="C78" s="112">
        <f>VLOOKUP(A78,IRData!$A$3:$F$142,6,FALSE)</f>
        <v>15568.8088815337</v>
      </c>
      <c r="D78" s="45">
        <f>C78*Forutsetninger!$C$30</f>
        <v>16471.799796662654</v>
      </c>
      <c r="E78" s="43">
        <f>VLOOKUP($A78,IRData!$A$2:$N$142,7,FALSE)</f>
        <v>8531</v>
      </c>
      <c r="F78" s="43">
        <f>VLOOKUP($A78,IRData!$A$2:$N$142,8,FALSE)</f>
        <v>112778</v>
      </c>
      <c r="G78" s="43">
        <f>VLOOKUP($A78,IRData!$A$2:$N$142,9,FALSE)</f>
        <v>113905.78</v>
      </c>
      <c r="H78" s="43">
        <f>VLOOKUP($A78,IRData!$A$2:$N$142,10,FALSE)</f>
        <v>8762</v>
      </c>
      <c r="I78" s="43">
        <f>VLOOKUP($A78,IRData!$A$2:$N$142,11,FALSE)</f>
        <v>0</v>
      </c>
      <c r="J78" s="45">
        <f>VLOOKUP(A78,IRData!$A$3:$AF$142,32,FALSE)</f>
        <v>2543.9001432832001</v>
      </c>
      <c r="K78" s="45">
        <f>VLOOKUP(A78,IRData!$A$3:$AM$142,37,FALSE)</f>
        <v>0</v>
      </c>
      <c r="L78" s="112">
        <f>VLOOKUP($A78,IRData!$A$2:$N$142,13,FALSE)</f>
        <v>446</v>
      </c>
      <c r="M78" s="44">
        <f>L78*Forutsetninger!$C$24</f>
        <v>470.53</v>
      </c>
      <c r="N78" s="112">
        <f>VLOOKUP(A78,IRData!$A$3:$E$142,5,FALSE)*Forutsetninger!$C$30</f>
        <v>0</v>
      </c>
      <c r="O78" s="112">
        <f>VLOOKUP(A78,IRData!$A$3:$AG$142,19,FALSE)*Forutsetninger!$C$24</f>
        <v>0</v>
      </c>
      <c r="P78" s="45">
        <f t="shared" si="14"/>
        <v>28017.229939945853</v>
      </c>
      <c r="Q78" s="45">
        <f>D78+E78+J78+K78+M78+G78*Forutsetninger!$B$6+N78</f>
        <v>34988.263675945855</v>
      </c>
      <c r="R78" s="46">
        <f>IFERROR((VLOOKUP(A78,'DEAnorm D-nett'!$A$4:$H$130,8,FALSE)+O78),0)</f>
        <v>33128.304253317219</v>
      </c>
      <c r="S78" s="21">
        <f>IFERROR((VLOOKUP(A78,'DEAnorm R-nett'!$A$4:$H$85,8,FALSE)+N78+K78),N78+K78)</f>
        <v>0</v>
      </c>
      <c r="T78" s="118">
        <f>IFERROR(VLOOKUP(A78,IRData!$A$3:$AN$142,40,FALSE),0)</f>
        <v>0</v>
      </c>
      <c r="U78" s="47">
        <f>(1-Forutsetninger!$B$4)*Q78+(R78+S78+T78)*Forutsetninger!$B$4</f>
        <v>33872.288022368673</v>
      </c>
      <c r="V78" s="41">
        <f>(R78+S78+T78)-G78*($K$156+$K$150)/Forutsetninger!$B$4</f>
        <v>28590.130888580188</v>
      </c>
      <c r="W78" s="296">
        <f>(1-Forutsetninger!$B$4)*Q78+Forutsetninger!$B$4*V78</f>
        <v>31149.384003526455</v>
      </c>
      <c r="X78" s="185">
        <v>31150.128125018906</v>
      </c>
      <c r="Y78" s="198">
        <f t="shared" si="15"/>
        <v>-0.74412149245108594</v>
      </c>
      <c r="Z78" s="197">
        <f t="shared" si="16"/>
        <v>-2.3888232159579097E-5</v>
      </c>
      <c r="AA78" s="185">
        <f t="shared" si="17"/>
        <v>0</v>
      </c>
      <c r="AB78" s="197">
        <f>VLOOKUP(A78,Table1[[idaar]:[Andel SN]],8,FALSE)</f>
        <v>1</v>
      </c>
      <c r="AC78" s="197">
        <f>VLOOKUP(A78,Table1[[idaar]:[Andel SN]],9,FALSE)</f>
        <v>0</v>
      </c>
      <c r="AD78" s="197">
        <f>VLOOKUP(A78,Table1[[idaar]:[Andel SN]],10,FALSE)</f>
        <v>0</v>
      </c>
      <c r="AE78" s="312">
        <f t="shared" si="18"/>
        <v>0</v>
      </c>
      <c r="AF78" s="312">
        <f t="shared" si="19"/>
        <v>0</v>
      </c>
      <c r="AG78" s="312">
        <f t="shared" si="20"/>
        <v>0</v>
      </c>
    </row>
    <row r="79" spans="1:33" x14ac:dyDescent="0.2">
      <c r="A79">
        <v>3072015</v>
      </c>
      <c r="B79" t="s">
        <v>179</v>
      </c>
      <c r="C79" s="112">
        <f>VLOOKUP(A79,IRData!$A$3:$F$142,6,FALSE)</f>
        <v>381</v>
      </c>
      <c r="D79" s="45">
        <f>C79*Forutsetninger!$C$30</f>
        <v>403.09800000000001</v>
      </c>
      <c r="E79" s="43">
        <f>VLOOKUP($A79,IRData!$A$2:$N$142,7,FALSE)</f>
        <v>74</v>
      </c>
      <c r="F79" s="43">
        <f>VLOOKUP($A79,IRData!$A$2:$N$142,8,FALSE)</f>
        <v>972</v>
      </c>
      <c r="G79" s="43">
        <f>VLOOKUP($A79,IRData!$A$2:$N$142,9,FALSE)</f>
        <v>981.72</v>
      </c>
      <c r="H79" s="43">
        <f>VLOOKUP($A79,IRData!$A$2:$N$142,10,FALSE)</f>
        <v>0</v>
      </c>
      <c r="I79" s="43">
        <f>VLOOKUP($A79,IRData!$A$2:$N$142,11,FALSE)</f>
        <v>0</v>
      </c>
      <c r="J79" s="45">
        <f>VLOOKUP(A79,IRData!$A$3:$AF$142,32,FALSE)</f>
        <v>0</v>
      </c>
      <c r="K79" s="45">
        <f>VLOOKUP(A79,IRData!$A$3:$AM$142,37,FALSE)</f>
        <v>0</v>
      </c>
      <c r="L79" s="112">
        <f>VLOOKUP($A79,IRData!$A$2:$N$142,13,FALSE)</f>
        <v>0</v>
      </c>
      <c r="M79" s="44">
        <f>L79*Forutsetninger!$C$24</f>
        <v>0</v>
      </c>
      <c r="N79" s="112">
        <f>VLOOKUP(A79,IRData!$A$3:$E$142,5,FALSE)*Forutsetninger!$C$30</f>
        <v>0</v>
      </c>
      <c r="O79" s="112">
        <f>VLOOKUP(A79,IRData!$A$3:$AG$142,19,FALSE)*Forutsetninger!$C$24</f>
        <v>0</v>
      </c>
      <c r="P79" s="45">
        <f t="shared" si="14"/>
        <v>477.09800000000001</v>
      </c>
      <c r="Q79" s="45">
        <f>D79+E79+J79+K79+M79+G79*Forutsetninger!$B$6+N79</f>
        <v>537.17926399999999</v>
      </c>
      <c r="R79" s="46">
        <f>IFERROR((VLOOKUP(A79,'DEAnorm D-nett'!$A$4:$H$130,8,FALSE)+O79),0)</f>
        <v>0</v>
      </c>
      <c r="S79" s="21">
        <f>IFERROR((VLOOKUP(A79,'DEAnorm R-nett'!$A$4:$H$85,8,FALSE)+N79+K79),N79+K79)</f>
        <v>613.60354467852733</v>
      </c>
      <c r="T79" s="118">
        <f>IFERROR(VLOOKUP(A79,IRData!$A$3:$AN$142,40,FALSE),0)</f>
        <v>0</v>
      </c>
      <c r="U79" s="47">
        <f>(1-Forutsetninger!$B$4)*Q79+(R79+S79+T79)*Forutsetninger!$B$4</f>
        <v>583.03383240711639</v>
      </c>
      <c r="V79" s="41">
        <f>(R79+S79+T79)-G79*($K$156+$K$150)/Forutsetninger!$B$4</f>
        <v>574.49037978356205</v>
      </c>
      <c r="W79" s="296">
        <f>(1-Forutsetninger!$B$4)*Q79+Forutsetninger!$B$4*V79</f>
        <v>559.56593347013722</v>
      </c>
      <c r="X79" s="185">
        <v>559.57861743746389</v>
      </c>
      <c r="Y79" s="198">
        <f t="shared" si="15"/>
        <v>-1.2683967326665879E-2</v>
      </c>
      <c r="Z79" s="197">
        <f t="shared" si="16"/>
        <v>-2.2666997864841368E-5</v>
      </c>
      <c r="AA79" s="185">
        <f t="shared" si="17"/>
        <v>0</v>
      </c>
      <c r="AB79" s="200"/>
      <c r="AC79" s="200"/>
      <c r="AD79" s="200"/>
      <c r="AE79" s="312">
        <f t="shared" si="18"/>
        <v>0</v>
      </c>
      <c r="AF79" s="312">
        <f t="shared" si="19"/>
        <v>0</v>
      </c>
      <c r="AG79" s="312">
        <f t="shared" si="20"/>
        <v>0</v>
      </c>
    </row>
    <row r="80" spans="1:33" x14ac:dyDescent="0.2">
      <c r="A80">
        <v>2872015</v>
      </c>
      <c r="B80" t="s">
        <v>178</v>
      </c>
      <c r="C80" s="112">
        <f>VLOOKUP(A80,IRData!$A$3:$F$142,6,FALSE)</f>
        <v>0</v>
      </c>
      <c r="D80" s="45">
        <f>C80*Forutsetninger!$C$30</f>
        <v>0</v>
      </c>
      <c r="E80" s="43">
        <f>VLOOKUP($A80,IRData!$A$2:$N$142,7,FALSE)</f>
        <v>273</v>
      </c>
      <c r="F80" s="43">
        <f>VLOOKUP($A80,IRData!$A$2:$N$142,8,FALSE)</f>
        <v>545</v>
      </c>
      <c r="G80" s="43">
        <f>VLOOKUP($A80,IRData!$A$2:$N$142,9,FALSE)</f>
        <v>550.45000000000005</v>
      </c>
      <c r="H80" s="43">
        <f>VLOOKUP($A80,IRData!$A$2:$N$142,10,FALSE)</f>
        <v>0</v>
      </c>
      <c r="I80" s="43">
        <f>VLOOKUP($A80,IRData!$A$2:$N$142,11,FALSE)</f>
        <v>0</v>
      </c>
      <c r="J80" s="45">
        <f>VLOOKUP(A80,IRData!$A$3:$AF$142,32,FALSE)</f>
        <v>0</v>
      </c>
      <c r="K80" s="45">
        <f>VLOOKUP(A80,IRData!$A$3:$AM$142,37,FALSE)</f>
        <v>0</v>
      </c>
      <c r="L80" s="112">
        <f>VLOOKUP($A80,IRData!$A$2:$N$142,13,FALSE)</f>
        <v>0</v>
      </c>
      <c r="M80" s="44">
        <f>L80*Forutsetninger!$C$24</f>
        <v>0</v>
      </c>
      <c r="N80" s="112">
        <f>VLOOKUP(A80,IRData!$A$3:$E$142,5,FALSE)*Forutsetninger!$C$30</f>
        <v>0</v>
      </c>
      <c r="O80" s="112">
        <f>VLOOKUP(A80,IRData!$A$3:$AG$142,19,FALSE)*Forutsetninger!$C$24</f>
        <v>0</v>
      </c>
      <c r="P80" s="45">
        <f t="shared" si="14"/>
        <v>273</v>
      </c>
      <c r="Q80" s="45">
        <f>D80+E80+J80+K80+M80+G80*Forutsetninger!$B$6+N80</f>
        <v>306.68754000000001</v>
      </c>
      <c r="R80" s="46">
        <f>IFERROR((VLOOKUP(A80,'DEAnorm D-nett'!$A$4:$H$130,8,FALSE)+O80),0)</f>
        <v>0</v>
      </c>
      <c r="S80" s="21">
        <f>IFERROR((VLOOKUP(A80,'DEAnorm R-nett'!$A$4:$H$85,8,FALSE)+N80+K80),N80+K80)</f>
        <v>340.60665842052327</v>
      </c>
      <c r="T80" s="118">
        <f>IFERROR(VLOOKUP(A80,IRData!$A$3:$AN$142,40,FALSE),0)</f>
        <v>0</v>
      </c>
      <c r="U80" s="47">
        <f>(1-Forutsetninger!$B$4)*Q80+(R80+S80+T80)*Forutsetninger!$B$4</f>
        <v>327.03901105231398</v>
      </c>
      <c r="V80" s="41">
        <f>(R80+S80+T80)-G80*($K$156+$K$150)/Forutsetninger!$B$4</f>
        <v>318.6759229598689</v>
      </c>
      <c r="W80" s="296">
        <f>(1-Forutsetninger!$B$4)*Q80+Forutsetninger!$B$4*V80</f>
        <v>313.88056977592134</v>
      </c>
      <c r="X80" s="185">
        <v>313.88766425657047</v>
      </c>
      <c r="Y80" s="198">
        <f t="shared" si="15"/>
        <v>-7.0944806491297641E-3</v>
      </c>
      <c r="Z80" s="197">
        <f t="shared" si="16"/>
        <v>-2.2601973435090987E-5</v>
      </c>
      <c r="AA80" s="185">
        <f t="shared" si="17"/>
        <v>0</v>
      </c>
      <c r="AB80" s="197">
        <f>VLOOKUP(A80,Table1[[idaar]:[Andel SN]],8,FALSE)</f>
        <v>0</v>
      </c>
      <c r="AC80" s="197">
        <f>VLOOKUP(A80,Table1[[idaar]:[Andel SN]],9,FALSE)</f>
        <v>1</v>
      </c>
      <c r="AD80" s="197">
        <f>VLOOKUP(A80,Table1[[idaar]:[Andel SN]],10,FALSE)</f>
        <v>0</v>
      </c>
      <c r="AE80" s="312">
        <f t="shared" si="18"/>
        <v>0</v>
      </c>
      <c r="AF80" s="312">
        <f t="shared" si="19"/>
        <v>0</v>
      </c>
      <c r="AG80" s="312">
        <f t="shared" si="20"/>
        <v>0</v>
      </c>
    </row>
    <row r="81" spans="1:33" x14ac:dyDescent="0.2">
      <c r="A81">
        <v>102015</v>
      </c>
      <c r="B81" t="s">
        <v>160</v>
      </c>
      <c r="C81" s="112">
        <f>VLOOKUP(A81,IRData!$A$3:$F$142,6,FALSE)</f>
        <v>437.16581009114248</v>
      </c>
      <c r="D81" s="45">
        <f>C81*Forutsetninger!$C$30</f>
        <v>462.52142707642878</v>
      </c>
      <c r="E81" s="43">
        <f>VLOOKUP($A81,IRData!$A$2:$N$142,7,FALSE)</f>
        <v>598</v>
      </c>
      <c r="F81" s="43">
        <f>VLOOKUP($A81,IRData!$A$2:$N$142,8,FALSE)</f>
        <v>3380</v>
      </c>
      <c r="G81" s="43">
        <f>VLOOKUP($A81,IRData!$A$2:$N$142,9,FALSE)</f>
        <v>3413.8</v>
      </c>
      <c r="H81" s="43">
        <f>VLOOKUP($A81,IRData!$A$2:$N$142,10,FALSE)</f>
        <v>431</v>
      </c>
      <c r="I81" s="43">
        <f>VLOOKUP($A81,IRData!$A$2:$N$142,11,FALSE)</f>
        <v>3885</v>
      </c>
      <c r="J81" s="45">
        <f>VLOOKUP(A81,IRData!$A$3:$AF$142,32,FALSE)</f>
        <v>122.7403925261</v>
      </c>
      <c r="K81" s="45">
        <f>VLOOKUP(A81,IRData!$A$3:$AM$142,37,FALSE)</f>
        <v>1106.3722156934998</v>
      </c>
      <c r="L81" s="112">
        <f>VLOOKUP($A81,IRData!$A$2:$N$142,13,FALSE)</f>
        <v>0</v>
      </c>
      <c r="M81" s="44">
        <f>L81*Forutsetninger!$C$24</f>
        <v>0</v>
      </c>
      <c r="N81" s="112">
        <f>VLOOKUP(A81,IRData!$A$3:$E$142,5,FALSE)*Forutsetninger!$C$30</f>
        <v>0</v>
      </c>
      <c r="O81" s="112">
        <f>VLOOKUP(A81,IRData!$A$3:$AG$142,19,FALSE)*Forutsetninger!$C$24</f>
        <v>0</v>
      </c>
      <c r="P81" s="45">
        <f t="shared" si="14"/>
        <v>2289.6340352960287</v>
      </c>
      <c r="Q81" s="45">
        <f>D81+E81+J81+K81+M81+G81*Forutsetninger!$B$6+N81</f>
        <v>2498.5585952960287</v>
      </c>
      <c r="R81" s="46">
        <f>IFERROR((VLOOKUP(A81,'DEAnorm D-nett'!$A$4:$H$130,8,FALSE)+O81),0)</f>
        <v>154.39572285224966</v>
      </c>
      <c r="S81" s="21">
        <f>IFERROR((VLOOKUP(A81,'DEAnorm R-nett'!$A$4:$H$85,8,FALSE)+N81+K81),N81+K81)</f>
        <v>1850.596147986952</v>
      </c>
      <c r="T81" s="118">
        <f>IFERROR(VLOOKUP(A81,IRData!$A$3:$AN$142,40,FALSE),0)</f>
        <v>0</v>
      </c>
      <c r="U81" s="47">
        <f>(1-Forutsetninger!$B$4)*Q81+(R81+S81+T81)*Forutsetninger!$B$4</f>
        <v>2202.4185606219326</v>
      </c>
      <c r="V81" s="41">
        <f>(R81+S81+T81)-G81*($K$156+$K$150)/Forutsetninger!$B$4</f>
        <v>1868.9810711015652</v>
      </c>
      <c r="W81" s="296">
        <f>(1-Forutsetninger!$B$4)*Q81+Forutsetninger!$B$4*V81</f>
        <v>2120.8120807793503</v>
      </c>
      <c r="X81" s="185">
        <v>2120.8561207754392</v>
      </c>
      <c r="Y81" s="198">
        <f t="shared" si="15"/>
        <v>-4.4039996088940825E-2</v>
      </c>
      <c r="Z81" s="197">
        <f t="shared" si="16"/>
        <v>-2.0765197439625784E-5</v>
      </c>
      <c r="AA81" s="185">
        <f t="shared" si="17"/>
        <v>0</v>
      </c>
      <c r="AB81" s="197">
        <f>VLOOKUP(A81,Table1[[idaar]:[Andel SN]],8,FALSE)</f>
        <v>5.704856199905705E-2</v>
      </c>
      <c r="AC81" s="197">
        <f>VLOOKUP(A81,Table1[[idaar]:[Andel SN]],9,FALSE)</f>
        <v>0.94295143800094294</v>
      </c>
      <c r="AD81" s="197">
        <f>VLOOKUP(A81,Table1[[idaar]:[Andel SN]],10,FALSE)</f>
        <v>0</v>
      </c>
      <c r="AE81" s="312">
        <f t="shared" si="18"/>
        <v>0</v>
      </c>
      <c r="AF81" s="312">
        <f t="shared" si="19"/>
        <v>0</v>
      </c>
      <c r="AG81" s="312">
        <f t="shared" si="20"/>
        <v>0</v>
      </c>
    </row>
    <row r="82" spans="1:33" x14ac:dyDescent="0.2">
      <c r="A82">
        <v>2142015</v>
      </c>
      <c r="B82" t="s">
        <v>249</v>
      </c>
      <c r="C82" s="112">
        <f>VLOOKUP(A82,IRData!$A$3:$F$142,6,FALSE)</f>
        <v>14018.957160075801</v>
      </c>
      <c r="D82" s="45">
        <f>C82*Forutsetninger!$C$30</f>
        <v>14832.056675360198</v>
      </c>
      <c r="E82" s="43">
        <f>VLOOKUP($A82,IRData!$A$2:$N$142,7,FALSE)</f>
        <v>5322</v>
      </c>
      <c r="F82" s="43">
        <f>VLOOKUP($A82,IRData!$A$2:$N$142,8,FALSE)</f>
        <v>89280</v>
      </c>
      <c r="G82" s="43">
        <f>VLOOKUP($A82,IRData!$A$2:$N$142,9,FALSE)</f>
        <v>90172.800000000003</v>
      </c>
      <c r="H82" s="43">
        <f>VLOOKUP($A82,IRData!$A$2:$N$142,10,FALSE)</f>
        <v>5173</v>
      </c>
      <c r="I82" s="43">
        <f>VLOOKUP($A82,IRData!$A$2:$N$142,11,FALSE)</f>
        <v>0</v>
      </c>
      <c r="J82" s="45">
        <f>VLOOKUP(A82,IRData!$A$3:$AF$142,32,FALSE)</f>
        <v>1484.221920342</v>
      </c>
      <c r="K82" s="45">
        <f>VLOOKUP(A82,IRData!$A$3:$AM$142,37,FALSE)</f>
        <v>0</v>
      </c>
      <c r="L82" s="112">
        <f>VLOOKUP($A82,IRData!$A$2:$N$142,13,FALSE)</f>
        <v>517</v>
      </c>
      <c r="M82" s="44">
        <f>L82*Forutsetninger!$C$24</f>
        <v>545.43499999999995</v>
      </c>
      <c r="N82" s="112">
        <f>VLOOKUP(A82,IRData!$A$3:$E$142,5,FALSE)*Forutsetninger!$C$30</f>
        <v>0</v>
      </c>
      <c r="O82" s="112">
        <f>VLOOKUP(A82,IRData!$A$3:$AG$142,19,FALSE)*Forutsetninger!$C$24</f>
        <v>104.13904999999998</v>
      </c>
      <c r="P82" s="45">
        <f t="shared" si="14"/>
        <v>22183.713595702196</v>
      </c>
      <c r="Q82" s="45">
        <f>D82+E82+J82+K82+M82+G82*Forutsetninger!$B$6+N82</f>
        <v>27702.288955702195</v>
      </c>
      <c r="R82" s="46">
        <f>IFERROR((VLOOKUP(A82,'DEAnorm D-nett'!$A$4:$H$130,8,FALSE)+O82),0)</f>
        <v>25553.614100480729</v>
      </c>
      <c r="S82" s="21">
        <f>IFERROR((VLOOKUP(A82,'DEAnorm R-nett'!$A$4:$H$85,8,FALSE)+N82+K82),N82+K82)</f>
        <v>0</v>
      </c>
      <c r="T82" s="118">
        <f>IFERROR(VLOOKUP(A82,IRData!$A$3:$AN$142,40,FALSE),0)</f>
        <v>0</v>
      </c>
      <c r="U82" s="47">
        <f>(1-Forutsetninger!$B$4)*Q82+(R82+S82+T82)*Forutsetninger!$B$4</f>
        <v>26413.084042569317</v>
      </c>
      <c r="V82" s="41">
        <f>(R82+S82+T82)-G82*($K$156+$K$150)/Forutsetninger!$B$4</f>
        <v>21960.997473091324</v>
      </c>
      <c r="W82" s="296">
        <f>(1-Forutsetninger!$B$4)*Q82+Forutsetninger!$B$4*V82</f>
        <v>24257.514066135671</v>
      </c>
      <c r="X82" s="185">
        <v>24257.84057145652</v>
      </c>
      <c r="Y82" s="198">
        <f t="shared" si="15"/>
        <v>-0.32650532084880979</v>
      </c>
      <c r="Z82" s="197">
        <f t="shared" si="16"/>
        <v>-1.3459785090392542E-5</v>
      </c>
      <c r="AA82" s="185">
        <f t="shared" si="17"/>
        <v>0</v>
      </c>
      <c r="AB82" s="197">
        <f>VLOOKUP(A82,Table1[[idaar]:[Andel SN]],8,FALSE)</f>
        <v>1</v>
      </c>
      <c r="AC82" s="197">
        <f>VLOOKUP(A82,Table1[[idaar]:[Andel SN]],9,FALSE)</f>
        <v>0</v>
      </c>
      <c r="AD82" s="197">
        <f>VLOOKUP(A82,Table1[[idaar]:[Andel SN]],10,FALSE)</f>
        <v>0</v>
      </c>
      <c r="AE82" s="312">
        <f t="shared" si="18"/>
        <v>0</v>
      </c>
      <c r="AF82" s="312">
        <f t="shared" si="19"/>
        <v>0</v>
      </c>
      <c r="AG82" s="312">
        <f t="shared" si="20"/>
        <v>0</v>
      </c>
    </row>
    <row r="83" spans="1:33" x14ac:dyDescent="0.2">
      <c r="A83">
        <v>8722015</v>
      </c>
      <c r="B83" t="s">
        <v>141</v>
      </c>
      <c r="C83" s="112">
        <f>VLOOKUP(A83,IRData!$A$3:$F$142,6,FALSE)</f>
        <v>120744.409268795</v>
      </c>
      <c r="D83" s="45">
        <f>C83*Forutsetninger!$C$30</f>
        <v>127747.58500638512</v>
      </c>
      <c r="E83" s="43">
        <f>VLOOKUP($A83,IRData!$A$2:$N$142,7,FALSE)</f>
        <v>8821</v>
      </c>
      <c r="F83" s="43">
        <f>VLOOKUP($A83,IRData!$A$2:$N$142,8,FALSE)</f>
        <v>103675</v>
      </c>
      <c r="G83" s="43">
        <f>VLOOKUP($A83,IRData!$A$2:$N$142,9,FALSE)</f>
        <v>104711.75</v>
      </c>
      <c r="H83" s="43">
        <f>VLOOKUP($A83,IRData!$A$2:$N$142,10,FALSE)</f>
        <v>0</v>
      </c>
      <c r="I83" s="43">
        <f>VLOOKUP($A83,IRData!$A$2:$N$142,11,FALSE)</f>
        <v>0</v>
      </c>
      <c r="J83" s="45">
        <f>VLOOKUP(A83,IRData!$A$3:$AF$142,32,FALSE)</f>
        <v>0</v>
      </c>
      <c r="K83" s="45">
        <f>VLOOKUP(A83,IRData!$A$3:$AM$142,37,FALSE)</f>
        <v>0</v>
      </c>
      <c r="L83" s="112">
        <f>VLOOKUP($A83,IRData!$A$2:$N$142,13,FALSE)</f>
        <v>0</v>
      </c>
      <c r="M83" s="44">
        <f>L83*Forutsetninger!$C$24</f>
        <v>0</v>
      </c>
      <c r="N83" s="112">
        <f>VLOOKUP(A83,IRData!$A$3:$E$142,5,FALSE)*Forutsetninger!$C$30</f>
        <v>0</v>
      </c>
      <c r="O83" s="112">
        <f>VLOOKUP(A83,IRData!$A$3:$AG$142,19,FALSE)*Forutsetninger!$C$24</f>
        <v>0</v>
      </c>
      <c r="P83" s="45">
        <f t="shared" si="14"/>
        <v>136568.58500638511</v>
      </c>
      <c r="Q83" s="45">
        <f>D83+E83+J83+K83+M83+G83*Forutsetninger!$B$6+N83</f>
        <v>142976.94410638511</v>
      </c>
      <c r="R83" s="46">
        <f>IFERROR((VLOOKUP(A83,'DEAnorm D-nett'!$A$4:$H$130,8,FALSE)+O83),0)</f>
        <v>0</v>
      </c>
      <c r="S83" s="21">
        <f>IFERROR((VLOOKUP(A83,'DEAnorm R-nett'!$A$4:$H$85,8,FALSE)+N83+K83),N83+K83)</f>
        <v>0</v>
      </c>
      <c r="T83" s="118">
        <f>IFERROR(VLOOKUP(A83,IRData!$A$3:$AN$142,40,FALSE),0)</f>
        <v>142976.94410638511</v>
      </c>
      <c r="U83" s="47">
        <f>(1-Forutsetninger!$B$4)*Q83+(R83+S83+T83)*Forutsetninger!$B$4</f>
        <v>142976.94410638511</v>
      </c>
      <c r="V83" s="41">
        <f>(R83+S83+T83)-G83*($K$156+$K$150)/Forutsetninger!$B$4</f>
        <v>138805.07438366336</v>
      </c>
      <c r="W83" s="296">
        <f>(1-Forutsetninger!$B$4)*Q83+Forutsetninger!$B$4*V83</f>
        <v>140473.82227275206</v>
      </c>
      <c r="X83" s="185">
        <v>140475.17488241781</v>
      </c>
      <c r="Y83" s="198">
        <f t="shared" si="15"/>
        <v>-1.3526096657442395</v>
      </c>
      <c r="Z83" s="197">
        <f t="shared" si="16"/>
        <v>-9.6288163860726051E-6</v>
      </c>
      <c r="AA83" s="185">
        <f t="shared" si="17"/>
        <v>0</v>
      </c>
      <c r="AB83" s="200">
        <v>0</v>
      </c>
      <c r="AC83" s="200">
        <v>0</v>
      </c>
      <c r="AD83" s="200">
        <v>1</v>
      </c>
      <c r="AE83" s="312">
        <f t="shared" si="18"/>
        <v>0</v>
      </c>
      <c r="AF83" s="312">
        <f t="shared" si="19"/>
        <v>0</v>
      </c>
      <c r="AG83" s="312">
        <f t="shared" si="20"/>
        <v>0</v>
      </c>
    </row>
    <row r="84" spans="1:33" x14ac:dyDescent="0.2">
      <c r="A84">
        <v>8522015</v>
      </c>
      <c r="B84" t="s">
        <v>299</v>
      </c>
      <c r="C84" s="112">
        <f>VLOOKUP(A84,IRData!$A$3:$F$142,6,FALSE)</f>
        <v>38796.840600800002</v>
      </c>
      <c r="D84" s="45">
        <f>C84*Forutsetninger!$C$30</f>
        <v>41047.057355646401</v>
      </c>
      <c r="E84" s="43">
        <f>VLOOKUP($A84,IRData!$A$2:$N$142,7,FALSE)</f>
        <v>2405</v>
      </c>
      <c r="F84" s="43">
        <f>VLOOKUP($A84,IRData!$A$2:$N$142,8,FALSE)</f>
        <v>31773</v>
      </c>
      <c r="G84" s="43">
        <f>VLOOKUP($A84,IRData!$A$2:$N$142,9,FALSE)</f>
        <v>32090.73</v>
      </c>
      <c r="H84" s="43">
        <f>VLOOKUP($A84,IRData!$A$2:$N$142,10,FALSE)</f>
        <v>6686</v>
      </c>
      <c r="I84" s="43">
        <f>VLOOKUP($A84,IRData!$A$2:$N$142,11,FALSE)</f>
        <v>6267</v>
      </c>
      <c r="J84" s="45">
        <f>VLOOKUP(A84,IRData!$A$3:$AF$142,32,FALSE)</f>
        <v>1904.0423768666001</v>
      </c>
      <c r="K84" s="45">
        <f>VLOOKUP(A84,IRData!$A$3:$AM$142,37,FALSE)</f>
        <v>1784.7193502577002</v>
      </c>
      <c r="L84" s="112">
        <f>VLOOKUP($A84,IRData!$A$2:$N$142,13,FALSE)</f>
        <v>726</v>
      </c>
      <c r="M84" s="44">
        <f>L84*Forutsetninger!$C$24</f>
        <v>765.93</v>
      </c>
      <c r="N84" s="112">
        <f>VLOOKUP(A84,IRData!$A$3:$E$142,5,FALSE)*Forutsetninger!$C$30</f>
        <v>0</v>
      </c>
      <c r="O84" s="112">
        <f>VLOOKUP(A84,IRData!$A$3:$AG$142,19,FALSE)*Forutsetninger!$C$24</f>
        <v>0</v>
      </c>
      <c r="P84" s="45">
        <f t="shared" si="14"/>
        <v>47906.749082770701</v>
      </c>
      <c r="Q84" s="45">
        <f>D84+E84+J84+K84+M84+G84*Forutsetninger!$B$6+N84</f>
        <v>49870.701758770701</v>
      </c>
      <c r="R84" s="46">
        <f>IFERROR((VLOOKUP(A84,'DEAnorm D-nett'!$A$4:$H$130,8,FALSE)+O84),0)</f>
        <v>33419.884475347622</v>
      </c>
      <c r="S84" s="21">
        <f>IFERROR((VLOOKUP(A84,'DEAnorm R-nett'!$A$4:$H$85,8,FALSE)+N84+K84),N84+K84)</f>
        <v>16450.817283423075</v>
      </c>
      <c r="T84" s="118">
        <f>IFERROR(VLOOKUP(A84,IRData!$A$3:$AN$142,40,FALSE),0)</f>
        <v>0</v>
      </c>
      <c r="U84" s="47">
        <f>(1-Forutsetninger!$B$4)*Q84+(R84+S84+T84)*Forutsetninger!$B$4</f>
        <v>49870.701758770694</v>
      </c>
      <c r="V84" s="41">
        <f>(R84+S84+T84)-G84*($K$156+$K$150)/Forutsetninger!$B$4</f>
        <v>48592.160001355332</v>
      </c>
      <c r="W84" s="296">
        <f>(1-Forutsetninger!$B$4)*Q84+Forutsetninger!$B$4*V84</f>
        <v>49103.57670432148</v>
      </c>
      <c r="X84" s="185">
        <v>49103.991272953434</v>
      </c>
      <c r="Y84" s="198">
        <f t="shared" si="15"/>
        <v>-0.4145686319534434</v>
      </c>
      <c r="Z84" s="197">
        <f t="shared" si="16"/>
        <v>-8.4426666999223859E-6</v>
      </c>
      <c r="AA84" s="185">
        <f t="shared" si="17"/>
        <v>0</v>
      </c>
      <c r="AB84" s="197">
        <f>VLOOKUP(A84,Table1[[idaar]:[Andel SN]],8,FALSE)</f>
        <v>0.67609563375692405</v>
      </c>
      <c r="AC84" s="197">
        <f>VLOOKUP(A84,Table1[[idaar]:[Andel SN]],9,FALSE)</f>
        <v>0.32390436624307595</v>
      </c>
      <c r="AD84" s="197">
        <f>VLOOKUP(A84,Table1[[idaar]:[Andel SN]],10,FALSE)</f>
        <v>0</v>
      </c>
      <c r="AE84" s="312">
        <f t="shared" si="18"/>
        <v>0</v>
      </c>
      <c r="AF84" s="312">
        <f t="shared" si="19"/>
        <v>0</v>
      </c>
      <c r="AG84" s="312">
        <f t="shared" si="20"/>
        <v>0</v>
      </c>
    </row>
    <row r="85" spans="1:33" x14ac:dyDescent="0.2">
      <c r="A85">
        <v>1942015</v>
      </c>
      <c r="B85" t="s">
        <v>242</v>
      </c>
      <c r="C85" s="112">
        <f>VLOOKUP(A85,IRData!$A$3:$F$142,6,FALSE)</f>
        <v>12829.197988296601</v>
      </c>
      <c r="D85" s="45">
        <f>C85*Forutsetninger!$C$30</f>
        <v>13573.291471617804</v>
      </c>
      <c r="E85" s="43">
        <f>VLOOKUP($A85,IRData!$A$2:$N$142,7,FALSE)</f>
        <v>3225</v>
      </c>
      <c r="F85" s="43">
        <f>VLOOKUP($A85,IRData!$A$2:$N$142,8,FALSE)</f>
        <v>30112</v>
      </c>
      <c r="G85" s="43">
        <f>VLOOKUP($A85,IRData!$A$2:$N$142,9,FALSE)</f>
        <v>30413.119999999999</v>
      </c>
      <c r="H85" s="43">
        <f>VLOOKUP($A85,IRData!$A$2:$N$142,10,FALSE)</f>
        <v>1928</v>
      </c>
      <c r="I85" s="43">
        <f>VLOOKUP($A85,IRData!$A$2:$N$142,11,FALSE)</f>
        <v>0</v>
      </c>
      <c r="J85" s="45">
        <f>VLOOKUP(A85,IRData!$A$3:$AF$142,32,FALSE)</f>
        <v>559.76255150079999</v>
      </c>
      <c r="K85" s="45">
        <f>VLOOKUP(A85,IRData!$A$3:$AM$142,37,FALSE)</f>
        <v>0</v>
      </c>
      <c r="L85" s="112">
        <f>VLOOKUP($A85,IRData!$A$2:$N$142,13,FALSE)</f>
        <v>297</v>
      </c>
      <c r="M85" s="44">
        <f>L85*Forutsetninger!$C$24</f>
        <v>313.33499999999998</v>
      </c>
      <c r="N85" s="112">
        <f>VLOOKUP(A85,IRData!$A$3:$E$142,5,FALSE)*Forutsetninger!$C$30</f>
        <v>0</v>
      </c>
      <c r="O85" s="112">
        <f>VLOOKUP(A85,IRData!$A$3:$AG$142,19,FALSE)*Forutsetninger!$C$24</f>
        <v>104.13904999999998</v>
      </c>
      <c r="P85" s="45">
        <f t="shared" si="14"/>
        <v>17671.389023118605</v>
      </c>
      <c r="Q85" s="45">
        <f>D85+E85+J85+K85+M85+G85*Forutsetninger!$B$6+N85</f>
        <v>19532.671967118604</v>
      </c>
      <c r="R85" s="46">
        <f>IFERROR((VLOOKUP(A85,'DEAnorm D-nett'!$A$4:$H$130,8,FALSE)+O85),0)</f>
        <v>14776.535468262753</v>
      </c>
      <c r="S85" s="21">
        <f>IFERROR((VLOOKUP(A85,'DEAnorm R-nett'!$A$4:$H$85,8,FALSE)+N85+K85),N85+K85)</f>
        <v>0</v>
      </c>
      <c r="T85" s="118">
        <f>IFERROR(VLOOKUP(A85,IRData!$A$3:$AN$142,40,FALSE),0)</f>
        <v>0</v>
      </c>
      <c r="U85" s="47">
        <f>(1-Forutsetninger!$B$4)*Q85+(R85+S85+T85)*Forutsetninger!$B$4</f>
        <v>16678.990067805091</v>
      </c>
      <c r="V85" s="41">
        <f>(R85+S85+T85)-G85*($K$156+$K$150)/Forutsetninger!$B$4</f>
        <v>13564.832154150412</v>
      </c>
      <c r="W85" s="296">
        <f>(1-Forutsetninger!$B$4)*Q85+Forutsetninger!$B$4*V85</f>
        <v>15951.968079337688</v>
      </c>
      <c r="X85" s="185">
        <v>15951.682559494191</v>
      </c>
      <c r="Y85" s="198">
        <f t="shared" si="15"/>
        <v>0.2855198434972408</v>
      </c>
      <c r="Z85" s="197">
        <f t="shared" si="16"/>
        <v>1.7899042463536481E-5</v>
      </c>
      <c r="AA85" s="185">
        <f t="shared" si="17"/>
        <v>0.2855198434972408</v>
      </c>
      <c r="AB85" s="197">
        <f>VLOOKUP(A85,Table1[[idaar]:[Andel SN]],8,FALSE)</f>
        <v>1</v>
      </c>
      <c r="AC85" s="197">
        <f>VLOOKUP(A85,Table1[[idaar]:[Andel SN]],9,FALSE)</f>
        <v>0</v>
      </c>
      <c r="AD85" s="197">
        <f>VLOOKUP(A85,Table1[[idaar]:[Andel SN]],10,FALSE)</f>
        <v>0</v>
      </c>
      <c r="AE85" s="312">
        <f t="shared" si="18"/>
        <v>0.2855198434972408</v>
      </c>
      <c r="AF85" s="312">
        <f t="shared" si="19"/>
        <v>0</v>
      </c>
      <c r="AG85" s="312">
        <f t="shared" si="20"/>
        <v>0</v>
      </c>
    </row>
    <row r="86" spans="1:33" x14ac:dyDescent="0.2">
      <c r="A86">
        <v>2422015</v>
      </c>
      <c r="B86" t="s">
        <v>255</v>
      </c>
      <c r="C86" s="112">
        <f>VLOOKUP(A86,IRData!$A$3:$F$142,6,FALSE)</f>
        <v>7436.8131822862997</v>
      </c>
      <c r="D86" s="45">
        <f>C86*Forutsetninger!$C$30</f>
        <v>7868.1483468589058</v>
      </c>
      <c r="E86" s="43">
        <f>VLOOKUP($A86,IRData!$A$2:$N$142,7,FALSE)</f>
        <v>2080</v>
      </c>
      <c r="F86" s="43">
        <f>VLOOKUP($A86,IRData!$A$2:$N$142,8,FALSE)</f>
        <v>36294</v>
      </c>
      <c r="G86" s="43">
        <f>VLOOKUP($A86,IRData!$A$2:$N$142,9,FALSE)</f>
        <v>36656.94</v>
      </c>
      <c r="H86" s="43">
        <f>VLOOKUP($A86,IRData!$A$2:$N$142,10,FALSE)</f>
        <v>2192</v>
      </c>
      <c r="I86" s="43">
        <f>VLOOKUP($A86,IRData!$A$2:$N$142,11,FALSE)</f>
        <v>0</v>
      </c>
      <c r="J86" s="45">
        <f>VLOOKUP(A86,IRData!$A$3:$AF$142,32,FALSE)</f>
        <v>624.16705024479995</v>
      </c>
      <c r="K86" s="45">
        <f>VLOOKUP(A86,IRData!$A$3:$AM$142,37,FALSE)</f>
        <v>0</v>
      </c>
      <c r="L86" s="112">
        <f>VLOOKUP($A86,IRData!$A$2:$N$142,13,FALSE)</f>
        <v>150</v>
      </c>
      <c r="M86" s="44">
        <f>L86*Forutsetninger!$C$24</f>
        <v>158.25</v>
      </c>
      <c r="N86" s="112">
        <f>VLOOKUP(A86,IRData!$A$3:$E$142,5,FALSE)*Forutsetninger!$C$30</f>
        <v>0</v>
      </c>
      <c r="O86" s="112">
        <f>VLOOKUP(A86,IRData!$A$3:$AG$142,19,FALSE)*Forutsetninger!$C$24</f>
        <v>0</v>
      </c>
      <c r="P86" s="45">
        <f t="shared" si="14"/>
        <v>10730.565397103706</v>
      </c>
      <c r="Q86" s="45">
        <f>D86+E86+J86+K86+M86+G86*Forutsetninger!$B$6+N86</f>
        <v>12973.970125103706</v>
      </c>
      <c r="R86" s="46">
        <f>IFERROR((VLOOKUP(A86,'DEAnorm D-nett'!$A$4:$H$130,8,FALSE)+O86),0)</f>
        <v>10031.496265013373</v>
      </c>
      <c r="S86" s="21">
        <f>IFERROR((VLOOKUP(A86,'DEAnorm R-nett'!$A$4:$H$85,8,FALSE)+N86+K86),N86+K86)</f>
        <v>0</v>
      </c>
      <c r="T86" s="118">
        <f>IFERROR(VLOOKUP(A86,IRData!$A$3:$AN$142,40,FALSE),0)</f>
        <v>0</v>
      </c>
      <c r="U86" s="47">
        <f>(1-Forutsetninger!$B$4)*Q86+(R86+S86+T86)*Forutsetninger!$B$4</f>
        <v>11208.485809049507</v>
      </c>
      <c r="V86" s="41">
        <f>(R86+S86+T86)-G86*($K$156+$K$150)/Forutsetninger!$B$4</f>
        <v>8571.0300029785267</v>
      </c>
      <c r="W86" s="296">
        <f>(1-Forutsetninger!$B$4)*Q86+Forutsetninger!$B$4*V86</f>
        <v>10332.206051828598</v>
      </c>
      <c r="X86" s="185">
        <v>10331.815041373098</v>
      </c>
      <c r="Y86" s="198">
        <f t="shared" si="15"/>
        <v>0.39101045549978153</v>
      </c>
      <c r="Z86" s="197">
        <f t="shared" si="16"/>
        <v>3.7845282163298993E-5</v>
      </c>
      <c r="AA86" s="185">
        <f t="shared" si="17"/>
        <v>0.39101045549978153</v>
      </c>
      <c r="AB86" s="197">
        <f>VLOOKUP(A86,Table1[[idaar]:[Andel SN]],8,FALSE)</f>
        <v>1</v>
      </c>
      <c r="AC86" s="197">
        <f>VLOOKUP(A86,Table1[[idaar]:[Andel SN]],9,FALSE)</f>
        <v>0</v>
      </c>
      <c r="AD86" s="197">
        <f>VLOOKUP(A86,Table1[[idaar]:[Andel SN]],10,FALSE)</f>
        <v>0</v>
      </c>
      <c r="AE86" s="312">
        <f t="shared" si="18"/>
        <v>0.39101045549978153</v>
      </c>
      <c r="AF86" s="312">
        <f t="shared" si="19"/>
        <v>0</v>
      </c>
      <c r="AG86" s="312">
        <f t="shared" si="20"/>
        <v>0</v>
      </c>
    </row>
    <row r="87" spans="1:33" x14ac:dyDescent="0.2">
      <c r="A87">
        <v>3492015</v>
      </c>
      <c r="B87" t="s">
        <v>270</v>
      </c>
      <c r="C87" s="112">
        <f>VLOOKUP(A87,IRData!$A$3:$F$142,6,FALSE)</f>
        <v>33924.540081714404</v>
      </c>
      <c r="D87" s="45">
        <f>C87*Forutsetninger!$C$30</f>
        <v>35892.163406453838</v>
      </c>
      <c r="E87" s="43">
        <f>VLOOKUP($A87,IRData!$A$2:$N$142,7,FALSE)</f>
        <v>9952</v>
      </c>
      <c r="F87" s="43">
        <f>VLOOKUP($A87,IRData!$A$2:$N$142,8,FALSE)</f>
        <v>192600</v>
      </c>
      <c r="G87" s="43">
        <f>VLOOKUP($A87,IRData!$A$2:$N$142,9,FALSE)</f>
        <v>194526</v>
      </c>
      <c r="H87" s="43">
        <f>VLOOKUP($A87,IRData!$A$2:$N$142,10,FALSE)</f>
        <v>7500</v>
      </c>
      <c r="I87" s="43">
        <f>VLOOKUP($A87,IRData!$A$2:$N$142,11,FALSE)</f>
        <v>2500</v>
      </c>
      <c r="J87" s="45">
        <f>VLOOKUP(A87,IRData!$A$3:$AF$142,32,FALSE)</f>
        <v>2135.85369825</v>
      </c>
      <c r="K87" s="45">
        <f>VLOOKUP(A87,IRData!$A$3:$AM$142,37,FALSE)</f>
        <v>711.95123274999992</v>
      </c>
      <c r="L87" s="112">
        <f>VLOOKUP($A87,IRData!$A$2:$N$142,13,FALSE)</f>
        <v>654</v>
      </c>
      <c r="M87" s="44">
        <f>L87*Forutsetninger!$C$24</f>
        <v>689.96999999999991</v>
      </c>
      <c r="N87" s="112">
        <f>VLOOKUP(A87,IRData!$A$3:$E$142,5,FALSE)*Forutsetninger!$C$30</f>
        <v>0</v>
      </c>
      <c r="O87" s="112">
        <f>VLOOKUP(A87,IRData!$A$3:$AG$142,19,FALSE)*Forutsetninger!$C$24</f>
        <v>0</v>
      </c>
      <c r="P87" s="45">
        <f t="shared" si="14"/>
        <v>49381.938337453837</v>
      </c>
      <c r="Q87" s="45">
        <f>D87+E87+J87+K87+M87+G87*Forutsetninger!$B$6+N87</f>
        <v>61286.929537453834</v>
      </c>
      <c r="R87" s="46">
        <f>IFERROR((VLOOKUP(A87,'DEAnorm D-nett'!$A$4:$H$130,8,FALSE)+O87),0)</f>
        <v>46791.442394796104</v>
      </c>
      <c r="S87" s="21">
        <f>IFERROR((VLOOKUP(A87,'DEAnorm R-nett'!$A$4:$H$85,8,FALSE)+N87+K87),N87+K87)</f>
        <v>1856.4346713836924</v>
      </c>
      <c r="T87" s="118">
        <f>IFERROR(VLOOKUP(A87,IRData!$A$3:$AN$142,40,FALSE),0)</f>
        <v>0</v>
      </c>
      <c r="U87" s="47">
        <f>(1-Forutsetninger!$B$4)*Q87+(R87+S87+T87)*Forutsetninger!$B$4</f>
        <v>53703.498054689408</v>
      </c>
      <c r="V87" s="41">
        <f>(R87+S87+T87)-G87*($K$156+$K$150)/Forutsetninger!$B$4</f>
        <v>40897.675874029272</v>
      </c>
      <c r="W87" s="296">
        <f>(1-Forutsetninger!$B$4)*Q87+Forutsetninger!$B$4*V87</f>
        <v>49053.3773393991</v>
      </c>
      <c r="X87" s="185">
        <v>49049.401526746922</v>
      </c>
      <c r="Y87" s="198">
        <f t="shared" si="15"/>
        <v>3.9758126521774102</v>
      </c>
      <c r="Z87" s="197">
        <f t="shared" si="16"/>
        <v>8.1057312187782278E-5</v>
      </c>
      <c r="AA87" s="185">
        <f t="shared" si="17"/>
        <v>3.9758126521774102</v>
      </c>
      <c r="AB87" s="197">
        <f>VLOOKUP(A87,Table1[[idaar]:[Andel SN]],8,FALSE)</f>
        <v>0.99592244490203674</v>
      </c>
      <c r="AC87" s="197">
        <f>VLOOKUP(A87,Table1[[idaar]:[Andel SN]],9,FALSE)</f>
        <v>4.0775550979632608E-3</v>
      </c>
      <c r="AD87" s="197">
        <f>VLOOKUP(A87,Table1[[idaar]:[Andel SN]],10,FALSE)</f>
        <v>0</v>
      </c>
      <c r="AE87" s="312">
        <f t="shared" si="18"/>
        <v>3.9596010570289772</v>
      </c>
      <c r="AF87" s="312">
        <f t="shared" si="19"/>
        <v>1.6211595148432831E-2</v>
      </c>
      <c r="AG87" s="312">
        <f t="shared" si="20"/>
        <v>0</v>
      </c>
    </row>
    <row r="88" spans="1:33" x14ac:dyDescent="0.2">
      <c r="A88">
        <v>2232015</v>
      </c>
      <c r="B88" t="s">
        <v>251</v>
      </c>
      <c r="C88" s="112">
        <f>VLOOKUP(A88,IRData!$A$3:$F$142,6,FALSE)</f>
        <v>25692.153755055799</v>
      </c>
      <c r="D88" s="45">
        <f>C88*Forutsetninger!$C$30</f>
        <v>27182.298672849036</v>
      </c>
      <c r="E88" s="43">
        <f>VLOOKUP($A88,IRData!$A$2:$N$142,7,FALSE)</f>
        <v>10565</v>
      </c>
      <c r="F88" s="43">
        <f>VLOOKUP($A88,IRData!$A$2:$N$142,8,FALSE)</f>
        <v>167571</v>
      </c>
      <c r="G88" s="43">
        <f>VLOOKUP($A88,IRData!$A$2:$N$142,9,FALSE)</f>
        <v>169246.71</v>
      </c>
      <c r="H88" s="43">
        <f>VLOOKUP($A88,IRData!$A$2:$N$142,10,FALSE)</f>
        <v>17168</v>
      </c>
      <c r="I88" s="43">
        <f>VLOOKUP($A88,IRData!$A$2:$N$142,11,FALSE)</f>
        <v>0</v>
      </c>
      <c r="J88" s="45">
        <f>VLOOKUP(A88,IRData!$A$3:$AF$142,32,FALSE)</f>
        <v>4889.1115055408</v>
      </c>
      <c r="K88" s="45">
        <f>VLOOKUP(A88,IRData!$A$3:$AM$142,37,FALSE)</f>
        <v>0</v>
      </c>
      <c r="L88" s="112">
        <f>VLOOKUP($A88,IRData!$A$2:$N$142,13,FALSE)</f>
        <v>1127</v>
      </c>
      <c r="M88" s="44">
        <f>L88*Forutsetninger!$C$24</f>
        <v>1188.9849999999999</v>
      </c>
      <c r="N88" s="112">
        <f>VLOOKUP(A88,IRData!$A$3:$E$142,5,FALSE)*Forutsetninger!$C$30</f>
        <v>0</v>
      </c>
      <c r="O88" s="112">
        <f>VLOOKUP(A88,IRData!$A$3:$AG$142,19,FALSE)*Forutsetninger!$C$24</f>
        <v>559.8252</v>
      </c>
      <c r="P88" s="45">
        <f t="shared" si="14"/>
        <v>43825.395178389837</v>
      </c>
      <c r="Q88" s="45">
        <f>D88+E88+J88+K88+M88+G88*Forutsetninger!$B$6+N88</f>
        <v>54183.293830389841</v>
      </c>
      <c r="R88" s="46">
        <f>IFERROR((VLOOKUP(A88,'DEAnorm D-nett'!$A$4:$H$130,8,FALSE)+O88),0)</f>
        <v>45106.449024631147</v>
      </c>
      <c r="S88" s="21">
        <f>IFERROR((VLOOKUP(A88,'DEAnorm R-nett'!$A$4:$H$85,8,FALSE)+N88+K88),N88+K88)</f>
        <v>0</v>
      </c>
      <c r="T88" s="118">
        <f>IFERROR(VLOOKUP(A88,IRData!$A$3:$AN$142,40,FALSE),0)</f>
        <v>0</v>
      </c>
      <c r="U88" s="47">
        <f>(1-Forutsetninger!$B$4)*Q88+(R88+S88+T88)*Forutsetninger!$B$4</f>
        <v>48737.186946934627</v>
      </c>
      <c r="V88" s="41">
        <f>(R88+S88+T88)-G88*($K$156+$K$150)/Forutsetninger!$B$4</f>
        <v>38363.411828525976</v>
      </c>
      <c r="W88" s="296">
        <f>(1-Forutsetninger!$B$4)*Q88+Forutsetninger!$B$4*V88</f>
        <v>44691.364629271528</v>
      </c>
      <c r="X88" s="185">
        <v>44687.169906825278</v>
      </c>
      <c r="Y88" s="198">
        <f t="shared" si="15"/>
        <v>4.1947224462492159</v>
      </c>
      <c r="Z88" s="197">
        <f t="shared" si="16"/>
        <v>9.386860826038877E-5</v>
      </c>
      <c r="AA88" s="185">
        <f t="shared" si="17"/>
        <v>4.1947224462492159</v>
      </c>
      <c r="AB88" s="197">
        <f>VLOOKUP(A88,Table1[[idaar]:[Andel SN]],8,FALSE)</f>
        <v>1</v>
      </c>
      <c r="AC88" s="197">
        <f>VLOOKUP(A88,Table1[[idaar]:[Andel SN]],9,FALSE)</f>
        <v>0</v>
      </c>
      <c r="AD88" s="197">
        <f>VLOOKUP(A88,Table1[[idaar]:[Andel SN]],10,FALSE)</f>
        <v>0</v>
      </c>
      <c r="AE88" s="312">
        <f t="shared" si="18"/>
        <v>4.1947224462492159</v>
      </c>
      <c r="AF88" s="312">
        <f t="shared" si="19"/>
        <v>0</v>
      </c>
      <c r="AG88" s="312">
        <f t="shared" si="20"/>
        <v>0</v>
      </c>
    </row>
    <row r="89" spans="1:33" x14ac:dyDescent="0.2">
      <c r="A89">
        <v>1492015</v>
      </c>
      <c r="B89" t="s">
        <v>231</v>
      </c>
      <c r="C89" s="112">
        <f>VLOOKUP(A89,IRData!$A$3:$F$142,6,FALSE)</f>
        <v>16515.090742278899</v>
      </c>
      <c r="D89" s="45">
        <f>C89*Forutsetninger!$C$30</f>
        <v>17472.966005331076</v>
      </c>
      <c r="E89" s="43">
        <f>VLOOKUP($A89,IRData!$A$2:$N$142,7,FALSE)</f>
        <v>6712</v>
      </c>
      <c r="F89" s="43">
        <f>VLOOKUP($A89,IRData!$A$2:$N$142,8,FALSE)</f>
        <v>99145</v>
      </c>
      <c r="G89" s="43">
        <f>VLOOKUP($A89,IRData!$A$2:$N$142,9,FALSE)</f>
        <v>100136.45</v>
      </c>
      <c r="H89" s="43">
        <f>VLOOKUP($A89,IRData!$A$2:$N$142,10,FALSE)</f>
        <v>6167</v>
      </c>
      <c r="I89" s="43">
        <f>VLOOKUP($A89,IRData!$A$2:$N$142,11,FALSE)</f>
        <v>0</v>
      </c>
      <c r="J89" s="45">
        <f>VLOOKUP(A89,IRData!$A$3:$AF$142,32,FALSE)</f>
        <v>1790.4852982911998</v>
      </c>
      <c r="K89" s="45">
        <f>VLOOKUP(A89,IRData!$A$3:$AM$142,37,FALSE)</f>
        <v>0</v>
      </c>
      <c r="L89" s="112">
        <f>VLOOKUP($A89,IRData!$A$2:$N$142,13,FALSE)</f>
        <v>944</v>
      </c>
      <c r="M89" s="44">
        <f>L89*Forutsetninger!$C$24</f>
        <v>995.92</v>
      </c>
      <c r="N89" s="112">
        <f>VLOOKUP(A89,IRData!$A$3:$E$142,5,FALSE)*Forutsetninger!$C$30</f>
        <v>0</v>
      </c>
      <c r="O89" s="112">
        <f>VLOOKUP(A89,IRData!$A$3:$AG$142,19,FALSE)*Forutsetninger!$C$24</f>
        <v>0</v>
      </c>
      <c r="P89" s="45">
        <f t="shared" si="14"/>
        <v>26971.371303622276</v>
      </c>
      <c r="Q89" s="45">
        <f>D89+E89+J89+K89+M89+G89*Forutsetninger!$B$6+N89</f>
        <v>33099.722043622278</v>
      </c>
      <c r="R89" s="46">
        <f>IFERROR((VLOOKUP(A89,'DEAnorm D-nett'!$A$4:$H$130,8,FALSE)+O89),0)</f>
        <v>31337.504916703027</v>
      </c>
      <c r="S89" s="21">
        <f>IFERROR((VLOOKUP(A89,'DEAnorm R-nett'!$A$4:$H$85,8,FALSE)+N89+K89),N89+K89)</f>
        <v>0</v>
      </c>
      <c r="T89" s="118">
        <f>IFERROR(VLOOKUP(A89,IRData!$A$3:$AN$142,40,FALSE),0)</f>
        <v>0</v>
      </c>
      <c r="U89" s="47">
        <f>(1-Forutsetninger!$B$4)*Q89+(R89+S89+T89)*Forutsetninger!$B$4</f>
        <v>32042.391767470726</v>
      </c>
      <c r="V89" s="41">
        <f>(R89+S89+T89)-G89*($K$156+$K$150)/Forutsetninger!$B$4</f>
        <v>27347.921857534988</v>
      </c>
      <c r="W89" s="296">
        <f>(1-Forutsetninger!$B$4)*Q89+Forutsetninger!$B$4*V89</f>
        <v>29648.641931969902</v>
      </c>
      <c r="X89" s="185">
        <v>29645.754626410289</v>
      </c>
      <c r="Y89" s="198">
        <f t="shared" si="15"/>
        <v>2.8873055596122867</v>
      </c>
      <c r="Z89" s="197">
        <f t="shared" si="16"/>
        <v>9.7393559246425611E-5</v>
      </c>
      <c r="AA89" s="185">
        <f t="shared" si="17"/>
        <v>2.8873055596122867</v>
      </c>
      <c r="AB89" s="197">
        <f>VLOOKUP(A89,Table1[[idaar]:[Andel SN]],8,FALSE)</f>
        <v>1</v>
      </c>
      <c r="AC89" s="197">
        <f>VLOOKUP(A89,Table1[[idaar]:[Andel SN]],9,FALSE)</f>
        <v>0</v>
      </c>
      <c r="AD89" s="197">
        <f>VLOOKUP(A89,Table1[[idaar]:[Andel SN]],10,FALSE)</f>
        <v>0</v>
      </c>
      <c r="AE89" s="312">
        <f t="shared" si="18"/>
        <v>2.8873055596122867</v>
      </c>
      <c r="AF89" s="312">
        <f t="shared" si="19"/>
        <v>0</v>
      </c>
      <c r="AG89" s="312">
        <f t="shared" si="20"/>
        <v>0</v>
      </c>
    </row>
    <row r="90" spans="1:33" x14ac:dyDescent="0.2">
      <c r="A90">
        <v>1022015</v>
      </c>
      <c r="B90" t="s">
        <v>221</v>
      </c>
      <c r="C90" s="112">
        <f>VLOOKUP(A90,IRData!$A$3:$F$142,6,FALSE)</f>
        <v>29859.963314230801</v>
      </c>
      <c r="D90" s="45">
        <f>C90*Forutsetninger!$C$30</f>
        <v>31591.841186456189</v>
      </c>
      <c r="E90" s="43">
        <f>VLOOKUP($A90,IRData!$A$2:$N$142,7,FALSE)</f>
        <v>8274</v>
      </c>
      <c r="F90" s="43">
        <f>VLOOKUP($A90,IRData!$A$2:$N$142,8,FALSE)</f>
        <v>87271</v>
      </c>
      <c r="G90" s="43">
        <f>VLOOKUP($A90,IRData!$A$2:$N$142,9,FALSE)</f>
        <v>88143.71</v>
      </c>
      <c r="H90" s="43">
        <f>VLOOKUP($A90,IRData!$A$2:$N$142,10,FALSE)</f>
        <v>30280</v>
      </c>
      <c r="I90" s="43">
        <f>VLOOKUP($A90,IRData!$A$2:$N$142,11,FALSE)</f>
        <v>0</v>
      </c>
      <c r="J90" s="45">
        <f>VLOOKUP(A90,IRData!$A$3:$AF$142,32,FALSE)</f>
        <v>8687.8483951199996</v>
      </c>
      <c r="K90" s="45">
        <f>VLOOKUP(A90,IRData!$A$3:$AM$142,37,FALSE)</f>
        <v>0</v>
      </c>
      <c r="L90" s="112">
        <f>VLOOKUP($A90,IRData!$A$2:$N$142,13,FALSE)</f>
        <v>1770</v>
      </c>
      <c r="M90" s="44">
        <f>L90*Forutsetninger!$C$24</f>
        <v>1867.35</v>
      </c>
      <c r="N90" s="112">
        <f>VLOOKUP(A90,IRData!$A$3:$E$142,5,FALSE)*Forutsetninger!$C$30</f>
        <v>0</v>
      </c>
      <c r="O90" s="112">
        <f>VLOOKUP(A90,IRData!$A$3:$AG$142,19,FALSE)*Forutsetninger!$C$24</f>
        <v>0</v>
      </c>
      <c r="P90" s="45">
        <f t="shared" si="14"/>
        <v>50421.039581576195</v>
      </c>
      <c r="Q90" s="45">
        <f>D90+E90+J90+K90+M90+G90*Forutsetninger!$B$6+N90</f>
        <v>55815.434633576195</v>
      </c>
      <c r="R90" s="46">
        <f>IFERROR((VLOOKUP(A90,'DEAnorm D-nett'!$A$4:$H$130,8,FALSE)+O90),0)</f>
        <v>50614.99917013423</v>
      </c>
      <c r="S90" s="21">
        <f>IFERROR((VLOOKUP(A90,'DEAnorm R-nett'!$A$4:$H$85,8,FALSE)+N90+K90),N90+K90)</f>
        <v>0</v>
      </c>
      <c r="T90" s="118">
        <f>IFERROR(VLOOKUP(A90,IRData!$A$3:$AN$142,40,FALSE),0)</f>
        <v>0</v>
      </c>
      <c r="U90" s="47">
        <f>(1-Forutsetninger!$B$4)*Q90+(R90+S90+T90)*Forutsetninger!$B$4</f>
        <v>52695.173355511011</v>
      </c>
      <c r="V90" s="41">
        <f>(R90+S90+T90)-G90*($K$156+$K$150)/Forutsetninger!$B$4</f>
        <v>47103.224464837404</v>
      </c>
      <c r="W90" s="296">
        <f>(1-Forutsetninger!$B$4)*Q90+Forutsetninger!$B$4*V90</f>
        <v>50588.108532332917</v>
      </c>
      <c r="X90" s="185">
        <v>50581.642166236954</v>
      </c>
      <c r="Y90" s="198">
        <f t="shared" si="15"/>
        <v>6.466366095963167</v>
      </c>
      <c r="Z90" s="197">
        <f t="shared" si="16"/>
        <v>1.27840177167665E-4</v>
      </c>
      <c r="AA90" s="185">
        <f t="shared" si="17"/>
        <v>6.466366095963167</v>
      </c>
      <c r="AB90" s="200">
        <v>0.63665658700087435</v>
      </c>
      <c r="AC90" s="200">
        <v>0.36334341299912559</v>
      </c>
      <c r="AD90" s="200">
        <v>0</v>
      </c>
      <c r="AE90" s="312">
        <f t="shared" si="18"/>
        <v>4.1168545689540785</v>
      </c>
      <c r="AF90" s="312">
        <f t="shared" si="19"/>
        <v>2.3495115270090885</v>
      </c>
      <c r="AG90" s="312">
        <f t="shared" si="20"/>
        <v>0</v>
      </c>
    </row>
    <row r="91" spans="1:33" x14ac:dyDescent="0.2">
      <c r="A91">
        <v>2272015</v>
      </c>
      <c r="B91" t="s">
        <v>252</v>
      </c>
      <c r="C91" s="112">
        <f>VLOOKUP(A91,IRData!$A$3:$F$142,6,FALSE)</f>
        <v>197144.37847781574</v>
      </c>
      <c r="D91" s="45">
        <f>C91*Forutsetninger!$C$30</f>
        <v>208578.75242952906</v>
      </c>
      <c r="E91" s="43">
        <f>VLOOKUP($A91,IRData!$A$2:$N$142,7,FALSE)</f>
        <v>100579</v>
      </c>
      <c r="F91" s="43">
        <f>VLOOKUP($A91,IRData!$A$2:$N$142,8,FALSE)</f>
        <v>1797113</v>
      </c>
      <c r="G91" s="43">
        <f>VLOOKUP($A91,IRData!$A$2:$N$142,9,FALSE)</f>
        <v>1815084.1300000004</v>
      </c>
      <c r="H91" s="43">
        <f>VLOOKUP($A91,IRData!$A$2:$N$142,10,FALSE)</f>
        <v>85509</v>
      </c>
      <c r="I91" s="43">
        <f>VLOOKUP($A91,IRData!$A$2:$N$142,11,FALSE)</f>
        <v>71909</v>
      </c>
      <c r="J91" s="45">
        <f>VLOOKUP(A91,IRData!$A$3:$AF$142,32,FALSE)</f>
        <v>21981.027535490703</v>
      </c>
      <c r="K91" s="45">
        <f>VLOOKUP(A91,IRData!$A$3:$AM$142,37,FALSE)</f>
        <v>18484.998176210702</v>
      </c>
      <c r="L91" s="112">
        <f>VLOOKUP($A91,IRData!$A$2:$N$142,13,FALSE)</f>
        <v>34270</v>
      </c>
      <c r="M91" s="44">
        <f>L91*Forutsetninger!$C$24</f>
        <v>36154.85</v>
      </c>
      <c r="N91" s="112">
        <f>VLOOKUP(A91,IRData!$A$3:$E$142,5,FALSE)*Forutsetninger!$C$30</f>
        <v>1256.904</v>
      </c>
      <c r="O91" s="112">
        <f>VLOOKUP(A91,IRData!$A$3:$AG$142,19,FALSE)*Forutsetninger!$C$24</f>
        <v>0</v>
      </c>
      <c r="P91" s="45">
        <f t="shared" si="14"/>
        <v>387035.53214123042</v>
      </c>
      <c r="Q91" s="45">
        <f>D91+E91+J91+K91+M91+G91*Forutsetninger!$B$6+N91</f>
        <v>498118.68089723046</v>
      </c>
      <c r="R91" s="46">
        <f>IFERROR((VLOOKUP(A91,'DEAnorm D-nett'!$A$4:$H$130,8,FALSE)+O91),0)</f>
        <v>394906.55315924285</v>
      </c>
      <c r="S91" s="21">
        <f>IFERROR((VLOOKUP(A91,'DEAnorm R-nett'!$A$4:$H$85,8,FALSE)+N91+K91),N91+K91)</f>
        <v>106222.248583742</v>
      </c>
      <c r="T91" s="118">
        <f>IFERROR(VLOOKUP(A91,IRData!$A$3:$AN$142,40,FALSE),0)</f>
        <v>14856.714970457475</v>
      </c>
      <c r="U91" s="47">
        <f>(1-Forutsetninger!$B$4)*Q91+(R91+S91+T91)*Forutsetninger!$B$4</f>
        <v>508838.78238695761</v>
      </c>
      <c r="V91" s="41">
        <f>(R91+S91+T91)-G91*($K$156+$K$150)/Forutsetninger!$B$4</f>
        <v>443669.90240903315</v>
      </c>
      <c r="W91" s="296">
        <f>(1-Forutsetninger!$B$4)*Q91+Forutsetninger!$B$4*V91</f>
        <v>465449.41380431206</v>
      </c>
      <c r="X91" s="185">
        <v>465326.95328173006</v>
      </c>
      <c r="Y91" s="198">
        <f t="shared" si="15"/>
        <v>122.46052258199779</v>
      </c>
      <c r="Z91" s="197">
        <f t="shared" si="16"/>
        <v>2.631709203998218E-4</v>
      </c>
      <c r="AA91" s="185">
        <f t="shared" si="17"/>
        <v>122.46052258199779</v>
      </c>
      <c r="AB91" s="197">
        <f>VLOOKUP(A91,Table1[[idaar]:[Andel SN]],8,FALSE)</f>
        <v>0.74857036019831213</v>
      </c>
      <c r="AC91" s="197">
        <f>VLOOKUP(A91,Table1[[idaar]:[Andel SN]],9,FALSE)</f>
        <v>0.22246291317718508</v>
      </c>
      <c r="AD91" s="197">
        <f>VLOOKUP(A91,Table1[[idaar]:[Andel SN]],10,FALSE)</f>
        <v>2.8966726624502771E-2</v>
      </c>
      <c r="AE91" s="312">
        <f t="shared" si="18"/>
        <v>91.670317499279619</v>
      </c>
      <c r="AF91" s="312">
        <f t="shared" si="19"/>
        <v>27.242924602791689</v>
      </c>
      <c r="AG91" s="312">
        <f t="shared" si="20"/>
        <v>3.5472804799264783</v>
      </c>
    </row>
    <row r="92" spans="1:33" x14ac:dyDescent="0.2">
      <c r="A92">
        <v>6592015</v>
      </c>
      <c r="B92" t="s">
        <v>184</v>
      </c>
      <c r="C92" s="112">
        <f>VLOOKUP(A92,IRData!$A$3:$F$142,6,FALSE)</f>
        <v>22550.46681030386</v>
      </c>
      <c r="D92" s="45">
        <f>C92*Forutsetninger!$C$30</f>
        <v>23858.393885301484</v>
      </c>
      <c r="E92" s="43">
        <f>VLOOKUP($A92,IRData!$A$2:$N$142,7,FALSE)</f>
        <v>12182</v>
      </c>
      <c r="F92" s="43">
        <f>VLOOKUP($A92,IRData!$A$2:$N$142,8,FALSE)</f>
        <v>192821</v>
      </c>
      <c r="G92" s="43">
        <f>VLOOKUP($A92,IRData!$A$2:$N$142,9,FALSE)</f>
        <v>194749.21</v>
      </c>
      <c r="H92" s="43">
        <f>VLOOKUP($A92,IRData!$A$2:$N$142,10,FALSE)</f>
        <v>16731</v>
      </c>
      <c r="I92" s="43">
        <f>VLOOKUP($A92,IRData!$A$2:$N$142,11,FALSE)</f>
        <v>1217</v>
      </c>
      <c r="J92" s="45">
        <f>VLOOKUP(A92,IRData!$A$3:$AF$142,32,FALSE)</f>
        <v>4764.6624300560998</v>
      </c>
      <c r="K92" s="45">
        <f>VLOOKUP(A92,IRData!$A$3:$AM$142,37,FALSE)</f>
        <v>346.57786010270001</v>
      </c>
      <c r="L92" s="112">
        <f>VLOOKUP($A92,IRData!$A$2:$N$142,13,FALSE)</f>
        <v>948</v>
      </c>
      <c r="M92" s="44">
        <f>L92*Forutsetninger!$C$24</f>
        <v>1000.14</v>
      </c>
      <c r="N92" s="112">
        <f>VLOOKUP(A92,IRData!$A$3:$E$142,5,FALSE)*Forutsetninger!$C$30</f>
        <v>0</v>
      </c>
      <c r="O92" s="112">
        <f>VLOOKUP(A92,IRData!$A$3:$AG$142,19,FALSE)*Forutsetninger!$C$24</f>
        <v>833.13350000000003</v>
      </c>
      <c r="P92" s="45">
        <f t="shared" si="14"/>
        <v>42151.774175460283</v>
      </c>
      <c r="Q92" s="45">
        <f>D92+E92+J92+K92+M92+G92*Forutsetninger!$B$6+N92</f>
        <v>54070.425827460283</v>
      </c>
      <c r="R92" s="46">
        <f>IFERROR((VLOOKUP(A92,'DEAnorm D-nett'!$A$4:$H$130,8,FALSE)+O92),0)</f>
        <v>58370.313726734305</v>
      </c>
      <c r="S92" s="21">
        <f>IFERROR((VLOOKUP(A92,'DEAnorm R-nett'!$A$4:$H$85,8,FALSE)+N92+K92),N92+K92)</f>
        <v>3063.9109556227486</v>
      </c>
      <c r="T92" s="118">
        <f>IFERROR(VLOOKUP(A92,IRData!$A$3:$AN$142,40,FALSE),0)</f>
        <v>0</v>
      </c>
      <c r="U92" s="47">
        <f>(1-Forutsetninger!$B$4)*Q92+(R92+S92+T92)*Forutsetninger!$B$4</f>
        <v>58488.70514039835</v>
      </c>
      <c r="V92" s="41">
        <f>(R92+S92+T92)-G92*($K$156+$K$150)/Forutsetninger!$B$4</f>
        <v>53675.130476377526</v>
      </c>
      <c r="W92" s="296">
        <f>(1-Forutsetninger!$B$4)*Q92+Forutsetninger!$B$4*V92</f>
        <v>53833.248616810626</v>
      </c>
      <c r="X92" s="185">
        <v>53818.333482651818</v>
      </c>
      <c r="Y92" s="198">
        <f t="shared" si="15"/>
        <v>14.915134158807632</v>
      </c>
      <c r="Z92" s="197">
        <f t="shared" si="16"/>
        <v>2.7713853613872084E-4</v>
      </c>
      <c r="AA92" s="185">
        <f t="shared" si="17"/>
        <v>14.915134158807632</v>
      </c>
      <c r="AB92" s="197">
        <f>VLOOKUP(A92,Table1[[idaar]:[Andel SN]],8,FALSE)</f>
        <v>0.95298970604630417</v>
      </c>
      <c r="AC92" s="197">
        <f>VLOOKUP(A92,Table1[[idaar]:[Andel SN]],9,FALSE)</f>
        <v>4.7010293953695791E-2</v>
      </c>
      <c r="AD92" s="197">
        <f>VLOOKUP(A92,Table1[[idaar]:[Andel SN]],10,FALSE)</f>
        <v>0</v>
      </c>
      <c r="AE92" s="312">
        <f t="shared" si="18"/>
        <v>14.213969317643276</v>
      </c>
      <c r="AF92" s="312">
        <f t="shared" si="19"/>
        <v>0.70116484116435596</v>
      </c>
      <c r="AG92" s="312">
        <f t="shared" si="20"/>
        <v>0</v>
      </c>
    </row>
    <row r="93" spans="1:33" x14ac:dyDescent="0.2">
      <c r="A93">
        <v>5422015</v>
      </c>
      <c r="B93" t="s">
        <v>278</v>
      </c>
      <c r="C93" s="112">
        <f>VLOOKUP(A93,IRData!$A$3:$F$142,6,FALSE)</f>
        <v>40897.541616457376</v>
      </c>
      <c r="D93" s="45">
        <f>C93*Forutsetninger!$C$30</f>
        <v>43269.599030211903</v>
      </c>
      <c r="E93" s="43">
        <f>VLOOKUP($A93,IRData!$A$2:$N$142,7,FALSE)</f>
        <v>13668</v>
      </c>
      <c r="F93" s="43">
        <f>VLOOKUP($A93,IRData!$A$2:$N$142,8,FALSE)</f>
        <v>212489</v>
      </c>
      <c r="G93" s="43">
        <f>VLOOKUP($A93,IRData!$A$2:$N$142,9,FALSE)</f>
        <v>214613.88999999998</v>
      </c>
      <c r="H93" s="43">
        <f>VLOOKUP($A93,IRData!$A$2:$N$142,10,FALSE)</f>
        <v>19775</v>
      </c>
      <c r="I93" s="43">
        <f>VLOOKUP($A93,IRData!$A$2:$N$142,11,FALSE)</f>
        <v>0</v>
      </c>
      <c r="J93" s="45">
        <f>VLOOKUP(A93,IRData!$A$3:$AF$142,32,FALSE)</f>
        <v>5673.7847428499999</v>
      </c>
      <c r="K93" s="45">
        <f>VLOOKUP(A93,IRData!$A$3:$AM$142,37,FALSE)</f>
        <v>0</v>
      </c>
      <c r="L93" s="112">
        <f>VLOOKUP($A93,IRData!$A$2:$N$142,13,FALSE)</f>
        <v>2648</v>
      </c>
      <c r="M93" s="44">
        <f>L93*Forutsetninger!$C$24</f>
        <v>2793.64</v>
      </c>
      <c r="N93" s="112">
        <f>VLOOKUP(A93,IRData!$A$3:$E$142,5,FALSE)*Forutsetninger!$C$30</f>
        <v>0</v>
      </c>
      <c r="O93" s="112">
        <f>VLOOKUP(A93,IRData!$A$3:$AG$142,19,FALSE)*Forutsetninger!$C$24</f>
        <v>971.98204999999984</v>
      </c>
      <c r="P93" s="45">
        <f t="shared" si="14"/>
        <v>65405.023773061905</v>
      </c>
      <c r="Q93" s="45">
        <f>D93+E93+J93+K93+M93+G93*Forutsetninger!$B$6+N93</f>
        <v>78539.393841061901</v>
      </c>
      <c r="R93" s="46">
        <f>IFERROR((VLOOKUP(A93,'DEAnorm D-nett'!$A$4:$H$130,8,FALSE)+O93),0)</f>
        <v>74455.159973916656</v>
      </c>
      <c r="S93" s="21">
        <f>IFERROR((VLOOKUP(A93,'DEAnorm R-nett'!$A$4:$H$85,8,FALSE)+N93+K93),N93+K93)</f>
        <v>444.98492253491503</v>
      </c>
      <c r="T93" s="118">
        <f>IFERROR(VLOOKUP(A93,IRData!$A$3:$AN$142,40,FALSE),0)</f>
        <v>0</v>
      </c>
      <c r="U93" s="47">
        <f>(1-Forutsetninger!$B$4)*Q93+(R93+S93+T93)*Forutsetninger!$B$4</f>
        <v>76355.844474295707</v>
      </c>
      <c r="V93" s="41">
        <f>(R93+S93+T93)-G93*($K$156+$K$150)/Forutsetninger!$B$4</f>
        <v>66349.612699572681</v>
      </c>
      <c r="W93" s="296">
        <f>(1-Forutsetninger!$B$4)*Q93+Forutsetninger!$B$4*V93</f>
        <v>71225.525156168369</v>
      </c>
      <c r="X93" s="185">
        <v>71204.862348789276</v>
      </c>
      <c r="Y93" s="198">
        <f t="shared" si="15"/>
        <v>20.662807379092555</v>
      </c>
      <c r="Z93" s="197">
        <f t="shared" si="16"/>
        <v>2.9018815144783288E-4</v>
      </c>
      <c r="AA93" s="185">
        <f t="shared" si="17"/>
        <v>20.662807379092555</v>
      </c>
      <c r="AB93" s="197">
        <f>VLOOKUP(A93,Table1[[idaar]:[Andel SN]],8,FALSE)</f>
        <v>1</v>
      </c>
      <c r="AC93" s="197">
        <f>VLOOKUP(A93,Table1[[idaar]:[Andel SN]],9,FALSE)</f>
        <v>0</v>
      </c>
      <c r="AD93" s="197">
        <f>VLOOKUP(A93,Table1[[idaar]:[Andel SN]],10,FALSE)</f>
        <v>0</v>
      </c>
      <c r="AE93" s="312">
        <f t="shared" si="18"/>
        <v>20.662807379092555</v>
      </c>
      <c r="AF93" s="312">
        <f t="shared" si="19"/>
        <v>0</v>
      </c>
      <c r="AG93" s="312">
        <f t="shared" si="20"/>
        <v>0</v>
      </c>
    </row>
    <row r="94" spans="1:33" x14ac:dyDescent="0.2">
      <c r="A94">
        <v>5782015</v>
      </c>
      <c r="B94" t="s">
        <v>281</v>
      </c>
      <c r="C94" s="112">
        <f>VLOOKUP(A94,IRData!$A$3:$F$142,6,FALSE)</f>
        <v>11251.3572893415</v>
      </c>
      <c r="D94" s="45">
        <f>C94*Forutsetninger!$C$30</f>
        <v>11903.936012123308</v>
      </c>
      <c r="E94" s="43">
        <f>VLOOKUP($A94,IRData!$A$2:$N$142,7,FALSE)</f>
        <v>4600</v>
      </c>
      <c r="F94" s="43">
        <f>VLOOKUP($A94,IRData!$A$2:$N$142,8,FALSE)</f>
        <v>74384</v>
      </c>
      <c r="G94" s="43">
        <f>VLOOKUP($A94,IRData!$A$2:$N$142,9,FALSE)</f>
        <v>75127.839999999997</v>
      </c>
      <c r="H94" s="43">
        <f>VLOOKUP($A94,IRData!$A$2:$N$142,10,FALSE)</f>
        <v>4456</v>
      </c>
      <c r="I94" s="43">
        <f>VLOOKUP($A94,IRData!$A$2:$N$142,11,FALSE)</f>
        <v>0</v>
      </c>
      <c r="J94" s="45">
        <f>VLOOKUP(A94,IRData!$A$3:$AF$142,32,FALSE)</f>
        <v>1278.5023926240001</v>
      </c>
      <c r="K94" s="45">
        <f>VLOOKUP(A94,IRData!$A$3:$AM$142,37,FALSE)</f>
        <v>0</v>
      </c>
      <c r="L94" s="112">
        <f>VLOOKUP($A94,IRData!$A$2:$N$142,13,FALSE)</f>
        <v>289</v>
      </c>
      <c r="M94" s="44">
        <f>L94*Forutsetninger!$C$24</f>
        <v>304.89499999999998</v>
      </c>
      <c r="N94" s="112">
        <f>VLOOKUP(A94,IRData!$A$3:$E$142,5,FALSE)*Forutsetninger!$C$30</f>
        <v>0</v>
      </c>
      <c r="O94" s="112">
        <f>VLOOKUP(A94,IRData!$A$3:$AG$142,19,FALSE)*Forutsetninger!$C$24</f>
        <v>34.709499999999998</v>
      </c>
      <c r="P94" s="45">
        <f t="shared" si="14"/>
        <v>18087.333404747307</v>
      </c>
      <c r="Q94" s="45">
        <f>D94+E94+J94+K94+M94+G94*Forutsetninger!$B$6+N94</f>
        <v>22685.157212747305</v>
      </c>
      <c r="R94" s="46">
        <f>IFERROR((VLOOKUP(A94,'DEAnorm D-nett'!$A$4:$H$130,8,FALSE)+O94),0)</f>
        <v>21507.370165974251</v>
      </c>
      <c r="S94" s="21">
        <f>IFERROR((VLOOKUP(A94,'DEAnorm R-nett'!$A$4:$H$85,8,FALSE)+N94+K94),N94+K94)</f>
        <v>0</v>
      </c>
      <c r="T94" s="118">
        <f>IFERROR(VLOOKUP(A94,IRData!$A$3:$AN$142,40,FALSE),0)</f>
        <v>0</v>
      </c>
      <c r="U94" s="47">
        <f>(1-Forutsetninger!$B$4)*Q94+(R94+S94+T94)*Forutsetninger!$B$4</f>
        <v>21978.48498468347</v>
      </c>
      <c r="V94" s="41">
        <f>(R94+S94+T94)-G94*($K$156+$K$150)/Forutsetninger!$B$4</f>
        <v>18514.166814588349</v>
      </c>
      <c r="W94" s="296">
        <f>(1-Forutsetninger!$B$4)*Q94+Forutsetninger!$B$4*V94</f>
        <v>20182.562973851931</v>
      </c>
      <c r="X94" s="185">
        <v>20176.424937865522</v>
      </c>
      <c r="Y94" s="198">
        <f t="shared" si="15"/>
        <v>6.138035986408795</v>
      </c>
      <c r="Z94" s="197">
        <f t="shared" si="16"/>
        <v>3.0421821533355067E-4</v>
      </c>
      <c r="AA94" s="185">
        <f t="shared" si="17"/>
        <v>6.138035986408795</v>
      </c>
      <c r="AB94" s="197">
        <f>VLOOKUP(A94,Table1[[idaar]:[Andel SN]],8,FALSE)</f>
        <v>1</v>
      </c>
      <c r="AC94" s="197">
        <f>VLOOKUP(A94,Table1[[idaar]:[Andel SN]],9,FALSE)</f>
        <v>0</v>
      </c>
      <c r="AD94" s="197">
        <f>VLOOKUP(A94,Table1[[idaar]:[Andel SN]],10,FALSE)</f>
        <v>0</v>
      </c>
      <c r="AE94" s="312">
        <f t="shared" si="18"/>
        <v>6.138035986408795</v>
      </c>
      <c r="AF94" s="312">
        <f t="shared" si="19"/>
        <v>0</v>
      </c>
      <c r="AG94" s="312">
        <f t="shared" si="20"/>
        <v>0</v>
      </c>
    </row>
    <row r="95" spans="1:33" x14ac:dyDescent="0.2">
      <c r="A95">
        <v>462015</v>
      </c>
      <c r="B95" t="s">
        <v>203</v>
      </c>
      <c r="C95" s="112">
        <f>VLOOKUP(A95,IRData!$A$3:$F$142,6,FALSE)</f>
        <v>8730.5851453639207</v>
      </c>
      <c r="D95" s="45">
        <f>C95*Forutsetninger!$C$30</f>
        <v>9236.9590837950291</v>
      </c>
      <c r="E95" s="43">
        <f>VLOOKUP($A95,IRData!$A$2:$N$142,7,FALSE)</f>
        <v>2035</v>
      </c>
      <c r="F95" s="43">
        <f>VLOOKUP($A95,IRData!$A$2:$N$142,8,FALSE)</f>
        <v>29867</v>
      </c>
      <c r="G95" s="43">
        <f>VLOOKUP($A95,IRData!$A$2:$N$142,9,FALSE)</f>
        <v>30165.67</v>
      </c>
      <c r="H95" s="43">
        <f>VLOOKUP($A95,IRData!$A$2:$N$142,10,FALSE)</f>
        <v>2428</v>
      </c>
      <c r="I95" s="43">
        <f>VLOOKUP($A95,IRData!$A$2:$N$142,11,FALSE)</f>
        <v>0</v>
      </c>
      <c r="J95" s="45">
        <f>VLOOKUP(A95,IRData!$A$3:$AF$142,32,FALSE)</f>
        <v>691.44703724680005</v>
      </c>
      <c r="K95" s="45">
        <f>VLOOKUP(A95,IRData!$A$3:$AM$142,37,FALSE)</f>
        <v>0</v>
      </c>
      <c r="L95" s="112">
        <f>VLOOKUP($A95,IRData!$A$2:$N$142,13,FALSE)</f>
        <v>460</v>
      </c>
      <c r="M95" s="44">
        <f>L95*Forutsetninger!$C$24</f>
        <v>485.29999999999995</v>
      </c>
      <c r="N95" s="112">
        <f>VLOOKUP(A95,IRData!$A$3:$E$142,5,FALSE)*Forutsetninger!$C$30</f>
        <v>0</v>
      </c>
      <c r="O95" s="112">
        <f>VLOOKUP(A95,IRData!$A$3:$AG$142,19,FALSE)*Forutsetninger!$C$24</f>
        <v>0</v>
      </c>
      <c r="P95" s="45">
        <f t="shared" si="14"/>
        <v>12448.706121041829</v>
      </c>
      <c r="Q95" s="45">
        <f>D95+E95+J95+K95+M95+G95*Forutsetninger!$B$6+N95</f>
        <v>14294.845125041829</v>
      </c>
      <c r="R95" s="46">
        <f>IFERROR((VLOOKUP(A95,'DEAnorm D-nett'!$A$4:$H$130,8,FALSE)+O95),0)</f>
        <v>12681.307912241267</v>
      </c>
      <c r="S95" s="21">
        <f>IFERROR((VLOOKUP(A95,'DEAnorm R-nett'!$A$4:$H$85,8,FALSE)+N95+K95),N95+K95)</f>
        <v>0</v>
      </c>
      <c r="T95" s="118">
        <f>IFERROR(VLOOKUP(A95,IRData!$A$3:$AN$142,40,FALSE),0)</f>
        <v>0</v>
      </c>
      <c r="U95" s="47">
        <f>(1-Forutsetninger!$B$4)*Q95+(R95+S95+T95)*Forutsetninger!$B$4</f>
        <v>13326.722797361492</v>
      </c>
      <c r="V95" s="41">
        <f>(R95+S95+T95)-G95*($K$156+$K$150)/Forutsetninger!$B$4</f>
        <v>11479.463369115827</v>
      </c>
      <c r="W95" s="296">
        <f>(1-Forutsetninger!$B$4)*Q95+Forutsetninger!$B$4*V95</f>
        <v>12605.616071486227</v>
      </c>
      <c r="X95" s="185">
        <v>12601.591392710576</v>
      </c>
      <c r="Y95" s="198">
        <f t="shared" si="15"/>
        <v>4.0246787756514095</v>
      </c>
      <c r="Z95" s="197">
        <f t="shared" si="16"/>
        <v>3.1937861260757078E-4</v>
      </c>
      <c r="AA95" s="185">
        <f t="shared" si="17"/>
        <v>4.0246787756514095</v>
      </c>
      <c r="AB95" s="197">
        <f>VLOOKUP(A95,Table1[[idaar]:[Andel SN]],8,FALSE)</f>
        <v>1</v>
      </c>
      <c r="AC95" s="197">
        <f>VLOOKUP(A95,Table1[[idaar]:[Andel SN]],9,FALSE)</f>
        <v>0</v>
      </c>
      <c r="AD95" s="197">
        <f>VLOOKUP(A95,Table1[[idaar]:[Andel SN]],10,FALSE)</f>
        <v>0</v>
      </c>
      <c r="AE95" s="312">
        <f t="shared" si="18"/>
        <v>4.0246787756514095</v>
      </c>
      <c r="AF95" s="312">
        <f t="shared" si="19"/>
        <v>0</v>
      </c>
      <c r="AG95" s="312">
        <f t="shared" si="20"/>
        <v>0</v>
      </c>
    </row>
    <row r="96" spans="1:33" x14ac:dyDescent="0.2">
      <c r="A96">
        <v>1612015</v>
      </c>
      <c r="B96" t="s">
        <v>170</v>
      </c>
      <c r="C96" s="112">
        <f>VLOOKUP(A96,IRData!$A$3:$F$142,6,FALSE)</f>
        <v>17398.677965630392</v>
      </c>
      <c r="D96" s="45">
        <f>C96*Forutsetninger!$C$30</f>
        <v>18407.801287636954</v>
      </c>
      <c r="E96" s="43">
        <f>VLOOKUP($A96,IRData!$A$2:$N$142,7,FALSE)</f>
        <v>3469</v>
      </c>
      <c r="F96" s="43">
        <f>VLOOKUP($A96,IRData!$A$2:$N$142,8,FALSE)</f>
        <v>44847</v>
      </c>
      <c r="G96" s="43">
        <f>VLOOKUP($A96,IRData!$A$2:$N$142,9,FALSE)</f>
        <v>45295.47</v>
      </c>
      <c r="H96" s="43">
        <f>VLOOKUP($A96,IRData!$A$2:$N$142,10,FALSE)</f>
        <v>8040</v>
      </c>
      <c r="I96" s="43">
        <f>VLOOKUP($A96,IRData!$A$2:$N$142,11,FALSE)</f>
        <v>900</v>
      </c>
      <c r="J96" s="45">
        <f>VLOOKUP(A96,IRData!$A$3:$AF$142,32,FALSE)</f>
        <v>2289.6351645240002</v>
      </c>
      <c r="K96" s="45">
        <f>VLOOKUP(A96,IRData!$A$3:$AM$142,37,FALSE)</f>
        <v>256.30244378999998</v>
      </c>
      <c r="L96" s="112">
        <f>VLOOKUP($A96,IRData!$A$2:$N$142,13,FALSE)</f>
        <v>469</v>
      </c>
      <c r="M96" s="44">
        <f>L96*Forutsetninger!$C$24</f>
        <v>494.79499999999996</v>
      </c>
      <c r="N96" s="112">
        <f>VLOOKUP(A96,IRData!$A$3:$E$142,5,FALSE)*Forutsetninger!$C$30</f>
        <v>0</v>
      </c>
      <c r="O96" s="112">
        <f>VLOOKUP(A96,IRData!$A$3:$AG$142,19,FALSE)*Forutsetninger!$C$24</f>
        <v>0</v>
      </c>
      <c r="P96" s="45">
        <f t="shared" si="14"/>
        <v>24917.53389595095</v>
      </c>
      <c r="Q96" s="45">
        <f>D96+E96+J96+K96+M96+G96*Forutsetninger!$B$6+N96</f>
        <v>27689.616659950949</v>
      </c>
      <c r="R96" s="46">
        <f>IFERROR((VLOOKUP(A96,'DEAnorm D-nett'!$A$4:$H$130,8,FALSE)+O96),0)</f>
        <v>20879.803141489803</v>
      </c>
      <c r="S96" s="21">
        <f>IFERROR((VLOOKUP(A96,'DEAnorm R-nett'!$A$4:$H$85,8,FALSE)+N96+K96),N96+K96)</f>
        <v>2351.8576416207111</v>
      </c>
      <c r="T96" s="118">
        <f>IFERROR(VLOOKUP(A96,IRData!$A$3:$AN$142,40,FALSE),0)</f>
        <v>0</v>
      </c>
      <c r="U96" s="47">
        <f>(1-Forutsetninger!$B$4)*Q96+(R96+S96+T96)*Forutsetninger!$B$4</f>
        <v>25014.843133846691</v>
      </c>
      <c r="V96" s="41">
        <f>(R96+S96+T96)-G96*($K$156+$K$150)/Forutsetninger!$B$4</f>
        <v>21427.022813928921</v>
      </c>
      <c r="W96" s="296">
        <f>(1-Forutsetninger!$B$4)*Q96+Forutsetninger!$B$4*V96</f>
        <v>23932.060352337736</v>
      </c>
      <c r="X96" s="185">
        <v>23923.769632041367</v>
      </c>
      <c r="Y96" s="198">
        <f t="shared" si="15"/>
        <v>8.2907202963688178</v>
      </c>
      <c r="Z96" s="197">
        <f t="shared" si="16"/>
        <v>3.4654740552529672E-4</v>
      </c>
      <c r="AA96" s="185">
        <f t="shared" si="17"/>
        <v>8.2907202963688178</v>
      </c>
      <c r="AB96" s="197">
        <f>VLOOKUP(A96,Table1[[idaar]:[Andel SN]],8,FALSE)</f>
        <v>0.88998495234910546</v>
      </c>
      <c r="AC96" s="197">
        <f>VLOOKUP(A96,Table1[[idaar]:[Andel SN]],9,FALSE)</f>
        <v>0.1100150476508945</v>
      </c>
      <c r="AD96" s="197">
        <f>VLOOKUP(A96,Table1[[idaar]:[Andel SN]],10,FALSE)</f>
        <v>0</v>
      </c>
      <c r="AE96" s="312">
        <f t="shared" si="18"/>
        <v>7.378616307903564</v>
      </c>
      <c r="AF96" s="312">
        <f t="shared" si="19"/>
        <v>0.91210398846525365</v>
      </c>
      <c r="AG96" s="312">
        <f t="shared" si="20"/>
        <v>0</v>
      </c>
    </row>
    <row r="97" spans="1:33" x14ac:dyDescent="0.2">
      <c r="A97">
        <v>632015</v>
      </c>
      <c r="B97" t="s">
        <v>209</v>
      </c>
      <c r="C97" s="112">
        <f>VLOOKUP(A97,IRData!$A$3:$F$142,6,FALSE)</f>
        <v>26776.242785160608</v>
      </c>
      <c r="D97" s="45">
        <f>C97*Forutsetninger!$C$30</f>
        <v>28329.264866699923</v>
      </c>
      <c r="E97" s="43">
        <f>VLOOKUP($A97,IRData!$A$2:$N$142,7,FALSE)</f>
        <v>9533</v>
      </c>
      <c r="F97" s="43">
        <f>VLOOKUP($A97,IRData!$A$2:$N$142,8,FALSE)</f>
        <v>112220</v>
      </c>
      <c r="G97" s="43">
        <f>VLOOKUP($A97,IRData!$A$2:$N$142,9,FALSE)</f>
        <v>113342.2</v>
      </c>
      <c r="H97" s="43">
        <f>VLOOKUP($A97,IRData!$A$2:$N$142,10,FALSE)</f>
        <v>8161</v>
      </c>
      <c r="I97" s="43">
        <f>VLOOKUP($A97,IRData!$A$2:$N$142,11,FALSE)</f>
        <v>1014</v>
      </c>
      <c r="J97" s="45">
        <f>VLOOKUP(A97,IRData!$A$3:$AF$142,32,FALSE)</f>
        <v>2097.8746765503001</v>
      </c>
      <c r="K97" s="45">
        <f>VLOOKUP(A97,IRData!$A$3:$AM$142,37,FALSE)</f>
        <v>260.65983605220003</v>
      </c>
      <c r="L97" s="112">
        <f>VLOOKUP($A97,IRData!$A$2:$N$142,13,FALSE)</f>
        <v>2387</v>
      </c>
      <c r="M97" s="44">
        <f>L97*Forutsetninger!$C$24</f>
        <v>2518.2849999999999</v>
      </c>
      <c r="N97" s="112">
        <f>VLOOKUP(A97,IRData!$A$3:$E$142,5,FALSE)*Forutsetninger!$C$30</f>
        <v>0</v>
      </c>
      <c r="O97" s="112">
        <f>VLOOKUP(A97,IRData!$A$3:$AG$142,19,FALSE)*Forutsetninger!$C$24</f>
        <v>277.70765</v>
      </c>
      <c r="P97" s="45">
        <f t="shared" si="14"/>
        <v>42739.084379302425</v>
      </c>
      <c r="Q97" s="45">
        <f>D97+E97+J97+K97+M97+G97*Forutsetninger!$B$6+N97</f>
        <v>49675.627019302425</v>
      </c>
      <c r="R97" s="46">
        <f>IFERROR((VLOOKUP(A97,'DEAnorm D-nett'!$A$4:$H$130,8,FALSE)+O97),0)</f>
        <v>37354.192089413642</v>
      </c>
      <c r="S97" s="21">
        <f>IFERROR((VLOOKUP(A97,'DEAnorm R-nett'!$A$4:$H$85,8,FALSE)+N97+K97),N97+K97)</f>
        <v>5184.5453181776638</v>
      </c>
      <c r="T97" s="118">
        <f>IFERROR(VLOOKUP(A97,IRData!$A$3:$AN$142,40,FALSE),0)</f>
        <v>0</v>
      </c>
      <c r="U97" s="47">
        <f>(1-Forutsetninger!$B$4)*Q97+(R97+S97+T97)*Forutsetninger!$B$4</f>
        <v>45393.493252275752</v>
      </c>
      <c r="V97" s="41">
        <f>(R97+S97+T97)-G97*($K$156+$K$150)/Forutsetninger!$B$4</f>
        <v>38023.017896775455</v>
      </c>
      <c r="W97" s="296">
        <f>(1-Forutsetninger!$B$4)*Q97+Forutsetninger!$B$4*V97</f>
        <v>42684.061545786244</v>
      </c>
      <c r="X97" s="185">
        <v>42667.155351957379</v>
      </c>
      <c r="Y97" s="198">
        <f t="shared" si="15"/>
        <v>16.906193828865071</v>
      </c>
      <c r="Z97" s="197">
        <f t="shared" si="16"/>
        <v>3.9623437956918986E-4</v>
      </c>
      <c r="AA97" s="185">
        <f t="shared" si="17"/>
        <v>16.906193828865071</v>
      </c>
      <c r="AB97" s="197">
        <f>VLOOKUP(A97,Table1[[idaar]:[Andel SN]],8,FALSE)</f>
        <v>0.85088130508156756</v>
      </c>
      <c r="AC97" s="197">
        <f>VLOOKUP(A97,Table1[[idaar]:[Andel SN]],9,FALSE)</f>
        <v>0.14911869491843241</v>
      </c>
      <c r="AD97" s="197">
        <f>VLOOKUP(A97,Table1[[idaar]:[Andel SN]],10,FALSE)</f>
        <v>0</v>
      </c>
      <c r="AE97" s="312">
        <f t="shared" si="18"/>
        <v>14.385164269066655</v>
      </c>
      <c r="AF97" s="312">
        <f t="shared" si="19"/>
        <v>2.5210295597984151</v>
      </c>
      <c r="AG97" s="312">
        <f t="shared" si="20"/>
        <v>0</v>
      </c>
    </row>
    <row r="98" spans="1:33" x14ac:dyDescent="0.2">
      <c r="A98">
        <v>2642015</v>
      </c>
      <c r="B98" t="s">
        <v>260</v>
      </c>
      <c r="C98" s="112">
        <f>VLOOKUP(A98,IRData!$A$3:$F$142,6,FALSE)</f>
        <v>18633.8354073357</v>
      </c>
      <c r="D98" s="45">
        <f>C98*Forutsetninger!$C$30</f>
        <v>19714.59786096117</v>
      </c>
      <c r="E98" s="43">
        <f>VLOOKUP($A98,IRData!$A$2:$N$142,7,FALSE)</f>
        <v>12534</v>
      </c>
      <c r="F98" s="43">
        <f>VLOOKUP($A98,IRData!$A$2:$N$142,8,FALSE)</f>
        <v>138850</v>
      </c>
      <c r="G98" s="43">
        <f>VLOOKUP($A98,IRData!$A$2:$N$142,9,FALSE)</f>
        <v>140238.5</v>
      </c>
      <c r="H98" s="43">
        <f>VLOOKUP($A98,IRData!$A$2:$N$142,10,FALSE)</f>
        <v>15091</v>
      </c>
      <c r="I98" s="43">
        <f>VLOOKUP($A98,IRData!$A$2:$N$142,11,FALSE)</f>
        <v>0</v>
      </c>
      <c r="J98" s="45">
        <f>VLOOKUP(A98,IRData!$A$3:$AF$142,32,FALSE)</f>
        <v>4329.8652619140003</v>
      </c>
      <c r="K98" s="45">
        <f>VLOOKUP(A98,IRData!$A$3:$AM$142,37,FALSE)</f>
        <v>0</v>
      </c>
      <c r="L98" s="112">
        <f>VLOOKUP($A98,IRData!$A$2:$N$142,13,FALSE)</f>
        <v>709</v>
      </c>
      <c r="M98" s="44">
        <f>L98*Forutsetninger!$C$24</f>
        <v>747.995</v>
      </c>
      <c r="N98" s="112">
        <f>VLOOKUP(A98,IRData!$A$3:$E$142,5,FALSE)*Forutsetninger!$C$30</f>
        <v>0</v>
      </c>
      <c r="O98" s="112">
        <f>VLOOKUP(A98,IRData!$A$3:$AG$142,19,FALSE)*Forutsetninger!$C$24</f>
        <v>0</v>
      </c>
      <c r="P98" s="45">
        <f t="shared" si="14"/>
        <v>37326.45812287517</v>
      </c>
      <c r="Q98" s="45">
        <f>D98+E98+J98+K98+M98+G98*Forutsetninger!$B$6+N98</f>
        <v>45909.05432287517</v>
      </c>
      <c r="R98" s="46">
        <f>IFERROR((VLOOKUP(A98,'DEAnorm D-nett'!$A$4:$H$130,8,FALSE)+O98),0)</f>
        <v>47826.819438654347</v>
      </c>
      <c r="S98" s="21">
        <f>IFERROR((VLOOKUP(A98,'DEAnorm R-nett'!$A$4:$H$85,8,FALSE)+N98+K98),N98+K98)</f>
        <v>0</v>
      </c>
      <c r="T98" s="118">
        <f>IFERROR(VLOOKUP(A98,IRData!$A$3:$AN$142,40,FALSE),0)</f>
        <v>0</v>
      </c>
      <c r="U98" s="47">
        <f>(1-Forutsetninger!$B$4)*Q98+(R98+S98+T98)*Forutsetninger!$B$4</f>
        <v>47059.713392342674</v>
      </c>
      <c r="V98" s="41">
        <f>(R98+S98+T98)-G98*($K$156+$K$150)/Forutsetninger!$B$4</f>
        <v>42239.511881384875</v>
      </c>
      <c r="W98" s="296">
        <f>(1-Forutsetninger!$B$4)*Q98+Forutsetninger!$B$4*V98</f>
        <v>43707.328857980989</v>
      </c>
      <c r="X98" s="185">
        <v>43688.99578855469</v>
      </c>
      <c r="Y98" s="198">
        <f t="shared" si="15"/>
        <v>18.333069426298607</v>
      </c>
      <c r="Z98" s="197">
        <f t="shared" si="16"/>
        <v>4.196267068033952E-4</v>
      </c>
      <c r="AA98" s="185">
        <f t="shared" si="17"/>
        <v>18.333069426298607</v>
      </c>
      <c r="AB98" s="197">
        <f>VLOOKUP(A98,Table1[[idaar]:[Andel SN]],8,FALSE)</f>
        <v>1</v>
      </c>
      <c r="AC98" s="197">
        <f>VLOOKUP(A98,Table1[[idaar]:[Andel SN]],9,FALSE)</f>
        <v>0</v>
      </c>
      <c r="AD98" s="197">
        <f>VLOOKUP(A98,Table1[[idaar]:[Andel SN]],10,FALSE)</f>
        <v>0</v>
      </c>
      <c r="AE98" s="312">
        <f t="shared" si="18"/>
        <v>18.333069426298607</v>
      </c>
      <c r="AF98" s="312">
        <f t="shared" si="19"/>
        <v>0</v>
      </c>
      <c r="AG98" s="312">
        <f t="shared" si="20"/>
        <v>0</v>
      </c>
    </row>
    <row r="99" spans="1:33" x14ac:dyDescent="0.2">
      <c r="A99">
        <v>1682015</v>
      </c>
      <c r="B99" t="s">
        <v>237</v>
      </c>
      <c r="C99" s="112">
        <f>VLOOKUP(A99,IRData!$A$3:$F$142,6,FALSE)</f>
        <v>7266.8389031275101</v>
      </c>
      <c r="D99" s="45">
        <f>C99*Forutsetninger!$C$30</f>
        <v>7688.3155595089056</v>
      </c>
      <c r="E99" s="43">
        <f>VLOOKUP($A99,IRData!$A$2:$N$142,7,FALSE)</f>
        <v>1447</v>
      </c>
      <c r="F99" s="43">
        <f>VLOOKUP($A99,IRData!$A$2:$N$142,8,FALSE)</f>
        <v>20958</v>
      </c>
      <c r="G99" s="43">
        <f>VLOOKUP($A99,IRData!$A$2:$N$142,9,FALSE)</f>
        <v>21167.58</v>
      </c>
      <c r="H99" s="43">
        <f>VLOOKUP($A99,IRData!$A$2:$N$142,10,FALSE)</f>
        <v>2730</v>
      </c>
      <c r="I99" s="43">
        <f>VLOOKUP($A99,IRData!$A$2:$N$142,11,FALSE)</f>
        <v>0</v>
      </c>
      <c r="J99" s="45">
        <f>VLOOKUP(A99,IRData!$A$3:$AF$142,32,FALSE)</f>
        <v>783.28355741999997</v>
      </c>
      <c r="K99" s="45">
        <f>VLOOKUP(A99,IRData!$A$3:$AM$142,37,FALSE)</f>
        <v>0</v>
      </c>
      <c r="L99" s="112">
        <f>VLOOKUP($A99,IRData!$A$2:$N$142,13,FALSE)</f>
        <v>392</v>
      </c>
      <c r="M99" s="44">
        <f>L99*Forutsetninger!$C$24</f>
        <v>413.56</v>
      </c>
      <c r="N99" s="112">
        <f>VLOOKUP(A99,IRData!$A$3:$E$142,5,FALSE)*Forutsetninger!$C$30</f>
        <v>0</v>
      </c>
      <c r="O99" s="112">
        <f>VLOOKUP(A99,IRData!$A$3:$AG$142,19,FALSE)*Forutsetninger!$C$24</f>
        <v>0</v>
      </c>
      <c r="P99" s="45">
        <f t="shared" ref="P99:P130" si="21">D99+E99+K99+J99+M99+N99</f>
        <v>10332.159116928904</v>
      </c>
      <c r="Q99" s="45">
        <f>D99+E99+J99+K99+M99+G99*Forutsetninger!$B$6+N99</f>
        <v>11627.615012928904</v>
      </c>
      <c r="R99" s="46">
        <f>IFERROR((VLOOKUP(A99,'DEAnorm D-nett'!$A$4:$H$130,8,FALSE)+O99),0)</f>
        <v>11351.55058767302</v>
      </c>
      <c r="S99" s="21">
        <f>IFERROR((VLOOKUP(A99,'DEAnorm R-nett'!$A$4:$H$85,8,FALSE)+N99+K99),N99+K99)</f>
        <v>0</v>
      </c>
      <c r="T99" s="118">
        <f>IFERROR(VLOOKUP(A99,IRData!$A$3:$AN$142,40,FALSE),0)</f>
        <v>0</v>
      </c>
      <c r="U99" s="47">
        <f>(1-Forutsetninger!$B$4)*Q99+(R99+S99+T99)*Forutsetninger!$B$4</f>
        <v>11461.976357775373</v>
      </c>
      <c r="V99" s="41">
        <f>(R99+S99+T99)-G99*($K$156+$K$150)/Forutsetninger!$B$4</f>
        <v>10508.203149536515</v>
      </c>
      <c r="W99" s="296">
        <f>(1-Forutsetninger!$B$4)*Q99+Forutsetninger!$B$4*V99</f>
        <v>10955.967894893471</v>
      </c>
      <c r="X99" s="185">
        <v>10951.056376546387</v>
      </c>
      <c r="Y99" s="198">
        <f t="shared" ref="Y99:Y130" si="22">W99-X99</f>
        <v>4.9115183470839838</v>
      </c>
      <c r="Z99" s="197">
        <f t="shared" ref="Z99:Z130" si="23">Y99/X99</f>
        <v>4.4849722056064512E-4</v>
      </c>
      <c r="AA99" s="185">
        <f t="shared" ref="AA99:AA130" si="24">IF(Y99&gt;0,Y99,0)</f>
        <v>4.9115183470839838</v>
      </c>
      <c r="AB99" s="197">
        <f>VLOOKUP(A99,Table1[[idaar]:[Andel SN]],8,FALSE)</f>
        <v>1</v>
      </c>
      <c r="AC99" s="197">
        <f>VLOOKUP(A99,Table1[[idaar]:[Andel SN]],9,FALSE)</f>
        <v>0</v>
      </c>
      <c r="AD99" s="197">
        <f>VLOOKUP(A99,Table1[[idaar]:[Andel SN]],10,FALSE)</f>
        <v>0</v>
      </c>
      <c r="AE99" s="312">
        <f t="shared" ref="AE99:AE130" si="25">$AA99*AB99</f>
        <v>4.9115183470839838</v>
      </c>
      <c r="AF99" s="312">
        <f t="shared" ref="AF99:AF130" si="26">$AA99*AC99</f>
        <v>0</v>
      </c>
      <c r="AG99" s="312">
        <f t="shared" ref="AG99:AG130" si="27">$AA99*AD99</f>
        <v>0</v>
      </c>
    </row>
    <row r="100" spans="1:33" x14ac:dyDescent="0.2">
      <c r="A100">
        <v>1732015</v>
      </c>
      <c r="B100" t="s">
        <v>172</v>
      </c>
      <c r="C100" s="112">
        <f>VLOOKUP(A100,IRData!$A$3:$F$142,6,FALSE)</f>
        <v>20836.915895257618</v>
      </c>
      <c r="D100" s="45">
        <f>C100*Forutsetninger!$C$30</f>
        <v>22045.457017182562</v>
      </c>
      <c r="E100" s="43">
        <f>VLOOKUP($A100,IRData!$A$2:$N$142,7,FALSE)</f>
        <v>5642</v>
      </c>
      <c r="F100" s="43">
        <f>VLOOKUP($A100,IRData!$A$2:$N$142,8,FALSE)</f>
        <v>63658</v>
      </c>
      <c r="G100" s="43">
        <f>VLOOKUP($A100,IRData!$A$2:$N$142,9,FALSE)</f>
        <v>64294.58</v>
      </c>
      <c r="H100" s="43">
        <f>VLOOKUP($A100,IRData!$A$2:$N$142,10,FALSE)</f>
        <v>6990</v>
      </c>
      <c r="I100" s="43">
        <f>VLOOKUP($A100,IRData!$A$2:$N$142,11,FALSE)</f>
        <v>1276</v>
      </c>
      <c r="J100" s="45">
        <f>VLOOKUP(A100,IRData!$A$3:$AF$142,32,FALSE)</f>
        <v>2005.5502074599999</v>
      </c>
      <c r="K100" s="45">
        <f>VLOOKUP(A100,IRData!$A$3:$AM$142,37,FALSE)</f>
        <v>366.10616090399998</v>
      </c>
      <c r="L100" s="112">
        <f>VLOOKUP($A100,IRData!$A$2:$N$142,13,FALSE)</f>
        <v>384</v>
      </c>
      <c r="M100" s="44">
        <f>L100*Forutsetninger!$C$24</f>
        <v>405.12</v>
      </c>
      <c r="N100" s="112">
        <f>VLOOKUP(A100,IRData!$A$3:$E$142,5,FALSE)*Forutsetninger!$C$30</f>
        <v>0</v>
      </c>
      <c r="O100" s="112">
        <f>VLOOKUP(A100,IRData!$A$3:$AG$142,19,FALSE)*Forutsetninger!$C$24</f>
        <v>381.8467</v>
      </c>
      <c r="P100" s="45">
        <f t="shared" si="21"/>
        <v>30464.233385546562</v>
      </c>
      <c r="Q100" s="45">
        <f>D100+E100+J100+K100+M100+G100*Forutsetninger!$B$6+N100</f>
        <v>34399.061681546562</v>
      </c>
      <c r="R100" s="46">
        <f>IFERROR((VLOOKUP(A100,'DEAnorm D-nett'!$A$4:$H$130,8,FALSE)+O100),0)</f>
        <v>28455.55523984808</v>
      </c>
      <c r="S100" s="21">
        <f>IFERROR((VLOOKUP(A100,'DEAnorm R-nett'!$A$4:$H$85,8,FALSE)+N100+K100),N100+K100)</f>
        <v>2262.9926622513094</v>
      </c>
      <c r="T100" s="118">
        <f>IFERROR(VLOOKUP(A100,IRData!$A$3:$AN$142,40,FALSE),0)</f>
        <v>0</v>
      </c>
      <c r="U100" s="47">
        <f>(1-Forutsetninger!$B$4)*Q100+(R100+S100+T100)*Forutsetninger!$B$4</f>
        <v>32190.753413878258</v>
      </c>
      <c r="V100" s="41">
        <f>(R100+S100+T100)-G100*($K$156+$K$150)/Forutsetninger!$B$4</f>
        <v>28156.957520531796</v>
      </c>
      <c r="W100" s="296">
        <f>(1-Forutsetninger!$B$4)*Q100+Forutsetninger!$B$4*V100</f>
        <v>30653.799184937703</v>
      </c>
      <c r="X100" s="185">
        <v>30636.485095524975</v>
      </c>
      <c r="Y100" s="198">
        <f t="shared" si="22"/>
        <v>17.314089412728208</v>
      </c>
      <c r="Z100" s="197">
        <f t="shared" si="23"/>
        <v>5.6514607856425578E-4</v>
      </c>
      <c r="AA100" s="185">
        <f t="shared" si="24"/>
        <v>17.314089412728208</v>
      </c>
      <c r="AB100" s="197">
        <f>VLOOKUP(A100,Table1[[idaar]:[Andel SN]],8,FALSE)</f>
        <v>0.9779018148583366</v>
      </c>
      <c r="AC100" s="197">
        <f>VLOOKUP(A100,Table1[[idaar]:[Andel SN]],9,FALSE)</f>
        <v>2.2098185141663403E-2</v>
      </c>
      <c r="AD100" s="197">
        <f>VLOOKUP(A100,Table1[[idaar]:[Andel SN]],10,FALSE)</f>
        <v>0</v>
      </c>
      <c r="AE100" s="312">
        <f t="shared" si="25"/>
        <v>16.931479459326425</v>
      </c>
      <c r="AF100" s="312">
        <f t="shared" si="26"/>
        <v>0.38260995340178211</v>
      </c>
      <c r="AG100" s="312">
        <f t="shared" si="27"/>
        <v>0</v>
      </c>
    </row>
    <row r="101" spans="1:33" x14ac:dyDescent="0.2">
      <c r="A101">
        <v>952015</v>
      </c>
      <c r="B101" t="s">
        <v>218</v>
      </c>
      <c r="C101" s="112">
        <f>VLOOKUP(A101,IRData!$A$3:$F$142,6,FALSE)</f>
        <v>7903.7638525159</v>
      </c>
      <c r="D101" s="45">
        <f>C101*Forutsetninger!$C$30</f>
        <v>8362.182155961822</v>
      </c>
      <c r="E101" s="43">
        <f>VLOOKUP($A101,IRData!$A$2:$N$142,7,FALSE)</f>
        <v>2038</v>
      </c>
      <c r="F101" s="43">
        <f>VLOOKUP($A101,IRData!$A$2:$N$142,8,FALSE)</f>
        <v>27553</v>
      </c>
      <c r="G101" s="43">
        <f>VLOOKUP($A101,IRData!$A$2:$N$142,9,FALSE)</f>
        <v>27828.53</v>
      </c>
      <c r="H101" s="43">
        <f>VLOOKUP($A101,IRData!$A$2:$N$142,10,FALSE)</f>
        <v>3912</v>
      </c>
      <c r="I101" s="43">
        <f>VLOOKUP($A101,IRData!$A$2:$N$142,11,FALSE)</f>
        <v>0</v>
      </c>
      <c r="J101" s="45">
        <f>VLOOKUP(A101,IRData!$A$3:$AF$142,32,FALSE)</f>
        <v>1122.4195152479999</v>
      </c>
      <c r="K101" s="45">
        <f>VLOOKUP(A101,IRData!$A$3:$AM$142,37,FALSE)</f>
        <v>0</v>
      </c>
      <c r="L101" s="112">
        <f>VLOOKUP($A101,IRData!$A$2:$N$142,13,FALSE)</f>
        <v>608</v>
      </c>
      <c r="M101" s="44">
        <f>L101*Forutsetninger!$C$24</f>
        <v>641.43999999999994</v>
      </c>
      <c r="N101" s="112">
        <f>VLOOKUP(A101,IRData!$A$3:$E$142,5,FALSE)*Forutsetninger!$C$30</f>
        <v>0</v>
      </c>
      <c r="O101" s="112">
        <f>VLOOKUP(A101,IRData!$A$3:$AG$142,19,FALSE)*Forutsetninger!$C$24</f>
        <v>0</v>
      </c>
      <c r="P101" s="45">
        <f t="shared" si="21"/>
        <v>12164.041671209823</v>
      </c>
      <c r="Q101" s="45">
        <f>D101+E101+J101+K101+M101+G101*Forutsetninger!$B$6+N101</f>
        <v>13867.147707209822</v>
      </c>
      <c r="R101" s="46">
        <f>IFERROR((VLOOKUP(A101,'DEAnorm D-nett'!$A$4:$H$130,8,FALSE)+O101),0)</f>
        <v>14622.598369365096</v>
      </c>
      <c r="S101" s="21">
        <f>IFERROR((VLOOKUP(A101,'DEAnorm R-nett'!$A$4:$H$85,8,FALSE)+N101+K101),N101+K101)</f>
        <v>0</v>
      </c>
      <c r="T101" s="118">
        <f>IFERROR(VLOOKUP(A101,IRData!$A$3:$AN$142,40,FALSE),0)</f>
        <v>0</v>
      </c>
      <c r="U101" s="47">
        <f>(1-Forutsetninger!$B$4)*Q101+(R101+S101+T101)*Forutsetninger!$B$4</f>
        <v>14320.418104502987</v>
      </c>
      <c r="V101" s="41">
        <f>(R101+S101+T101)-G101*($K$156+$K$150)/Forutsetninger!$B$4</f>
        <v>13513.868912213884</v>
      </c>
      <c r="W101" s="296">
        <f>(1-Forutsetninger!$B$4)*Q101+Forutsetninger!$B$4*V101</f>
        <v>13655.18043021226</v>
      </c>
      <c r="X101" s="185">
        <v>13646.474253881195</v>
      </c>
      <c r="Y101" s="198">
        <f t="shared" si="22"/>
        <v>8.706176331064853</v>
      </c>
      <c r="Z101" s="197">
        <f t="shared" si="23"/>
        <v>6.3797990375343493E-4</v>
      </c>
      <c r="AA101" s="185">
        <f t="shared" si="24"/>
        <v>8.706176331064853</v>
      </c>
      <c r="AB101" s="197">
        <f>VLOOKUP(A101,Table1[[idaar]:[Andel SN]],8,FALSE)</f>
        <v>1</v>
      </c>
      <c r="AC101" s="197">
        <f>VLOOKUP(A101,Table1[[idaar]:[Andel SN]],9,FALSE)</f>
        <v>0</v>
      </c>
      <c r="AD101" s="197">
        <f>VLOOKUP(A101,Table1[[idaar]:[Andel SN]],10,FALSE)</f>
        <v>0</v>
      </c>
      <c r="AE101" s="312">
        <f t="shared" si="25"/>
        <v>8.706176331064853</v>
      </c>
      <c r="AF101" s="312">
        <f t="shared" si="26"/>
        <v>0</v>
      </c>
      <c r="AG101" s="312">
        <f t="shared" si="27"/>
        <v>0</v>
      </c>
    </row>
    <row r="102" spans="1:33" x14ac:dyDescent="0.2">
      <c r="A102">
        <v>2062015</v>
      </c>
      <c r="B102" t="s">
        <v>246</v>
      </c>
      <c r="C102" s="112">
        <f>VLOOKUP(A102,IRData!$A$3:$F$142,6,FALSE)</f>
        <v>24369.007627702213</v>
      </c>
      <c r="D102" s="45">
        <f>C102*Forutsetninger!$C$30</f>
        <v>25782.410070108941</v>
      </c>
      <c r="E102" s="43">
        <f>VLOOKUP($A102,IRData!$A$2:$N$142,7,FALSE)</f>
        <v>6344</v>
      </c>
      <c r="F102" s="43">
        <f>VLOOKUP($A102,IRData!$A$2:$N$142,8,FALSE)</f>
        <v>98771</v>
      </c>
      <c r="G102" s="43">
        <f>VLOOKUP($A102,IRData!$A$2:$N$142,9,FALSE)</f>
        <v>99758.71</v>
      </c>
      <c r="H102" s="43">
        <f>VLOOKUP($A102,IRData!$A$2:$N$142,10,FALSE)</f>
        <v>6329</v>
      </c>
      <c r="I102" s="43">
        <f>VLOOKUP($A102,IRData!$A$2:$N$142,11,FALSE)</f>
        <v>2860</v>
      </c>
      <c r="J102" s="45">
        <f>VLOOKUP(A102,IRData!$A$3:$AF$142,32,FALSE)</f>
        <v>1802.3757408299</v>
      </c>
      <c r="K102" s="45">
        <f>VLOOKUP(A102,IRData!$A$3:$AM$142,37,FALSE)</f>
        <v>814.47221026600005</v>
      </c>
      <c r="L102" s="112">
        <f>VLOOKUP($A102,IRData!$A$2:$N$142,13,FALSE)</f>
        <v>2288</v>
      </c>
      <c r="M102" s="44">
        <f>L102*Forutsetninger!$C$24</f>
        <v>2413.8399999999997</v>
      </c>
      <c r="N102" s="112">
        <f>VLOOKUP(A102,IRData!$A$3:$E$142,5,FALSE)*Forutsetninger!$C$30</f>
        <v>0</v>
      </c>
      <c r="O102" s="112">
        <f>VLOOKUP(A102,IRData!$A$3:$AG$142,19,FALSE)*Forutsetninger!$C$24</f>
        <v>0</v>
      </c>
      <c r="P102" s="45">
        <f t="shared" si="21"/>
        <v>37157.098021204838</v>
      </c>
      <c r="Q102" s="45">
        <f>D102+E102+J102+K102+M102+G102*Forutsetninger!$B$6+N102</f>
        <v>43262.331073204841</v>
      </c>
      <c r="R102" s="46">
        <f>IFERROR((VLOOKUP(A102,'DEAnorm D-nett'!$A$4:$H$130,8,FALSE)+O102),0)</f>
        <v>34708.527662497982</v>
      </c>
      <c r="S102" s="21">
        <f>IFERROR((VLOOKUP(A102,'DEAnorm R-nett'!$A$4:$H$85,8,FALSE)+N102+K102),N102+K102)</f>
        <v>4604.1191211829973</v>
      </c>
      <c r="T102" s="118">
        <f>IFERROR(VLOOKUP(A102,IRData!$A$3:$AN$142,40,FALSE),0)</f>
        <v>0</v>
      </c>
      <c r="U102" s="47">
        <f>(1-Forutsetninger!$B$4)*Q102+(R102+S102+T102)*Forutsetninger!$B$4</f>
        <v>40892.520499490522</v>
      </c>
      <c r="V102" s="41">
        <f>(R102+S102+T102)-G102*($K$156+$K$150)/Forutsetninger!$B$4</f>
        <v>35338.113440223548</v>
      </c>
      <c r="W102" s="296">
        <f>(1-Forutsetninger!$B$4)*Q102+Forutsetninger!$B$4*V102</f>
        <v>38507.800493416064</v>
      </c>
      <c r="X102" s="185">
        <v>38477.624735802354</v>
      </c>
      <c r="Y102" s="198">
        <f t="shared" si="22"/>
        <v>30.17575761370972</v>
      </c>
      <c r="Z102" s="197">
        <f t="shared" si="23"/>
        <v>7.8424169425489563E-4</v>
      </c>
      <c r="AA102" s="185">
        <f t="shared" si="24"/>
        <v>30.17575761370972</v>
      </c>
      <c r="AB102" s="197">
        <f>VLOOKUP(A102,Table1[[idaar]:[Andel SN]],8,FALSE)</f>
        <v>0.89812360309787409</v>
      </c>
      <c r="AC102" s="197">
        <f>VLOOKUP(A102,Table1[[idaar]:[Andel SN]],9,FALSE)</f>
        <v>0.1018763969021259</v>
      </c>
      <c r="AD102" s="197">
        <f>VLOOKUP(A102,Table1[[idaar]:[Andel SN]],10,FALSE)</f>
        <v>0</v>
      </c>
      <c r="AE102" s="312">
        <f t="shared" si="25"/>
        <v>27.101560154233081</v>
      </c>
      <c r="AF102" s="312">
        <f t="shared" si="26"/>
        <v>3.0741974594766388</v>
      </c>
      <c r="AG102" s="312">
        <f t="shared" si="27"/>
        <v>0</v>
      </c>
    </row>
    <row r="103" spans="1:33" x14ac:dyDescent="0.2">
      <c r="A103">
        <v>1062015</v>
      </c>
      <c r="B103" t="s">
        <v>166</v>
      </c>
      <c r="C103" s="112">
        <f>VLOOKUP(A103,IRData!$A$3:$F$142,6,FALSE)</f>
        <v>12166.376447833909</v>
      </c>
      <c r="D103" s="45">
        <f>C103*Forutsetninger!$C$30</f>
        <v>12872.026281808276</v>
      </c>
      <c r="E103" s="43">
        <f>VLOOKUP($A103,IRData!$A$2:$N$142,7,FALSE)</f>
        <v>2435</v>
      </c>
      <c r="F103" s="43">
        <f>VLOOKUP($A103,IRData!$A$2:$N$142,8,FALSE)</f>
        <v>27664</v>
      </c>
      <c r="G103" s="43">
        <f>VLOOKUP($A103,IRData!$A$2:$N$142,9,FALSE)</f>
        <v>27940.639999999999</v>
      </c>
      <c r="H103" s="43">
        <f>VLOOKUP($A103,IRData!$A$2:$N$142,10,FALSE)</f>
        <v>5162</v>
      </c>
      <c r="I103" s="43">
        <f>VLOOKUP($A103,IRData!$A$2:$N$142,11,FALSE)</f>
        <v>4093</v>
      </c>
      <c r="J103" s="45">
        <f>VLOOKUP(A103,IRData!$A$3:$AF$142,32,FALSE)</f>
        <v>1469.8678436877999</v>
      </c>
      <c r="K103" s="45">
        <f>VLOOKUP(A103,IRData!$A$3:$AM$142,37,FALSE)</f>
        <v>1165.4725075967001</v>
      </c>
      <c r="L103" s="112">
        <f>VLOOKUP($A103,IRData!$A$2:$N$142,13,FALSE)</f>
        <v>988</v>
      </c>
      <c r="M103" s="44">
        <f>L103*Forutsetninger!$C$24</f>
        <v>1042.3399999999999</v>
      </c>
      <c r="N103" s="112">
        <f>VLOOKUP(A103,IRData!$A$3:$E$142,5,FALSE)*Forutsetninger!$C$30</f>
        <v>0</v>
      </c>
      <c r="O103" s="112">
        <f>VLOOKUP(A103,IRData!$A$3:$AG$142,19,FALSE)*Forutsetninger!$C$24</f>
        <v>34.709499999999998</v>
      </c>
      <c r="P103" s="45">
        <f t="shared" si="21"/>
        <v>18984.706633092777</v>
      </c>
      <c r="Q103" s="45">
        <f>D103+E103+J103+K103+M103+G103*Forutsetninger!$B$6+N103</f>
        <v>20694.673801092773</v>
      </c>
      <c r="R103" s="46">
        <f>IFERROR((VLOOKUP(A103,'DEAnorm D-nett'!$A$4:$H$130,8,FALSE)+O103),0)</f>
        <v>13771.460978996589</v>
      </c>
      <c r="S103" s="21">
        <f>IFERROR((VLOOKUP(A103,'DEAnorm R-nett'!$A$4:$H$85,8,FALSE)+N103+K103),N103+K103)</f>
        <v>3980.8771009063339</v>
      </c>
      <c r="T103" s="118">
        <f>IFERROR(VLOOKUP(A103,IRData!$A$3:$AN$142,40,FALSE),0)</f>
        <v>0</v>
      </c>
      <c r="U103" s="47">
        <f>(1-Forutsetninger!$B$4)*Q103+(R103+S103+T103)*Forutsetninger!$B$4</f>
        <v>18929.272368378861</v>
      </c>
      <c r="V103" s="41">
        <f>(R103+S103+T103)-G103*($K$156+$K$150)/Forutsetninger!$B$4</f>
        <v>16639.141995896422</v>
      </c>
      <c r="W103" s="296">
        <f>(1-Forutsetninger!$B$4)*Q103+Forutsetninger!$B$4*V103</f>
        <v>18261.354717974962</v>
      </c>
      <c r="X103" s="185">
        <v>18246.929848791195</v>
      </c>
      <c r="Y103" s="198">
        <f t="shared" si="22"/>
        <v>14.424869183767441</v>
      </c>
      <c r="Z103" s="197">
        <f t="shared" si="23"/>
        <v>7.9053678088881606E-4</v>
      </c>
      <c r="AA103" s="185">
        <f t="shared" si="24"/>
        <v>14.424869183767441</v>
      </c>
      <c r="AB103" s="197">
        <f>VLOOKUP(A103,Table1[[idaar]:[Andel SN]],8,FALSE)</f>
        <v>0.99271113059681049</v>
      </c>
      <c r="AC103" s="197">
        <f>VLOOKUP(A103,Table1[[idaar]:[Andel SN]],9,FALSE)</f>
        <v>7.2888694031895658E-3</v>
      </c>
      <c r="AD103" s="197">
        <f>VLOOKUP(A103,Table1[[idaar]:[Andel SN]],10,FALSE)</f>
        <v>0</v>
      </c>
      <c r="AE103" s="312">
        <f t="shared" si="25"/>
        <v>14.319728196128867</v>
      </c>
      <c r="AF103" s="312">
        <f t="shared" si="26"/>
        <v>0.10514098763857455</v>
      </c>
      <c r="AG103" s="312">
        <f t="shared" si="27"/>
        <v>0</v>
      </c>
    </row>
    <row r="104" spans="1:33" x14ac:dyDescent="0.2">
      <c r="A104">
        <v>842015</v>
      </c>
      <c r="B104" t="s">
        <v>214</v>
      </c>
      <c r="C104" s="112">
        <f>VLOOKUP(A104,IRData!$A$3:$F$142,6,FALSE)</f>
        <v>12173.626226423399</v>
      </c>
      <c r="D104" s="45">
        <f>C104*Forutsetninger!$C$30</f>
        <v>12879.696547555957</v>
      </c>
      <c r="E104" s="43">
        <f>VLOOKUP($A104,IRData!$A$2:$N$142,7,FALSE)</f>
        <v>5302</v>
      </c>
      <c r="F104" s="43">
        <f>VLOOKUP($A104,IRData!$A$2:$N$142,8,FALSE)</f>
        <v>78306</v>
      </c>
      <c r="G104" s="43">
        <f>VLOOKUP($A104,IRData!$A$2:$N$142,9,FALSE)</f>
        <v>79089.06</v>
      </c>
      <c r="H104" s="43">
        <f>VLOOKUP($A104,IRData!$A$2:$N$142,10,FALSE)</f>
        <v>11526</v>
      </c>
      <c r="I104" s="43">
        <f>VLOOKUP($A104,IRData!$A$2:$N$142,11,FALSE)</f>
        <v>0</v>
      </c>
      <c r="J104" s="45">
        <f>VLOOKUP(A104,IRData!$A$3:$AF$142,32,FALSE)</f>
        <v>3307.0059644039998</v>
      </c>
      <c r="K104" s="45">
        <f>VLOOKUP(A104,IRData!$A$3:$AM$142,37,FALSE)</f>
        <v>0</v>
      </c>
      <c r="L104" s="112">
        <f>VLOOKUP($A104,IRData!$A$2:$N$142,13,FALSE)</f>
        <v>490</v>
      </c>
      <c r="M104" s="44">
        <f>L104*Forutsetninger!$C$24</f>
        <v>516.94999999999993</v>
      </c>
      <c r="N104" s="112">
        <f>VLOOKUP(A104,IRData!$A$3:$E$142,5,FALSE)*Forutsetninger!$C$30</f>
        <v>0</v>
      </c>
      <c r="O104" s="112">
        <f>VLOOKUP(A104,IRData!$A$3:$AG$142,19,FALSE)*Forutsetninger!$C$24</f>
        <v>0</v>
      </c>
      <c r="P104" s="45">
        <f t="shared" si="21"/>
        <v>22005.652511959957</v>
      </c>
      <c r="Q104" s="45">
        <f>D104+E104+J104+K104+M104+G104*Forutsetninger!$B$6+N104</f>
        <v>26845.902983959957</v>
      </c>
      <c r="R104" s="46">
        <f>IFERROR((VLOOKUP(A104,'DEAnorm D-nett'!$A$4:$H$130,8,FALSE)+O104),0)</f>
        <v>26748.553574761521</v>
      </c>
      <c r="S104" s="21">
        <f>IFERROR((VLOOKUP(A104,'DEAnorm R-nett'!$A$4:$H$85,8,FALSE)+N104+K104),N104+K104)</f>
        <v>0</v>
      </c>
      <c r="T104" s="118">
        <f>IFERROR(VLOOKUP(A104,IRData!$A$3:$AN$142,40,FALSE),0)</f>
        <v>0</v>
      </c>
      <c r="U104" s="47">
        <f>(1-Forutsetninger!$B$4)*Q104+(R104+S104+T104)*Forutsetninger!$B$4</f>
        <v>26787.493338440894</v>
      </c>
      <c r="V104" s="41">
        <f>(R104+S104+T104)-G104*($K$156+$K$150)/Forutsetninger!$B$4</f>
        <v>23597.529407822065</v>
      </c>
      <c r="W104" s="296">
        <f>(1-Forutsetninger!$B$4)*Q104+Forutsetninger!$B$4*V104</f>
        <v>24896.878838277222</v>
      </c>
      <c r="X104" s="185">
        <v>24876.80978387691</v>
      </c>
      <c r="Y104" s="198">
        <f t="shared" si="22"/>
        <v>20.06905440031187</v>
      </c>
      <c r="Z104" s="197">
        <f t="shared" si="23"/>
        <v>8.0673746250690753E-4</v>
      </c>
      <c r="AA104" s="185">
        <f t="shared" si="24"/>
        <v>20.06905440031187</v>
      </c>
      <c r="AB104" s="197">
        <f>VLOOKUP(A104,Table1[[idaar]:[Andel SN]],8,FALSE)</f>
        <v>1</v>
      </c>
      <c r="AC104" s="197">
        <f>VLOOKUP(A104,Table1[[idaar]:[Andel SN]],9,FALSE)</f>
        <v>0</v>
      </c>
      <c r="AD104" s="197">
        <f>VLOOKUP(A104,Table1[[idaar]:[Andel SN]],10,FALSE)</f>
        <v>0</v>
      </c>
      <c r="AE104" s="312">
        <f t="shared" si="25"/>
        <v>20.06905440031187</v>
      </c>
      <c r="AF104" s="312">
        <f t="shared" si="26"/>
        <v>0</v>
      </c>
      <c r="AG104" s="312">
        <f t="shared" si="27"/>
        <v>0</v>
      </c>
    </row>
    <row r="105" spans="1:33" x14ac:dyDescent="0.2">
      <c r="A105">
        <v>2712015</v>
      </c>
      <c r="B105" t="s">
        <v>263</v>
      </c>
      <c r="C105" s="112">
        <f>VLOOKUP(A105,IRData!$A$3:$F$142,6,FALSE)</f>
        <v>960.16301608838899</v>
      </c>
      <c r="D105" s="45">
        <f>C105*Forutsetninger!$C$30</f>
        <v>1015.8524710215156</v>
      </c>
      <c r="E105" s="43">
        <f>VLOOKUP($A105,IRData!$A$2:$N$142,7,FALSE)</f>
        <v>23</v>
      </c>
      <c r="F105" s="43">
        <f>VLOOKUP($A105,IRData!$A$2:$N$142,8,FALSE)</f>
        <v>518</v>
      </c>
      <c r="G105" s="43">
        <f>VLOOKUP($A105,IRData!$A$2:$N$142,9,FALSE)</f>
        <v>523.17999999999995</v>
      </c>
      <c r="H105" s="43">
        <f>VLOOKUP($A105,IRData!$A$2:$N$142,10,FALSE)</f>
        <v>0</v>
      </c>
      <c r="I105" s="43">
        <f>VLOOKUP($A105,IRData!$A$2:$N$142,11,FALSE)</f>
        <v>5216</v>
      </c>
      <c r="J105" s="45">
        <f>VLOOKUP(A105,IRData!$A$3:$AF$142,32,FALSE)</f>
        <v>0</v>
      </c>
      <c r="K105" s="45">
        <f>VLOOKUP(A105,IRData!$A$3:$AM$142,37,FALSE)</f>
        <v>1514.3783550976</v>
      </c>
      <c r="L105" s="112">
        <f>VLOOKUP($A105,IRData!$A$2:$N$142,13,FALSE)</f>
        <v>0</v>
      </c>
      <c r="M105" s="44">
        <f>L105*Forutsetninger!$C$24</f>
        <v>0</v>
      </c>
      <c r="N105" s="112">
        <f>VLOOKUP(A105,IRData!$A$3:$E$142,5,FALSE)*Forutsetninger!$C$30</f>
        <v>0</v>
      </c>
      <c r="O105" s="112">
        <f>VLOOKUP(A105,IRData!$A$3:$AG$142,19,FALSE)*Forutsetninger!$C$24</f>
        <v>0</v>
      </c>
      <c r="P105" s="45">
        <f t="shared" si="21"/>
        <v>2553.2308261191156</v>
      </c>
      <c r="Q105" s="45">
        <f>D105+E105+J105+K105+M105+G105*Forutsetninger!$B$6+N105</f>
        <v>2585.2494421191154</v>
      </c>
      <c r="R105" s="46">
        <f>IFERROR((VLOOKUP(A105,'DEAnorm D-nett'!$A$4:$H$130,8,FALSE)+O105),0)</f>
        <v>0</v>
      </c>
      <c r="S105" s="21">
        <f>IFERROR((VLOOKUP(A105,'DEAnorm R-nett'!$A$4:$H$85,8,FALSE)+N105+K105),N105+K105)</f>
        <v>2612.3411694942351</v>
      </c>
      <c r="T105" s="118">
        <f>IFERROR(VLOOKUP(A105,IRData!$A$3:$AN$142,40,FALSE),0)</f>
        <v>0</v>
      </c>
      <c r="U105" s="47">
        <f>(1-Forutsetninger!$B$4)*Q105+(R105+S105+T105)*Forutsetninger!$B$4</f>
        <v>2601.5044785441869</v>
      </c>
      <c r="V105" s="41">
        <f>(R105+S105+T105)-G105*($K$156+$K$150)/Forutsetninger!$B$4</f>
        <v>2591.4969108362188</v>
      </c>
      <c r="W105" s="296">
        <f>(1-Forutsetninger!$B$4)*Q105+Forutsetninger!$B$4*V105</f>
        <v>2588.9979233493773</v>
      </c>
      <c r="X105" s="185">
        <v>2586.5544035363364</v>
      </c>
      <c r="Y105" s="198">
        <f t="shared" si="22"/>
        <v>2.4435198130408935</v>
      </c>
      <c r="Z105" s="197">
        <f t="shared" si="23"/>
        <v>9.4470072220406958E-4</v>
      </c>
      <c r="AA105" s="185">
        <f t="shared" si="24"/>
        <v>2.4435198130408935</v>
      </c>
      <c r="AB105" s="200">
        <v>0</v>
      </c>
      <c r="AC105" s="200">
        <v>1</v>
      </c>
      <c r="AD105" s="200">
        <v>0</v>
      </c>
      <c r="AE105" s="312">
        <f t="shared" si="25"/>
        <v>0</v>
      </c>
      <c r="AF105" s="312">
        <f t="shared" si="26"/>
        <v>2.4435198130408935</v>
      </c>
      <c r="AG105" s="312">
        <f t="shared" si="27"/>
        <v>0</v>
      </c>
    </row>
    <row r="106" spans="1:33" x14ac:dyDescent="0.2">
      <c r="A106">
        <v>2742015</v>
      </c>
      <c r="B106" t="s">
        <v>177</v>
      </c>
      <c r="C106" s="112">
        <f>VLOOKUP(A106,IRData!$A$3:$F$142,6,FALSE)</f>
        <v>30601.754117366447</v>
      </c>
      <c r="D106" s="45">
        <f>C106*Forutsetninger!$C$30</f>
        <v>32376.655856173704</v>
      </c>
      <c r="E106" s="43">
        <f>VLOOKUP($A106,IRData!$A$2:$N$142,7,FALSE)</f>
        <v>11008</v>
      </c>
      <c r="F106" s="43">
        <f>VLOOKUP($A106,IRData!$A$2:$N$142,8,FALSE)</f>
        <v>212662</v>
      </c>
      <c r="G106" s="43">
        <f>VLOOKUP($A106,IRData!$A$2:$N$142,9,FALSE)</f>
        <v>214788.62</v>
      </c>
      <c r="H106" s="43">
        <f>VLOOKUP($A106,IRData!$A$2:$N$142,10,FALSE)</f>
        <v>12666</v>
      </c>
      <c r="I106" s="43">
        <f>VLOOKUP($A106,IRData!$A$2:$N$142,11,FALSE)</f>
        <v>2605</v>
      </c>
      <c r="J106" s="45">
        <f>VLOOKUP(A106,IRData!$A$3:$AF$142,32,FALSE)</f>
        <v>3677.3612434175998</v>
      </c>
      <c r="K106" s="45">
        <f>VLOOKUP(A106,IRData!$A$3:$AM$142,37,FALSE)</f>
        <v>756.31817772800002</v>
      </c>
      <c r="L106" s="112">
        <f>VLOOKUP($A106,IRData!$A$2:$N$142,13,FALSE)</f>
        <v>1683</v>
      </c>
      <c r="M106" s="44">
        <f>L106*Forutsetninger!$C$24</f>
        <v>1775.5649999999998</v>
      </c>
      <c r="N106" s="112">
        <f>VLOOKUP(A106,IRData!$A$3:$E$142,5,FALSE)*Forutsetninger!$C$30</f>
        <v>0</v>
      </c>
      <c r="O106" s="112">
        <f>VLOOKUP(A106,IRData!$A$3:$AG$142,19,FALSE)*Forutsetninger!$C$24</f>
        <v>694.27440000000001</v>
      </c>
      <c r="P106" s="45">
        <f t="shared" si="21"/>
        <v>49593.900277319306</v>
      </c>
      <c r="Q106" s="45">
        <f>D106+E106+J106+K106+M106+G106*Forutsetninger!$B$6+N106</f>
        <v>62738.963821319303</v>
      </c>
      <c r="R106" s="46">
        <f>IFERROR((VLOOKUP(A106,'DEAnorm D-nett'!$A$4:$H$130,8,FALSE)+O106),0)</f>
        <v>55424.677076866465</v>
      </c>
      <c r="S106" s="21">
        <f>IFERROR((VLOOKUP(A106,'DEAnorm R-nett'!$A$4:$H$85,8,FALSE)+N106+K106),N106+K106)</f>
        <v>3837.9439630394959</v>
      </c>
      <c r="T106" s="118">
        <f>IFERROR(VLOOKUP(A106,IRData!$A$3:$AN$142,40,FALSE),0)</f>
        <v>0</v>
      </c>
      <c r="U106" s="47">
        <f>(1-Forutsetninger!$B$4)*Q106+(R106+S106+T106)*Forutsetninger!$B$4</f>
        <v>60653.158152471296</v>
      </c>
      <c r="V106" s="41">
        <f>(R106+S106+T106)-G106*($K$156+$K$150)/Forutsetninger!$B$4</f>
        <v>50705.127343513879</v>
      </c>
      <c r="W106" s="296">
        <f>(1-Forutsetninger!$B$4)*Q106+Forutsetninger!$B$4*V106</f>
        <v>55518.661934636046</v>
      </c>
      <c r="X106" s="185">
        <v>55466.102806834766</v>
      </c>
      <c r="Y106" s="198">
        <f t="shared" si="22"/>
        <v>52.559127801279828</v>
      </c>
      <c r="Z106" s="197">
        <f t="shared" si="23"/>
        <v>9.475900620658582E-4</v>
      </c>
      <c r="AA106" s="185">
        <f t="shared" si="24"/>
        <v>52.559127801279828</v>
      </c>
      <c r="AB106" s="197">
        <f>VLOOKUP(A106,Table1[[idaar]:[Andel SN]],8,FALSE)</f>
        <v>0.93895359319222582</v>
      </c>
      <c r="AC106" s="197">
        <f>VLOOKUP(A106,Table1[[idaar]:[Andel SN]],9,FALSE)</f>
        <v>6.104640680777413E-2</v>
      </c>
      <c r="AD106" s="197">
        <f>VLOOKUP(A106,Table1[[idaar]:[Andel SN]],10,FALSE)</f>
        <v>0</v>
      </c>
      <c r="AE106" s="312">
        <f t="shared" si="25"/>
        <v>49.350581904061109</v>
      </c>
      <c r="AF106" s="312">
        <f t="shared" si="26"/>
        <v>3.2085458972187193</v>
      </c>
      <c r="AG106" s="312">
        <f t="shared" si="27"/>
        <v>0</v>
      </c>
    </row>
    <row r="107" spans="1:33" x14ac:dyDescent="0.2">
      <c r="A107">
        <v>2382015</v>
      </c>
      <c r="B107" t="s">
        <v>176</v>
      </c>
      <c r="C107" s="112">
        <f>VLOOKUP(A107,IRData!$A$3:$F$142,6,FALSE)</f>
        <v>33214.6478214995</v>
      </c>
      <c r="D107" s="45">
        <f>C107*Forutsetninger!$C$30</f>
        <v>35141.097395146477</v>
      </c>
      <c r="E107" s="43">
        <f>VLOOKUP($A107,IRData!$A$2:$N$142,7,FALSE)</f>
        <v>8259</v>
      </c>
      <c r="F107" s="43">
        <f>VLOOKUP($A107,IRData!$A$2:$N$142,8,FALSE)</f>
        <v>127852</v>
      </c>
      <c r="G107" s="43">
        <f>VLOOKUP($A107,IRData!$A$2:$N$142,9,FALSE)</f>
        <v>129130.51999999999</v>
      </c>
      <c r="H107" s="43">
        <f>VLOOKUP($A107,IRData!$A$2:$N$142,10,FALSE)</f>
        <v>13383</v>
      </c>
      <c r="I107" s="43">
        <f>VLOOKUP($A107,IRData!$A$2:$N$142,11,FALSE)</f>
        <v>1487</v>
      </c>
      <c r="J107" s="45">
        <f>VLOOKUP(A107,IRData!$A$3:$AF$142,32,FALSE)</f>
        <v>3810.7790298477003</v>
      </c>
      <c r="K107" s="45">
        <f>VLOOKUP(A107,IRData!$A$3:$AM$142,37,FALSE)</f>
        <v>423.41989220529996</v>
      </c>
      <c r="L107" s="112">
        <f>VLOOKUP($A107,IRData!$A$2:$N$142,13,FALSE)</f>
        <v>3770</v>
      </c>
      <c r="M107" s="44">
        <f>L107*Forutsetninger!$C$24</f>
        <v>3977.35</v>
      </c>
      <c r="N107" s="112">
        <f>VLOOKUP(A107,IRData!$A$3:$E$142,5,FALSE)*Forutsetninger!$C$30</f>
        <v>0</v>
      </c>
      <c r="O107" s="112">
        <f>VLOOKUP(A107,IRData!$A$3:$AG$142,19,FALSE)*Forutsetninger!$C$24</f>
        <v>520.70579999999995</v>
      </c>
      <c r="P107" s="45">
        <f t="shared" si="21"/>
        <v>51611.646317199469</v>
      </c>
      <c r="Q107" s="45">
        <f>D107+E107+J107+K107+M107+G107*Forutsetninger!$B$6+N107</f>
        <v>59514.434141199468</v>
      </c>
      <c r="R107" s="46">
        <f>IFERROR((VLOOKUP(A107,'DEAnorm D-nett'!$A$4:$H$130,8,FALSE)+O107),0)</f>
        <v>52088.707029909587</v>
      </c>
      <c r="S107" s="21">
        <f>IFERROR((VLOOKUP(A107,'DEAnorm R-nett'!$A$4:$H$85,8,FALSE)+N107+K107),N107+K107)</f>
        <v>2805.9974719939014</v>
      </c>
      <c r="T107" s="118">
        <f>IFERROR(VLOOKUP(A107,IRData!$A$3:$AN$142,40,FALSE),0)</f>
        <v>0</v>
      </c>
      <c r="U107" s="47">
        <f>(1-Forutsetninger!$B$4)*Q107+(R107+S107+T107)*Forutsetninger!$B$4</f>
        <v>56742.596357621878</v>
      </c>
      <c r="V107" s="41">
        <f>(R107+S107+T107)-G107*($K$156+$K$150)/Forutsetninger!$B$4</f>
        <v>49749.955162241858</v>
      </c>
      <c r="W107" s="296">
        <f>(1-Forutsetninger!$B$4)*Q107+Forutsetninger!$B$4*V107</f>
        <v>53655.746753824904</v>
      </c>
      <c r="X107" s="185">
        <v>53598.320564216818</v>
      </c>
      <c r="Y107" s="198">
        <f t="shared" si="22"/>
        <v>57.426189608086133</v>
      </c>
      <c r="Z107" s="197">
        <f t="shared" si="23"/>
        <v>1.0714177049499733E-3</v>
      </c>
      <c r="AA107" s="185">
        <f t="shared" si="24"/>
        <v>57.426189608086133</v>
      </c>
      <c r="AB107" s="197">
        <f>VLOOKUP(A107,Table1[[idaar]:[Andel SN]],8,FALSE)</f>
        <v>0.95751707153251986</v>
      </c>
      <c r="AC107" s="197">
        <f>VLOOKUP(A107,Table1[[idaar]:[Andel SN]],9,FALSE)</f>
        <v>4.2482928467480127E-2</v>
      </c>
      <c r="AD107" s="197">
        <f>VLOOKUP(A107,Table1[[idaar]:[Andel SN]],10,FALSE)</f>
        <v>0</v>
      </c>
      <c r="AE107" s="312">
        <f t="shared" si="25"/>
        <v>54.986556902805859</v>
      </c>
      <c r="AF107" s="312">
        <f t="shared" si="26"/>
        <v>2.4396327052802738</v>
      </c>
      <c r="AG107" s="312">
        <f t="shared" si="27"/>
        <v>0</v>
      </c>
    </row>
    <row r="108" spans="1:33" x14ac:dyDescent="0.2">
      <c r="A108">
        <v>4332015</v>
      </c>
      <c r="B108" s="174" t="s">
        <v>324</v>
      </c>
      <c r="C108" s="112">
        <f>VLOOKUP(A108,IRData!$A$3:$F$142,6,FALSE)</f>
        <v>68145.599959483545</v>
      </c>
      <c r="D108" s="45">
        <f>C108*Forutsetninger!$C$30</f>
        <v>72098.044757133597</v>
      </c>
      <c r="E108" s="43">
        <f>VLOOKUP($A108,IRData!$A$2:$N$142,7,FALSE)</f>
        <v>30567</v>
      </c>
      <c r="F108" s="43">
        <f>VLOOKUP($A108,IRData!$A$2:$N$142,8,FALSE)</f>
        <v>396402</v>
      </c>
      <c r="G108" s="43">
        <f>VLOOKUP($A108,IRData!$A$2:$N$142,9,FALSE)</f>
        <v>400366.02</v>
      </c>
      <c r="H108" s="43">
        <f>VLOOKUP($A108,IRData!$A$2:$N$142,10,FALSE)</f>
        <v>25206</v>
      </c>
      <c r="I108" s="43">
        <f>VLOOKUP($A108,IRData!$A$2:$N$142,11,FALSE)</f>
        <v>7529</v>
      </c>
      <c r="J108" s="45">
        <f>VLOOKUP(A108,IRData!$A$3:$AF$142,32,FALSE)</f>
        <v>6479.4791198538014</v>
      </c>
      <c r="K108" s="45">
        <f>VLOOKUP(A108,IRData!$A$3:$AM$142,37,FALSE)</f>
        <v>1935.4121357367001</v>
      </c>
      <c r="L108" s="112">
        <f>VLOOKUP($A108,IRData!$A$2:$N$142,13,FALSE)</f>
        <v>8566</v>
      </c>
      <c r="M108" s="44">
        <f>L108*Forutsetninger!$C$24</f>
        <v>9037.1299999999992</v>
      </c>
      <c r="N108" s="112">
        <f>VLOOKUP(A108,IRData!$A$3:$E$142,5,FALSE)*Forutsetninger!$C$30</f>
        <v>426.37400000000002</v>
      </c>
      <c r="O108" s="112">
        <f>VLOOKUP(A108,IRData!$A$3:$AG$142,19,FALSE)*Forutsetninger!$C$24</f>
        <v>0</v>
      </c>
      <c r="P108" s="45">
        <f t="shared" si="21"/>
        <v>120543.4400127241</v>
      </c>
      <c r="Q108" s="45">
        <f>D108+E108+J108+K108+M108+G108*Forutsetninger!$B$6+N108</f>
        <v>145045.8404367241</v>
      </c>
      <c r="R108" s="46">
        <f>IFERROR((VLOOKUP(A108,'DEAnorm D-nett'!$A$4:$H$130,8,FALSE)+O108),0)</f>
        <v>118291.69900560263</v>
      </c>
      <c r="S108" s="21">
        <f>IFERROR((VLOOKUP(A108,'DEAnorm R-nett'!$A$4:$H$85,8,FALSE)+N108+K108),N108+K108)</f>
        <v>22981.409565203408</v>
      </c>
      <c r="T108" s="118">
        <f>IFERROR(VLOOKUP(A108,IRData!$A$3:$AN$142,40,FALSE),0)</f>
        <v>682.64372269620128</v>
      </c>
      <c r="U108" s="47">
        <f>(1-Forutsetninger!$B$4)*Q108+(R108+S108+T108)*Forutsetninger!$B$4</f>
        <v>143191.78755079099</v>
      </c>
      <c r="V108" s="41">
        <f>(R108+S108+T108)-G108*($K$156+$K$150)/Forutsetninger!$B$4</f>
        <v>126004.58275575118</v>
      </c>
      <c r="W108" s="296">
        <f>(1-Forutsetninger!$B$4)*Q108+Forutsetninger!$B$4*V108</f>
        <v>133621.08582814035</v>
      </c>
      <c r="X108" s="185">
        <v>133468.55266982739</v>
      </c>
      <c r="Y108" s="198">
        <f t="shared" si="22"/>
        <v>152.53315831295913</v>
      </c>
      <c r="Z108" s="197">
        <f t="shared" si="23"/>
        <v>1.1428396821706272E-3</v>
      </c>
      <c r="AA108" s="185">
        <f t="shared" si="24"/>
        <v>152.53315831295913</v>
      </c>
      <c r="AB108" s="197">
        <f>VLOOKUP(A108,Table1[[idaar]:[Andel SN]],8,FALSE)</f>
        <v>0.89543124613126912</v>
      </c>
      <c r="AC108" s="197">
        <f>VLOOKUP(A108,Table1[[idaar]:[Andel SN]],9,FALSE)</f>
        <v>0.10084781716638498</v>
      </c>
      <c r="AD108" s="197">
        <f>VLOOKUP(A108,Table1[[idaar]:[Andel SN]],10,FALSE)</f>
        <v>3.720936702345929E-3</v>
      </c>
      <c r="AE108" s="312">
        <f t="shared" si="25"/>
        <v>136.58295602451113</v>
      </c>
      <c r="AF108" s="312">
        <f t="shared" si="26"/>
        <v>15.382636061356559</v>
      </c>
      <c r="AG108" s="312">
        <f t="shared" si="27"/>
        <v>0.56756622709143167</v>
      </c>
    </row>
    <row r="109" spans="1:33" x14ac:dyDescent="0.2">
      <c r="A109">
        <v>6692015</v>
      </c>
      <c r="B109" t="s">
        <v>293</v>
      </c>
      <c r="C109" s="112">
        <f>VLOOKUP(A109,IRData!$A$3:$F$142,6,FALSE)</f>
        <v>30738.9787174712</v>
      </c>
      <c r="D109" s="45">
        <f>C109*Forutsetninger!$C$30</f>
        <v>32521.839483084532</v>
      </c>
      <c r="E109" s="43">
        <f>VLOOKUP($A109,IRData!$A$2:$N$142,7,FALSE)</f>
        <v>16666</v>
      </c>
      <c r="F109" s="43">
        <f>VLOOKUP($A109,IRData!$A$2:$N$142,8,FALSE)</f>
        <v>319624</v>
      </c>
      <c r="G109" s="43">
        <f>VLOOKUP($A109,IRData!$A$2:$N$142,9,FALSE)</f>
        <v>322820.24</v>
      </c>
      <c r="H109" s="43">
        <f>VLOOKUP($A109,IRData!$A$2:$N$142,10,FALSE)</f>
        <v>13594</v>
      </c>
      <c r="I109" s="43">
        <f>VLOOKUP($A109,IRData!$A$2:$N$142,11,FALSE)</f>
        <v>1014</v>
      </c>
      <c r="J109" s="45">
        <f>VLOOKUP(A109,IRData!$A$3:$AF$142,32,FALSE)</f>
        <v>3900.3504320760003</v>
      </c>
      <c r="K109" s="45">
        <f>VLOOKUP(A109,IRData!$A$3:$AM$142,37,FALSE)</f>
        <v>290.93389275599998</v>
      </c>
      <c r="L109" s="112">
        <f>VLOOKUP($A109,IRData!$A$2:$N$142,13,FALSE)</f>
        <v>1037</v>
      </c>
      <c r="M109" s="44">
        <f>L109*Forutsetninger!$C$24</f>
        <v>1094.0349999999999</v>
      </c>
      <c r="N109" s="112">
        <f>VLOOKUP(A109,IRData!$A$3:$E$142,5,FALSE)*Forutsetninger!$C$30</f>
        <v>0</v>
      </c>
      <c r="O109" s="112">
        <f>VLOOKUP(A109,IRData!$A$3:$AG$142,19,FALSE)*Forutsetninger!$C$24</f>
        <v>0</v>
      </c>
      <c r="P109" s="45">
        <f t="shared" si="21"/>
        <v>54473.158807916538</v>
      </c>
      <c r="Q109" s="45">
        <f>D109+E109+J109+K109+M109+G109*Forutsetninger!$B$6+N109</f>
        <v>74229.757495916536</v>
      </c>
      <c r="R109" s="46">
        <f>IFERROR((VLOOKUP(A109,'DEAnorm D-nett'!$A$4:$H$130,8,FALSE)+O109),0)</f>
        <v>62971.90245093542</v>
      </c>
      <c r="S109" s="21">
        <f>IFERROR((VLOOKUP(A109,'DEAnorm R-nett'!$A$4:$H$85,8,FALSE)+N109+K109),N109+K109)</f>
        <v>6169.0398777879327</v>
      </c>
      <c r="T109" s="118">
        <f>IFERROR(VLOOKUP(A109,IRData!$A$3:$AN$142,40,FALSE),0)</f>
        <v>0</v>
      </c>
      <c r="U109" s="47">
        <f>(1-Forutsetninger!$B$4)*Q109+(R109+S109+T109)*Forutsetninger!$B$4</f>
        <v>71176.468395600619</v>
      </c>
      <c r="V109" s="41">
        <f>(R109+S109+T109)-G109*($K$156+$K$150)/Forutsetninger!$B$4</f>
        <v>56279.31041885876</v>
      </c>
      <c r="W109" s="296">
        <f>(1-Forutsetninger!$B$4)*Q109+Forutsetninger!$B$4*V109</f>
        <v>63459.489249681865</v>
      </c>
      <c r="X109" s="185">
        <v>63368.977244529924</v>
      </c>
      <c r="Y109" s="198">
        <f t="shared" si="22"/>
        <v>90.512005151940684</v>
      </c>
      <c r="Z109" s="197">
        <f t="shared" si="23"/>
        <v>1.4283330596084976E-3</v>
      </c>
      <c r="AA109" s="185">
        <f t="shared" si="24"/>
        <v>90.512005151940684</v>
      </c>
      <c r="AB109" s="197">
        <f>VLOOKUP(A109,Table1[[idaar]:[Andel SN]],8,FALSE)</f>
        <v>0.91634710978554179</v>
      </c>
      <c r="AC109" s="197">
        <f>VLOOKUP(A109,Table1[[idaar]:[Andel SN]],9,FALSE)</f>
        <v>8.3652890214458167E-2</v>
      </c>
      <c r="AD109" s="197">
        <f>VLOOKUP(A109,Table1[[idaar]:[Andel SN]],10,FALSE)</f>
        <v>0</v>
      </c>
      <c r="AE109" s="312">
        <f t="shared" si="25"/>
        <v>82.940414321874911</v>
      </c>
      <c r="AF109" s="312">
        <f t="shared" si="26"/>
        <v>7.5715908300657659</v>
      </c>
      <c r="AG109" s="312">
        <f t="shared" si="27"/>
        <v>0</v>
      </c>
    </row>
    <row r="110" spans="1:33" x14ac:dyDescent="0.2">
      <c r="A110">
        <v>2572015</v>
      </c>
      <c r="B110" s="174" t="s">
        <v>322</v>
      </c>
      <c r="C110" s="112">
        <f>VLOOKUP(A110,IRData!$A$3:$F$142,6,FALSE)</f>
        <v>53266.398189205109</v>
      </c>
      <c r="D110" s="45">
        <f>C110*Forutsetninger!$C$30</f>
        <v>56355.849284179007</v>
      </c>
      <c r="E110" s="43">
        <f>VLOOKUP($A110,IRData!$A$2:$N$142,7,FALSE)</f>
        <v>21352</v>
      </c>
      <c r="F110" s="43">
        <f>VLOOKUP($A110,IRData!$A$2:$N$142,8,FALSE)</f>
        <v>375835</v>
      </c>
      <c r="G110" s="43">
        <f>VLOOKUP($A110,IRData!$A$2:$N$142,9,FALSE)</f>
        <v>379593.35</v>
      </c>
      <c r="H110" s="43">
        <f>VLOOKUP($A110,IRData!$A$2:$N$142,10,FALSE)</f>
        <v>19861</v>
      </c>
      <c r="I110" s="43">
        <f>VLOOKUP($A110,IRData!$A$2:$N$142,11,FALSE)</f>
        <v>3504</v>
      </c>
      <c r="J110" s="45">
        <f>VLOOKUP(A110,IRData!$A$3:$AF$142,32,FALSE)</f>
        <v>5656.0253734590997</v>
      </c>
      <c r="K110" s="45">
        <f>VLOOKUP(A110,IRData!$A$3:$AM$142,37,FALSE)</f>
        <v>997.87084782240004</v>
      </c>
      <c r="L110" s="112">
        <f>VLOOKUP($A110,IRData!$A$2:$N$142,13,FALSE)</f>
        <v>5530</v>
      </c>
      <c r="M110" s="44">
        <f>L110*Forutsetninger!$C$24</f>
        <v>5834.15</v>
      </c>
      <c r="N110" s="112">
        <f>VLOOKUP(A110,IRData!$A$3:$E$142,5,FALSE)*Forutsetninger!$C$30</f>
        <v>0</v>
      </c>
      <c r="O110" s="112">
        <f>VLOOKUP(A110,IRData!$A$3:$AG$142,19,FALSE)*Forutsetninger!$C$24</f>
        <v>1735.6859999999999</v>
      </c>
      <c r="P110" s="45">
        <f t="shared" si="21"/>
        <v>90195.895505460503</v>
      </c>
      <c r="Q110" s="45">
        <f>D110+E110+J110+K110+M110+G110*Forutsetninger!$B$6+N110</f>
        <v>113427.00852546049</v>
      </c>
      <c r="R110" s="46">
        <f>IFERROR((VLOOKUP(A110,'DEAnorm D-nett'!$A$4:$H$130,8,FALSE)+O110),0)</f>
        <v>82141.521209082173</v>
      </c>
      <c r="S110" s="21">
        <f>IFERROR((VLOOKUP(A110,'DEAnorm R-nett'!$A$4:$H$85,8,FALSE)+N110+K110),N110+K110)</f>
        <v>13856.739641153474</v>
      </c>
      <c r="T110" s="118">
        <f>IFERROR(VLOOKUP(A110,IRData!$A$3:$AN$142,40,FALSE),0)</f>
        <v>0</v>
      </c>
      <c r="U110" s="47">
        <f>(1-Forutsetninger!$B$4)*Q110+(R110+S110+T110)*Forutsetninger!$B$4</f>
        <v>102969.75992032558</v>
      </c>
      <c r="V110" s="41">
        <f>(R110+S110+T110)-G110*($K$156+$K$150)/Forutsetninger!$B$4</f>
        <v>80874.704956923641</v>
      </c>
      <c r="W110" s="296">
        <f>(1-Forutsetninger!$B$4)*Q110+Forutsetninger!$B$4*V110</f>
        <v>93895.626384338379</v>
      </c>
      <c r="X110" s="185">
        <v>93750.556706392497</v>
      </c>
      <c r="Y110" s="198">
        <f t="shared" si="22"/>
        <v>145.06967794588127</v>
      </c>
      <c r="Z110" s="197">
        <f t="shared" si="23"/>
        <v>1.5474007093121561E-3</v>
      </c>
      <c r="AA110" s="185">
        <f t="shared" si="24"/>
        <v>145.06967794588127</v>
      </c>
      <c r="AB110" s="197">
        <f>VLOOKUP(A110,Table1[[idaar]:[Andel SN]],8,FALSE)</f>
        <v>0.92806476730914866</v>
      </c>
      <c r="AC110" s="197">
        <f>VLOOKUP(A110,Table1[[idaar]:[Andel SN]],9,FALSE)</f>
        <v>7.1935232690851295E-2</v>
      </c>
      <c r="AD110" s="197">
        <f>VLOOKUP(A110,Table1[[idaar]:[Andel SN]],10,FALSE)</f>
        <v>0</v>
      </c>
      <c r="AE110" s="312">
        <f t="shared" si="25"/>
        <v>134.63405690645743</v>
      </c>
      <c r="AF110" s="312">
        <f t="shared" si="26"/>
        <v>10.435621039423827</v>
      </c>
      <c r="AG110" s="312">
        <f t="shared" si="27"/>
        <v>0</v>
      </c>
    </row>
    <row r="111" spans="1:33" x14ac:dyDescent="0.2">
      <c r="A111">
        <v>622015</v>
      </c>
      <c r="B111" t="s">
        <v>208</v>
      </c>
      <c r="C111" s="112">
        <f>VLOOKUP(A111,IRData!$A$3:$F$142,6,FALSE)</f>
        <v>46535.396911430398</v>
      </c>
      <c r="D111" s="45">
        <f>C111*Forutsetninger!$C$30</f>
        <v>49234.449932293363</v>
      </c>
      <c r="E111" s="43">
        <f>VLOOKUP($A111,IRData!$A$2:$N$142,7,FALSE)</f>
        <v>15688</v>
      </c>
      <c r="F111" s="43">
        <f>VLOOKUP($A111,IRData!$A$2:$N$142,8,FALSE)</f>
        <v>263212</v>
      </c>
      <c r="G111" s="43">
        <f>VLOOKUP($A111,IRData!$A$2:$N$142,9,FALSE)</f>
        <v>265844.12</v>
      </c>
      <c r="H111" s="43">
        <f>VLOOKUP($A111,IRData!$A$2:$N$142,10,FALSE)</f>
        <v>23500</v>
      </c>
      <c r="I111" s="43">
        <f>VLOOKUP($A111,IRData!$A$2:$N$142,11,FALSE)</f>
        <v>3135</v>
      </c>
      <c r="J111" s="45">
        <f>VLOOKUP(A111,IRData!$A$3:$AF$142,32,FALSE)</f>
        <v>6742.5507690000004</v>
      </c>
      <c r="K111" s="45">
        <f>VLOOKUP(A111,IRData!$A$3:$AM$142,37,FALSE)</f>
        <v>899.48496428999999</v>
      </c>
      <c r="L111" s="112">
        <f>VLOOKUP($A111,IRData!$A$2:$N$142,13,FALSE)</f>
        <v>1693</v>
      </c>
      <c r="M111" s="44">
        <f>L111*Forutsetninger!$C$24</f>
        <v>1786.1149999999998</v>
      </c>
      <c r="N111" s="112">
        <f>VLOOKUP(A111,IRData!$A$3:$E$142,5,FALSE)*Forutsetninger!$C$30</f>
        <v>0</v>
      </c>
      <c r="O111" s="112">
        <f>VLOOKUP(A111,IRData!$A$3:$AG$142,19,FALSE)*Forutsetninger!$C$24</f>
        <v>0</v>
      </c>
      <c r="P111" s="45">
        <f t="shared" si="21"/>
        <v>74350.600665583363</v>
      </c>
      <c r="Q111" s="45">
        <f>D111+E111+J111+K111+M111+G111*Forutsetninger!$B$6+N111</f>
        <v>90620.260809583357</v>
      </c>
      <c r="R111" s="46">
        <f>IFERROR((VLOOKUP(A111,'DEAnorm D-nett'!$A$4:$H$130,8,FALSE)+O111),0)</f>
        <v>87538.794678953476</v>
      </c>
      <c r="S111" s="21">
        <f>IFERROR((VLOOKUP(A111,'DEAnorm R-nett'!$A$4:$H$85,8,FALSE)+N111+K111),N111+K111)</f>
        <v>10542.399869461102</v>
      </c>
      <c r="T111" s="118">
        <f>IFERROR(VLOOKUP(A111,IRData!$A$3:$AN$142,40,FALSE),0)</f>
        <v>0</v>
      </c>
      <c r="U111" s="47">
        <f>(1-Forutsetninger!$B$4)*Q111+(R111+S111+T111)*Forutsetninger!$B$4</f>
        <v>95096.821052882093</v>
      </c>
      <c r="V111" s="41">
        <f>(R111+S111+T111)-G111*($K$156+$K$150)/Forutsetninger!$B$4</f>
        <v>87489.574838194821</v>
      </c>
      <c r="W111" s="296">
        <f>(1-Forutsetninger!$B$4)*Q111+Forutsetninger!$B$4*V111</f>
        <v>88741.84922675023</v>
      </c>
      <c r="X111" s="185">
        <v>88597.773553572682</v>
      </c>
      <c r="Y111" s="198">
        <f t="shared" si="22"/>
        <v>144.07567317754729</v>
      </c>
      <c r="Z111" s="197">
        <f t="shared" si="23"/>
        <v>1.6261771306299094E-3</v>
      </c>
      <c r="AA111" s="185">
        <f t="shared" si="24"/>
        <v>144.07567317754729</v>
      </c>
      <c r="AB111" s="200">
        <v>0.63665658700087435</v>
      </c>
      <c r="AC111" s="200">
        <v>0.36334341299912559</v>
      </c>
      <c r="AD111" s="200">
        <v>0</v>
      </c>
      <c r="AE111" s="312">
        <f t="shared" si="25"/>
        <v>91.726726355070667</v>
      </c>
      <c r="AF111" s="312">
        <f t="shared" si="26"/>
        <v>52.348946822476606</v>
      </c>
      <c r="AG111" s="312">
        <f t="shared" si="27"/>
        <v>0</v>
      </c>
    </row>
    <row r="112" spans="1:33" x14ac:dyDescent="0.2">
      <c r="A112">
        <v>6242015</v>
      </c>
      <c r="B112" t="s">
        <v>289</v>
      </c>
      <c r="C112" s="112">
        <f>VLOOKUP(A112,IRData!$A$3:$F$142,6,FALSE)</f>
        <v>386253.55768854852</v>
      </c>
      <c r="D112" s="45">
        <f>C112*Forutsetninger!$C$30</f>
        <v>408656.26403448434</v>
      </c>
      <c r="E112" s="43">
        <f>VLOOKUP($A112,IRData!$A$2:$N$142,7,FALSE)</f>
        <v>197096</v>
      </c>
      <c r="F112" s="43">
        <f>VLOOKUP($A112,IRData!$A$2:$N$142,8,FALSE)</f>
        <v>3877473</v>
      </c>
      <c r="G112" s="43">
        <f>VLOOKUP($A112,IRData!$A$2:$N$142,9,FALSE)</f>
        <v>3916247.7299999995</v>
      </c>
      <c r="H112" s="43">
        <f>VLOOKUP($A112,IRData!$A$2:$N$142,10,FALSE)</f>
        <v>203838</v>
      </c>
      <c r="I112" s="43">
        <f>VLOOKUP($A112,IRData!$A$2:$N$142,11,FALSE)</f>
        <v>187433</v>
      </c>
      <c r="J112" s="45">
        <f>VLOOKUP(A112,IRData!$A$3:$AF$142,32,FALSE)</f>
        <v>58049.086152517804</v>
      </c>
      <c r="K112" s="45">
        <f>VLOOKUP(A112,IRData!$A$3:$AM$142,37,FALSE)</f>
        <v>53377.262163212297</v>
      </c>
      <c r="L112" s="112">
        <f>VLOOKUP($A112,IRData!$A$2:$N$142,13,FALSE)</f>
        <v>60022</v>
      </c>
      <c r="M112" s="44">
        <f>L112*Forutsetninger!$C$24</f>
        <v>63323.21</v>
      </c>
      <c r="N112" s="112">
        <f>VLOOKUP(A112,IRData!$A$3:$E$142,5,FALSE)*Forutsetninger!$C$30</f>
        <v>1298.1660000000002</v>
      </c>
      <c r="O112" s="112">
        <f>VLOOKUP(A112,IRData!$A$3:$AG$142,19,FALSE)*Forutsetninger!$C$24</f>
        <v>0</v>
      </c>
      <c r="P112" s="45">
        <f t="shared" si="21"/>
        <v>781799.98835021432</v>
      </c>
      <c r="Q112" s="45">
        <f>D112+E112+J112+K112+M112+G112*Forutsetninger!$B$6+N112</f>
        <v>1021474.3494262144</v>
      </c>
      <c r="R112" s="46">
        <f>IFERROR((VLOOKUP(A112,'DEAnorm D-nett'!$A$4:$H$130,8,FALSE)+O112),0)</f>
        <v>772982.08567049517</v>
      </c>
      <c r="S112" s="21">
        <f>IFERROR((VLOOKUP(A112,'DEAnorm R-nett'!$A$4:$H$85,8,FALSE)+N112+K112),N112+K112)</f>
        <v>293241.29732075514</v>
      </c>
      <c r="T112" s="118">
        <f>IFERROR(VLOOKUP(A112,IRData!$A$3:$AN$142,40,FALSE),0)</f>
        <v>1083.24056</v>
      </c>
      <c r="U112" s="47">
        <f>(1-Forutsetninger!$B$4)*Q112+(R112+S112+T112)*Forutsetninger!$B$4</f>
        <v>1048973.7139012362</v>
      </c>
      <c r="V112" s="41">
        <f>(R112+S112+T112)-G112*($K$156+$K$150)/Forutsetninger!$B$4</f>
        <v>911277.5692047734</v>
      </c>
      <c r="W112" s="296">
        <f>(1-Forutsetninger!$B$4)*Q112+Forutsetninger!$B$4*V112</f>
        <v>955356.28129334981</v>
      </c>
      <c r="X112" s="185">
        <v>953051.0047654208</v>
      </c>
      <c r="Y112" s="198">
        <f t="shared" si="22"/>
        <v>2305.2765279290034</v>
      </c>
      <c r="Z112" s="197">
        <f t="shared" si="23"/>
        <v>2.4188385683475699E-3</v>
      </c>
      <c r="AA112" s="185">
        <f t="shared" si="24"/>
        <v>2305.2765279290034</v>
      </c>
      <c r="AB112" s="197">
        <f>VLOOKUP(A112,Table1[[idaar]:[Andel SN]],8,FALSE)</f>
        <v>0.73591862989635659</v>
      </c>
      <c r="AC112" s="197">
        <f>VLOOKUP(A112,Table1[[idaar]:[Andel SN]],9,FALSE)</f>
        <v>0.26324189725062147</v>
      </c>
      <c r="AD112" s="197">
        <f>VLOOKUP(A112,Table1[[idaar]:[Andel SN]],10,FALSE)</f>
        <v>8.3947285302194482E-4</v>
      </c>
      <c r="AE112" s="312">
        <f t="shared" si="25"/>
        <v>1696.4959439657421</v>
      </c>
      <c r="AF112" s="312">
        <f t="shared" si="26"/>
        <v>606.84536689935612</v>
      </c>
      <c r="AG112" s="312">
        <f t="shared" si="27"/>
        <v>1.9352170639050834</v>
      </c>
    </row>
    <row r="113" spans="1:33" x14ac:dyDescent="0.2">
      <c r="A113">
        <v>5742015</v>
      </c>
      <c r="B113" t="s">
        <v>280</v>
      </c>
      <c r="C113" s="112">
        <f>VLOOKUP(A113,IRData!$A$3:$F$142,6,FALSE)</f>
        <v>441347.28103378002</v>
      </c>
      <c r="D113" s="45">
        <f>C113*Forutsetninger!$C$30</f>
        <v>466945.42333373928</v>
      </c>
      <c r="E113" s="43">
        <f>VLOOKUP($A113,IRData!$A$2:$N$142,7,FALSE)</f>
        <v>198040</v>
      </c>
      <c r="F113" s="43">
        <f>VLOOKUP($A113,IRData!$A$2:$N$142,8,FALSE)</f>
        <v>3505919</v>
      </c>
      <c r="G113" s="43">
        <f>VLOOKUP($A113,IRData!$A$2:$N$142,9,FALSE)</f>
        <v>3540978.19</v>
      </c>
      <c r="H113" s="43">
        <f>VLOOKUP($A113,IRData!$A$2:$N$142,10,FALSE)</f>
        <v>153611</v>
      </c>
      <c r="I113" s="43">
        <f>VLOOKUP($A113,IRData!$A$2:$N$142,11,FALSE)</f>
        <v>207904</v>
      </c>
      <c r="J113" s="45">
        <f>VLOOKUP(A113,IRData!$A$3:$AF$142,32,FALSE)</f>
        <v>44073.615581994003</v>
      </c>
      <c r="K113" s="45">
        <f>VLOOKUP(A113,IRData!$A$3:$AM$142,37,FALSE)</f>
        <v>59651.203194816</v>
      </c>
      <c r="L113" s="112">
        <f>VLOOKUP($A113,IRData!$A$2:$N$142,13,FALSE)</f>
        <v>54453</v>
      </c>
      <c r="M113" s="44">
        <f>L113*Forutsetninger!$C$24</f>
        <v>57447.914999999994</v>
      </c>
      <c r="N113" s="112">
        <f>VLOOKUP(A113,IRData!$A$3:$E$142,5,FALSE)*Forutsetninger!$C$30</f>
        <v>1266.4260000000002</v>
      </c>
      <c r="O113" s="112">
        <f>VLOOKUP(A113,IRData!$A$3:$AG$142,19,FALSE)*Forutsetninger!$C$24</f>
        <v>0</v>
      </c>
      <c r="P113" s="45">
        <f t="shared" si="21"/>
        <v>827424.58311054925</v>
      </c>
      <c r="Q113" s="45">
        <f>D113+E113+J113+K113+M113+G113*Forutsetninger!$B$6+N113</f>
        <v>1044132.4483385494</v>
      </c>
      <c r="R113" s="46">
        <f>IFERROR((VLOOKUP(A113,'DEAnorm D-nett'!$A$4:$H$130,8,FALSE)+O113),0)</f>
        <v>836203.02375550161</v>
      </c>
      <c r="S113" s="21">
        <f>IFERROR((VLOOKUP(A113,'DEAnorm R-nett'!$A$4:$H$85,8,FALSE)+N113+K113),N113+K113)</f>
        <v>262448.36721921246</v>
      </c>
      <c r="T113" s="118">
        <f>IFERROR(VLOOKUP(A113,IRData!$A$3:$AN$142,40,FALSE),0)</f>
        <v>1599.4588160000001</v>
      </c>
      <c r="U113" s="47">
        <f>(1-Forutsetninger!$B$4)*Q113+(R113+S113+T113)*Forutsetninger!$B$4</f>
        <v>1077803.4892098482</v>
      </c>
      <c r="V113" s="41">
        <f>(R113+S113+T113)-G113*($K$156+$K$150)/Forutsetninger!$B$4</f>
        <v>959173.08440450847</v>
      </c>
      <c r="W113" s="296">
        <f>(1-Forutsetninger!$B$4)*Q113+Forutsetninger!$B$4*V113</f>
        <v>993156.82997812494</v>
      </c>
      <c r="X113" s="185">
        <v>990447.46961552487</v>
      </c>
      <c r="Y113" s="198">
        <f t="shared" si="22"/>
        <v>2709.3603626000695</v>
      </c>
      <c r="Z113" s="197">
        <f t="shared" si="23"/>
        <v>2.735491225649552E-3</v>
      </c>
      <c r="AA113" s="185">
        <f t="shared" si="24"/>
        <v>2709.3603626000695</v>
      </c>
      <c r="AB113" s="197">
        <f>VLOOKUP(A113,Table1[[idaar]:[Andel SN]],8,FALSE)</f>
        <v>0.75108378186147162</v>
      </c>
      <c r="AC113" s="197">
        <f>VLOOKUP(A113,Table1[[idaar]:[Andel SN]],9,FALSE)</f>
        <v>0.24763293163371855</v>
      </c>
      <c r="AD113" s="197">
        <f>VLOOKUP(A113,Table1[[idaar]:[Andel SN]],10,FALSE)</f>
        <v>1.2832865048098023E-3</v>
      </c>
      <c r="AE113" s="312">
        <f t="shared" si="25"/>
        <v>2034.9566275672282</v>
      </c>
      <c r="AF113" s="312">
        <f t="shared" si="26"/>
        <v>670.92684944284986</v>
      </c>
      <c r="AG113" s="312">
        <f t="shared" si="27"/>
        <v>3.4768855899912618</v>
      </c>
    </row>
    <row r="114" spans="1:33" x14ac:dyDescent="0.2">
      <c r="A114">
        <v>6112015</v>
      </c>
      <c r="B114" t="s">
        <v>285</v>
      </c>
      <c r="C114" s="112">
        <f>VLOOKUP(A114,IRData!$A$3:$F$142,6,FALSE)</f>
        <v>418736.43472335604</v>
      </c>
      <c r="D114" s="45">
        <f>C114*Forutsetninger!$C$30</f>
        <v>443023.14793731068</v>
      </c>
      <c r="E114" s="43">
        <f>VLOOKUP($A114,IRData!$A$2:$N$142,7,FALSE)</f>
        <v>244593</v>
      </c>
      <c r="F114" s="43">
        <f>VLOOKUP($A114,IRData!$A$2:$N$142,8,FALSE)</f>
        <v>3285398</v>
      </c>
      <c r="G114" s="43">
        <f>VLOOKUP($A114,IRData!$A$2:$N$142,9,FALSE)</f>
        <v>3318251.98</v>
      </c>
      <c r="H114" s="43">
        <f>VLOOKUP($A114,IRData!$A$2:$N$142,10,FALSE)</f>
        <v>247293</v>
      </c>
      <c r="I114" s="43">
        <f>VLOOKUP($A114,IRData!$A$2:$N$142,11,FALSE)</f>
        <v>187985</v>
      </c>
      <c r="J114" s="45">
        <f>VLOOKUP(A114,IRData!$A$3:$AF$142,32,FALSE)</f>
        <v>70424.222480178301</v>
      </c>
      <c r="K114" s="45">
        <f>VLOOKUP(A114,IRData!$A$3:$AM$142,37,FALSE)</f>
        <v>53534.460995403497</v>
      </c>
      <c r="L114" s="112">
        <f>VLOOKUP($A114,IRData!$A$2:$N$142,13,FALSE)</f>
        <v>42363</v>
      </c>
      <c r="M114" s="44">
        <f>L114*Forutsetninger!$C$24</f>
        <v>44692.964999999997</v>
      </c>
      <c r="N114" s="112">
        <f>VLOOKUP(A114,IRData!$A$3:$E$142,5,FALSE)*Forutsetninger!$C$30</f>
        <v>665.48200000000008</v>
      </c>
      <c r="O114" s="112">
        <f>VLOOKUP(A114,IRData!$A$3:$AG$142,19,FALSE)*Forutsetninger!$C$24</f>
        <v>0</v>
      </c>
      <c r="P114" s="45">
        <f t="shared" si="21"/>
        <v>856933.27841289237</v>
      </c>
      <c r="Q114" s="45">
        <f>D114+E114+J114+K114+M114+G114*Forutsetninger!$B$6+N114</f>
        <v>1060010.2995888924</v>
      </c>
      <c r="R114" s="46">
        <f>IFERROR((VLOOKUP(A114,'DEAnorm D-nett'!$A$4:$H$130,8,FALSE)+O114),0)</f>
        <v>771121.73597552557</v>
      </c>
      <c r="S114" s="21">
        <f>IFERROR((VLOOKUP(A114,'DEAnorm R-nett'!$A$4:$H$85,8,FALSE)+N114+K114),N114+K114)</f>
        <v>345775.51554802642</v>
      </c>
      <c r="T114" s="118">
        <f>IFERROR(VLOOKUP(A114,IRData!$A$3:$AN$142,40,FALSE),0)</f>
        <v>0</v>
      </c>
      <c r="U114" s="47">
        <f>(1-Forutsetninger!$B$4)*Q114+(R114+S114+T114)*Forutsetninger!$B$4</f>
        <v>1094142.4707496881</v>
      </c>
      <c r="V114" s="41">
        <f>(R114+S114+T114)-G114*($K$156+$K$150)/Forutsetninger!$B$4</f>
        <v>984693.22506306926</v>
      </c>
      <c r="W114" s="296">
        <f>(1-Forutsetninger!$B$4)*Q114+Forutsetninger!$B$4*V114</f>
        <v>1014820.0548733985</v>
      </c>
      <c r="X114" s="185">
        <v>1011950.4708077468</v>
      </c>
      <c r="Y114" s="198">
        <f t="shared" si="22"/>
        <v>2869.5840656517539</v>
      </c>
      <c r="Z114" s="197">
        <f t="shared" si="23"/>
        <v>2.8356961614546504E-3</v>
      </c>
      <c r="AA114" s="185">
        <f t="shared" si="24"/>
        <v>2869.5840656517539</v>
      </c>
      <c r="AB114" s="197">
        <f>VLOOKUP(A114,Table1[[idaar]:[Andel SN]],8,FALSE)</f>
        <v>0.69389310121460679</v>
      </c>
      <c r="AC114" s="197">
        <f>VLOOKUP(A114,Table1[[idaar]:[Andel SN]],9,FALSE)</f>
        <v>0.30610689878539321</v>
      </c>
      <c r="AD114" s="197">
        <f>VLOOKUP(A114,Table1[[idaar]:[Andel SN]],10,FALSE)</f>
        <v>0</v>
      </c>
      <c r="AE114" s="312">
        <f t="shared" si="25"/>
        <v>1991.1845865111154</v>
      </c>
      <c r="AF114" s="312">
        <f t="shared" si="26"/>
        <v>878.39947914063862</v>
      </c>
      <c r="AG114" s="312">
        <f t="shared" si="27"/>
        <v>0</v>
      </c>
    </row>
    <row r="115" spans="1:33" x14ac:dyDescent="0.2">
      <c r="A115">
        <v>372015</v>
      </c>
      <c r="B115" t="s">
        <v>199</v>
      </c>
      <c r="C115" s="112">
        <f>VLOOKUP(A115,IRData!$A$3:$F$142,6,FALSE)</f>
        <v>35793.933683046635</v>
      </c>
      <c r="D115" s="45">
        <f>C115*Forutsetninger!$C$30</f>
        <v>37869.981836663341</v>
      </c>
      <c r="E115" s="43">
        <f>VLOOKUP($A115,IRData!$A$2:$N$142,7,FALSE)</f>
        <v>17552</v>
      </c>
      <c r="F115" s="43">
        <f>VLOOKUP($A115,IRData!$A$2:$N$142,8,FALSE)</f>
        <v>246112</v>
      </c>
      <c r="G115" s="43">
        <f>VLOOKUP($A115,IRData!$A$2:$N$142,9,FALSE)</f>
        <v>248573.12</v>
      </c>
      <c r="H115" s="43">
        <f>VLOOKUP($A115,IRData!$A$2:$N$142,10,FALSE)</f>
        <v>19164</v>
      </c>
      <c r="I115" s="43">
        <f>VLOOKUP($A115,IRData!$A$2:$N$142,11,FALSE)</f>
        <v>19099</v>
      </c>
      <c r="J115" s="45">
        <f>VLOOKUP(A115,IRData!$A$3:$AF$142,32,FALSE)</f>
        <v>5563.9468552703993</v>
      </c>
      <c r="K115" s="45">
        <f>VLOOKUP(A115,IRData!$A$3:$AM$142,37,FALSE)</f>
        <v>5545.0751924863998</v>
      </c>
      <c r="L115" s="112">
        <f>VLOOKUP($A115,IRData!$A$2:$N$142,13,FALSE)</f>
        <v>1301</v>
      </c>
      <c r="M115" s="44">
        <f>L115*Forutsetninger!$C$24</f>
        <v>1372.5549999999998</v>
      </c>
      <c r="N115" s="112">
        <f>VLOOKUP(A115,IRData!$A$3:$E$142,5,FALSE)*Forutsetninger!$C$30</f>
        <v>0</v>
      </c>
      <c r="O115" s="112">
        <f>VLOOKUP(A115,IRData!$A$3:$AG$142,19,FALSE)*Forutsetninger!$C$24</f>
        <v>0</v>
      </c>
      <c r="P115" s="45">
        <f t="shared" si="21"/>
        <v>67903.558884420141</v>
      </c>
      <c r="Q115" s="45">
        <f>D115+E115+J115+K115+M115+G115*Forutsetninger!$B$6+N115</f>
        <v>83116.233828420125</v>
      </c>
      <c r="R115" s="46">
        <f>IFERROR((VLOOKUP(A115,'DEAnorm D-nett'!$A$4:$H$130,8,FALSE)+O115),0)</f>
        <v>77620.91772601314</v>
      </c>
      <c r="S115" s="21">
        <f>IFERROR((VLOOKUP(A115,'DEAnorm R-nett'!$A$4:$H$85,8,FALSE)+N115+K115),N115+K115)</f>
        <v>20655.345298819626</v>
      </c>
      <c r="T115" s="118">
        <f>IFERROR(VLOOKUP(A115,IRData!$A$3:$AN$142,40,FALSE),0)</f>
        <v>0</v>
      </c>
      <c r="U115" s="47">
        <f>(1-Forutsetninger!$B$4)*Q115+(R115+S115+T115)*Forutsetninger!$B$4</f>
        <v>92212.251346267702</v>
      </c>
      <c r="V115" s="41">
        <f>(R115+S115+T115)-G115*($K$156+$K$150)/Forutsetninger!$B$4</f>
        <v>88372.745289617029</v>
      </c>
      <c r="W115" s="296">
        <f>(1-Forutsetninger!$B$4)*Q115+Forutsetninger!$B$4*V115</f>
        <v>86270.14070513827</v>
      </c>
      <c r="X115" s="185">
        <v>86020.077062961005</v>
      </c>
      <c r="Y115" s="198">
        <f t="shared" si="22"/>
        <v>250.06364217726514</v>
      </c>
      <c r="Z115" s="197">
        <f t="shared" si="23"/>
        <v>2.9070381091874063E-3</v>
      </c>
      <c r="AA115" s="185">
        <f t="shared" si="24"/>
        <v>250.06364217726514</v>
      </c>
      <c r="AB115" s="197">
        <f>VLOOKUP(A115,Table1[[idaar]:[Andel SN]],8,FALSE)</f>
        <v>0.77078586375261571</v>
      </c>
      <c r="AC115" s="197">
        <f>VLOOKUP(A115,Table1[[idaar]:[Andel SN]],9,FALSE)</f>
        <v>0.22921413624738432</v>
      </c>
      <c r="AD115" s="197">
        <f>VLOOKUP(A115,Table1[[idaar]:[Andel SN]],10,FALSE)</f>
        <v>0</v>
      </c>
      <c r="AE115" s="312">
        <f t="shared" si="25"/>
        <v>192.74552042872833</v>
      </c>
      <c r="AF115" s="312">
        <f t="shared" si="26"/>
        <v>57.318121748536811</v>
      </c>
      <c r="AG115" s="312">
        <f t="shared" si="27"/>
        <v>0</v>
      </c>
    </row>
    <row r="116" spans="1:33" x14ac:dyDescent="0.2">
      <c r="A116">
        <v>3432015</v>
      </c>
      <c r="B116" t="s">
        <v>180</v>
      </c>
      <c r="C116" s="112">
        <f>VLOOKUP(A116,IRData!$A$3:$F$142,6,FALSE)</f>
        <v>12100.887970251089</v>
      </c>
      <c r="D116" s="45">
        <f>C116*Forutsetninger!$C$30</f>
        <v>12802.739472525653</v>
      </c>
      <c r="E116" s="43">
        <f>VLOOKUP($A116,IRData!$A$2:$N$142,7,FALSE)</f>
        <v>8458</v>
      </c>
      <c r="F116" s="43">
        <f>VLOOKUP($A116,IRData!$A$2:$N$142,8,FALSE)</f>
        <v>106445</v>
      </c>
      <c r="G116" s="43">
        <f>VLOOKUP($A116,IRData!$A$2:$N$142,9,FALSE)</f>
        <v>107509.45</v>
      </c>
      <c r="H116" s="43">
        <f>VLOOKUP($A116,IRData!$A$2:$N$142,10,FALSE)</f>
        <v>4278</v>
      </c>
      <c r="I116" s="43">
        <f>VLOOKUP($A116,IRData!$A$2:$N$142,11,FALSE)</f>
        <v>550</v>
      </c>
      <c r="J116" s="45">
        <f>VLOOKUP(A116,IRData!$A$3:$AF$142,32,FALSE)</f>
        <v>1218.1508398481999</v>
      </c>
      <c r="K116" s="45">
        <f>VLOOKUP(A116,IRData!$A$3:$AM$142,37,FALSE)</f>
        <v>156.611258045</v>
      </c>
      <c r="L116" s="112">
        <f>VLOOKUP($A116,IRData!$A$2:$N$142,13,FALSE)</f>
        <v>123</v>
      </c>
      <c r="M116" s="44">
        <f>L116*Forutsetninger!$C$24</f>
        <v>129.76499999999999</v>
      </c>
      <c r="N116" s="112">
        <f>VLOOKUP(A116,IRData!$A$3:$E$142,5,FALSE)*Forutsetninger!$C$30</f>
        <v>0</v>
      </c>
      <c r="O116" s="112">
        <f>VLOOKUP(A116,IRData!$A$3:$AG$142,19,FALSE)*Forutsetninger!$C$24</f>
        <v>0</v>
      </c>
      <c r="P116" s="45">
        <f t="shared" si="21"/>
        <v>22765.266570418851</v>
      </c>
      <c r="Q116" s="45">
        <f>D116+E116+J116+K116+M116+G116*Forutsetninger!$B$6+N116</f>
        <v>29344.844910418851</v>
      </c>
      <c r="R116" s="46">
        <f>IFERROR((VLOOKUP(A116,'DEAnorm D-nett'!$A$4:$H$130,8,FALSE)+O116),0)</f>
        <v>24417.310770683849</v>
      </c>
      <c r="S116" s="21">
        <f>IFERROR((VLOOKUP(A116,'DEAnorm R-nett'!$A$4:$H$85,8,FALSE)+N116+K116),N116+K116)</f>
        <v>3765.7154113027023</v>
      </c>
      <c r="T116" s="118">
        <f>IFERROR(VLOOKUP(A116,IRData!$A$3:$AN$142,40,FALSE),0)</f>
        <v>0</v>
      </c>
      <c r="U116" s="47">
        <f>(1-Forutsetninger!$B$4)*Q116+(R116+S116+T116)*Forutsetninger!$B$4</f>
        <v>28647.753673359472</v>
      </c>
      <c r="V116" s="41">
        <f>(R116+S116+T116)-G116*($K$156+$K$150)/Forutsetninger!$B$4</f>
        <v>23899.691987290484</v>
      </c>
      <c r="W116" s="296">
        <f>(1-Forutsetninger!$B$4)*Q116+Forutsetninger!$B$4*V116</f>
        <v>26077.753156541832</v>
      </c>
      <c r="X116" s="185">
        <v>25991.048594456039</v>
      </c>
      <c r="Y116" s="198">
        <f t="shared" si="22"/>
        <v>86.704562085793441</v>
      </c>
      <c r="Z116" s="197">
        <f t="shared" si="23"/>
        <v>3.3359393627653698E-3</v>
      </c>
      <c r="AA116" s="185">
        <f t="shared" si="24"/>
        <v>86.704562085793441</v>
      </c>
      <c r="AB116" s="197">
        <f>VLOOKUP(A116,Table1[[idaar]:[Andel SN]],8,FALSE)</f>
        <v>0.8551421645954369</v>
      </c>
      <c r="AC116" s="197">
        <f>VLOOKUP(A116,Table1[[idaar]:[Andel SN]],9,FALSE)</f>
        <v>0.14485783540456312</v>
      </c>
      <c r="AD116" s="197">
        <f>VLOOKUP(A116,Table1[[idaar]:[Andel SN]],10,FALSE)</f>
        <v>0</v>
      </c>
      <c r="AE116" s="312">
        <f t="shared" si="25"/>
        <v>74.144726902344857</v>
      </c>
      <c r="AF116" s="312">
        <f t="shared" si="26"/>
        <v>12.559835183448591</v>
      </c>
      <c r="AG116" s="312">
        <f t="shared" si="27"/>
        <v>0</v>
      </c>
    </row>
    <row r="117" spans="1:33" x14ac:dyDescent="0.2">
      <c r="A117">
        <v>2512015</v>
      </c>
      <c r="B117" t="s">
        <v>258</v>
      </c>
      <c r="C117" s="112">
        <f>VLOOKUP(A117,IRData!$A$3:$F$142,6,FALSE)</f>
        <v>56094.329376905516</v>
      </c>
      <c r="D117" s="45">
        <f>C117*Forutsetninger!$C$30</f>
        <v>59347.80048076604</v>
      </c>
      <c r="E117" s="43">
        <f>VLOOKUP($A117,IRData!$A$2:$N$142,7,FALSE)</f>
        <v>13710</v>
      </c>
      <c r="F117" s="43">
        <f>VLOOKUP($A117,IRData!$A$2:$N$142,8,FALSE)</f>
        <v>340318</v>
      </c>
      <c r="G117" s="43">
        <f>VLOOKUP($A117,IRData!$A$2:$N$142,9,FALSE)</f>
        <v>343721.18</v>
      </c>
      <c r="H117" s="43">
        <f>VLOOKUP($A117,IRData!$A$2:$N$142,10,FALSE)</f>
        <v>18090</v>
      </c>
      <c r="I117" s="43">
        <f>VLOOKUP($A117,IRData!$A$2:$N$142,11,FALSE)</f>
        <v>16777</v>
      </c>
      <c r="J117" s="45">
        <f>VLOOKUP(A117,IRData!$A$3:$AF$142,32,FALSE)</f>
        <v>5151.6791201790002</v>
      </c>
      <c r="K117" s="45">
        <f>VLOOKUP(A117,IRData!$A$3:$AM$142,37,FALSE)</f>
        <v>4777.7623327387</v>
      </c>
      <c r="L117" s="112">
        <f>VLOOKUP($A117,IRData!$A$2:$N$142,13,FALSE)</f>
        <v>7131</v>
      </c>
      <c r="M117" s="44">
        <f>L117*Forutsetninger!$C$24</f>
        <v>7523.2049999999999</v>
      </c>
      <c r="N117" s="112">
        <f>VLOOKUP(A117,IRData!$A$3:$E$142,5,FALSE)*Forutsetninger!$C$30</f>
        <v>0</v>
      </c>
      <c r="O117" s="112">
        <f>VLOOKUP(A117,IRData!$A$3:$AG$142,19,FALSE)*Forutsetninger!$C$24</f>
        <v>0</v>
      </c>
      <c r="P117" s="45">
        <f t="shared" si="21"/>
        <v>90510.44693368375</v>
      </c>
      <c r="Q117" s="45">
        <f>D117+E117+J117+K117+M117+G117*Forutsetninger!$B$6+N117</f>
        <v>111546.18314968375</v>
      </c>
      <c r="R117" s="46">
        <f>IFERROR((VLOOKUP(A117,'DEAnorm D-nett'!$A$4:$H$130,8,FALSE)+O117),0)</f>
        <v>98245.19530124274</v>
      </c>
      <c r="S117" s="21">
        <f>IFERROR((VLOOKUP(A117,'DEAnorm R-nett'!$A$4:$H$85,8,FALSE)+N117+K117),N117+K117)</f>
        <v>18161.328926507667</v>
      </c>
      <c r="T117" s="118">
        <f>IFERROR(VLOOKUP(A117,IRData!$A$3:$AN$142,40,FALSE),0)</f>
        <v>0</v>
      </c>
      <c r="U117" s="47">
        <f>(1-Forutsetninger!$B$4)*Q117+(R117+S117+T117)*Forutsetninger!$B$4</f>
        <v>114462.38779652375</v>
      </c>
      <c r="V117" s="41">
        <f>(R117+S117+T117)-G117*($K$156+$K$150)/Forutsetninger!$B$4</f>
        <v>102712.16820848621</v>
      </c>
      <c r="W117" s="296">
        <f>(1-Forutsetninger!$B$4)*Q117+Forutsetninger!$B$4*V117</f>
        <v>106245.77418496524</v>
      </c>
      <c r="X117" s="185">
        <v>105881.63340108511</v>
      </c>
      <c r="Y117" s="198">
        <f t="shared" si="22"/>
        <v>364.14078388012422</v>
      </c>
      <c r="Z117" s="197">
        <f t="shared" si="23"/>
        <v>3.4391307744634052E-3</v>
      </c>
      <c r="AA117" s="185">
        <f t="shared" si="24"/>
        <v>364.14078388012422</v>
      </c>
      <c r="AB117" s="197">
        <f>VLOOKUP(A117,Table1[[idaar]:[Andel SN]],8,FALSE)</f>
        <v>0.88770518123949305</v>
      </c>
      <c r="AC117" s="197">
        <f>VLOOKUP(A117,Table1[[idaar]:[Andel SN]],9,FALSE)</f>
        <v>0.11229481876050698</v>
      </c>
      <c r="AD117" s="197">
        <f>VLOOKUP(A117,Table1[[idaar]:[Andel SN]],10,FALSE)</f>
        <v>0</v>
      </c>
      <c r="AE117" s="312">
        <f t="shared" si="25"/>
        <v>323.24966055099674</v>
      </c>
      <c r="AF117" s="312">
        <f t="shared" si="26"/>
        <v>40.891123329127488</v>
      </c>
      <c r="AG117" s="312">
        <f t="shared" si="27"/>
        <v>0</v>
      </c>
    </row>
    <row r="118" spans="1:33" x14ac:dyDescent="0.2">
      <c r="A118">
        <v>2152015</v>
      </c>
      <c r="B118" t="s">
        <v>250</v>
      </c>
      <c r="C118" s="112">
        <f>VLOOKUP(A118,IRData!$A$3:$F$142,6,FALSE)</f>
        <v>322994.73737077432</v>
      </c>
      <c r="D118" s="45">
        <f>C118*Forutsetninger!$C$30</f>
        <v>341728.43213827926</v>
      </c>
      <c r="E118" s="43">
        <f>VLOOKUP($A118,IRData!$A$2:$N$142,7,FALSE)</f>
        <v>105460</v>
      </c>
      <c r="F118" s="43">
        <f>VLOOKUP($A118,IRData!$A$2:$N$142,8,FALSE)</f>
        <v>1812071</v>
      </c>
      <c r="G118" s="43">
        <f>VLOOKUP($A118,IRData!$A$2:$N$142,9,FALSE)</f>
        <v>1830191.71</v>
      </c>
      <c r="H118" s="43">
        <f>VLOOKUP($A118,IRData!$A$2:$N$142,10,FALSE)</f>
        <v>120929</v>
      </c>
      <c r="I118" s="43">
        <f>VLOOKUP($A118,IRData!$A$2:$N$142,11,FALSE)</f>
        <v>99516</v>
      </c>
      <c r="J118" s="45">
        <f>VLOOKUP(A118,IRData!$A$3:$AF$142,32,FALSE)</f>
        <v>35109.712443174401</v>
      </c>
      <c r="K118" s="45">
        <f>VLOOKUP(A118,IRData!$A$3:$AM$142,37,FALSE)</f>
        <v>28892.806055577599</v>
      </c>
      <c r="L118" s="112">
        <f>VLOOKUP($A118,IRData!$A$2:$N$142,13,FALSE)</f>
        <v>24063</v>
      </c>
      <c r="M118" s="44">
        <f>L118*Forutsetninger!$C$24</f>
        <v>25386.465</v>
      </c>
      <c r="N118" s="112">
        <f>VLOOKUP(A118,IRData!$A$3:$E$142,5,FALSE)*Forutsetninger!$C$30</f>
        <v>1633.5520000000001</v>
      </c>
      <c r="O118" s="112">
        <f>VLOOKUP(A118,IRData!$A$3:$AG$142,19,FALSE)*Forutsetninger!$C$24</f>
        <v>0</v>
      </c>
      <c r="P118" s="45">
        <f t="shared" si="21"/>
        <v>538210.96763703122</v>
      </c>
      <c r="Q118" s="45">
        <f>D118+E118+J118+K118+M118+G118*Forutsetninger!$B$6+N118</f>
        <v>650218.70028903126</v>
      </c>
      <c r="R118" s="46">
        <f>IFERROR((VLOOKUP(A118,'DEAnorm D-nett'!$A$4:$H$130,8,FALSE)+O118),0)</f>
        <v>497203.34426020144</v>
      </c>
      <c r="S118" s="21">
        <f>IFERROR((VLOOKUP(A118,'DEAnorm R-nett'!$A$4:$H$85,8,FALSE)+N118+K118),N118+K118)</f>
        <v>177078.62571148627</v>
      </c>
      <c r="T118" s="118">
        <f>IFERROR(VLOOKUP(A118,IRData!$A$3:$AN$142,40,FALSE),0)</f>
        <v>0</v>
      </c>
      <c r="U118" s="47">
        <f>(1-Forutsetninger!$B$4)*Q118+(R118+S118+T118)*Forutsetninger!$B$4</f>
        <v>664656.66209862521</v>
      </c>
      <c r="V118" s="41">
        <f>(R118+S118+T118)-G118*($K$156+$K$150)/Forutsetninger!$B$4</f>
        <v>601364.44751861715</v>
      </c>
      <c r="W118" s="296">
        <f>(1-Forutsetninger!$B$4)*Q118+Forutsetninger!$B$4*V118</f>
        <v>620906.1486267827</v>
      </c>
      <c r="X118" s="185">
        <v>618750.2272159144</v>
      </c>
      <c r="Y118" s="198">
        <f t="shared" si="22"/>
        <v>2155.9214108682936</v>
      </c>
      <c r="Z118" s="197">
        <f t="shared" si="23"/>
        <v>3.4843161522039806E-3</v>
      </c>
      <c r="AA118" s="185">
        <f t="shared" si="24"/>
        <v>2155.9214108682936</v>
      </c>
      <c r="AB118" s="197">
        <f>VLOOKUP(A118,Table1[[idaar]:[Andel SN]],8,FALSE)</f>
        <v>0.72878921785240836</v>
      </c>
      <c r="AC118" s="197">
        <f>VLOOKUP(A118,Table1[[idaar]:[Andel SN]],9,FALSE)</f>
        <v>0.2712107821475917</v>
      </c>
      <c r="AD118" s="197">
        <f>VLOOKUP(A118,Table1[[idaar]:[Andel SN]],10,FALSE)</f>
        <v>0</v>
      </c>
      <c r="AE118" s="312">
        <f t="shared" si="25"/>
        <v>1571.2122787779645</v>
      </c>
      <c r="AF118" s="312">
        <f t="shared" si="26"/>
        <v>584.70913209032926</v>
      </c>
      <c r="AG118" s="312">
        <f t="shared" si="27"/>
        <v>0</v>
      </c>
    </row>
    <row r="119" spans="1:33" x14ac:dyDescent="0.2">
      <c r="A119">
        <v>1642015</v>
      </c>
      <c r="B119" t="s">
        <v>236</v>
      </c>
      <c r="C119" s="112">
        <f>VLOOKUP(A119,IRData!$A$3:$F$142,6,FALSE)</f>
        <v>33751.786119778764</v>
      </c>
      <c r="D119" s="45">
        <f>C119*Forutsetninger!$C$30</f>
        <v>35709.389714725934</v>
      </c>
      <c r="E119" s="43">
        <f>VLOOKUP($A119,IRData!$A$2:$N$142,7,FALSE)</f>
        <v>11408</v>
      </c>
      <c r="F119" s="43">
        <f>VLOOKUP($A119,IRData!$A$2:$N$142,8,FALSE)</f>
        <v>178217</v>
      </c>
      <c r="G119" s="43">
        <f>VLOOKUP($A119,IRData!$A$2:$N$142,9,FALSE)</f>
        <v>179999.16999999998</v>
      </c>
      <c r="H119" s="43">
        <f>VLOOKUP($A119,IRData!$A$2:$N$142,10,FALSE)</f>
        <v>7126</v>
      </c>
      <c r="I119" s="43">
        <f>VLOOKUP($A119,IRData!$A$2:$N$142,11,FALSE)</f>
        <v>6957</v>
      </c>
      <c r="J119" s="45">
        <f>VLOOKUP(A119,IRData!$A$3:$AF$142,32,FALSE)</f>
        <v>1831.8165598698001</v>
      </c>
      <c r="K119" s="45">
        <f>VLOOKUP(A119,IRData!$A$3:$AM$142,37,FALSE)</f>
        <v>1788.3732538611002</v>
      </c>
      <c r="L119" s="112">
        <f>VLOOKUP($A119,IRData!$A$2:$N$142,13,FALSE)</f>
        <v>6498</v>
      </c>
      <c r="M119" s="44">
        <f>L119*Forutsetninger!$C$24</f>
        <v>6855.3899999999994</v>
      </c>
      <c r="N119" s="112">
        <f>VLOOKUP(A119,IRData!$A$3:$E$142,5,FALSE)*Forutsetninger!$C$30</f>
        <v>0</v>
      </c>
      <c r="O119" s="112">
        <f>VLOOKUP(A119,IRData!$A$3:$AG$142,19,FALSE)*Forutsetninger!$C$24</f>
        <v>0</v>
      </c>
      <c r="P119" s="45">
        <f t="shared" si="21"/>
        <v>57592.969528456837</v>
      </c>
      <c r="Q119" s="45">
        <f>D119+E119+J119+K119+M119+G119*Forutsetninger!$B$6+N119</f>
        <v>68608.918732456834</v>
      </c>
      <c r="R119" s="46">
        <f>IFERROR((VLOOKUP(A119,'DEAnorm D-nett'!$A$4:$H$130,8,FALSE)+O119),0)</f>
        <v>44387.179427657968</v>
      </c>
      <c r="S119" s="21">
        <f>IFERROR((VLOOKUP(A119,'DEAnorm R-nett'!$A$4:$H$85,8,FALSE)+N119+K119),N119+K119)</f>
        <v>14313.272695233354</v>
      </c>
      <c r="T119" s="118">
        <f>IFERROR(VLOOKUP(A119,IRData!$A$3:$AN$142,40,FALSE),0)</f>
        <v>0</v>
      </c>
      <c r="U119" s="47">
        <f>(1-Forutsetninger!$B$4)*Q119+(R119+S119+T119)*Forutsetninger!$B$4</f>
        <v>62663.838766717527</v>
      </c>
      <c r="V119" s="41">
        <f>(R119+S119+T119)-G119*($K$156+$K$150)/Forutsetninger!$B$4</f>
        <v>51529.021147494175</v>
      </c>
      <c r="W119" s="296">
        <f>(1-Forutsetninger!$B$4)*Q119+Forutsetninger!$B$4*V119</f>
        <v>58360.980181479244</v>
      </c>
      <c r="X119" s="185">
        <v>58158.072376047814</v>
      </c>
      <c r="Y119" s="198">
        <f t="shared" si="22"/>
        <v>202.90780543143046</v>
      </c>
      <c r="Z119" s="197">
        <f t="shared" si="23"/>
        <v>3.488901834975488E-3</v>
      </c>
      <c r="AA119" s="185">
        <f t="shared" si="24"/>
        <v>202.90780543143046</v>
      </c>
      <c r="AB119" s="197">
        <f>VLOOKUP(A119,Table1[[idaar]:[Andel SN]],8,FALSE)</f>
        <v>0.77743388699748961</v>
      </c>
      <c r="AC119" s="197">
        <f>VLOOKUP(A119,Table1[[idaar]:[Andel SN]],9,FALSE)</f>
        <v>0.22256611300251039</v>
      </c>
      <c r="AD119" s="197">
        <f>VLOOKUP(A119,Table1[[idaar]:[Andel SN]],10,FALSE)</f>
        <v>0</v>
      </c>
      <c r="AE119" s="312">
        <f t="shared" si="25"/>
        <v>157.74740387868732</v>
      </c>
      <c r="AF119" s="312">
        <f t="shared" si="26"/>
        <v>45.160401552743146</v>
      </c>
      <c r="AG119" s="312">
        <f t="shared" si="27"/>
        <v>0</v>
      </c>
    </row>
    <row r="120" spans="1:33" x14ac:dyDescent="0.2">
      <c r="A120">
        <v>6142015</v>
      </c>
      <c r="B120" t="s">
        <v>287</v>
      </c>
      <c r="C120" s="112">
        <f>VLOOKUP(A120,IRData!$A$3:$F$142,6,FALSE)</f>
        <v>49539.051194142899</v>
      </c>
      <c r="D120" s="45">
        <f>C120*Forutsetninger!$C$30</f>
        <v>52412.316163403193</v>
      </c>
      <c r="E120" s="43">
        <f>VLOOKUP($A120,IRData!$A$2:$N$142,7,FALSE)</f>
        <v>23367</v>
      </c>
      <c r="F120" s="43">
        <f>VLOOKUP($A120,IRData!$A$2:$N$142,8,FALSE)</f>
        <v>350376</v>
      </c>
      <c r="G120" s="43">
        <f>VLOOKUP($A120,IRData!$A$2:$N$142,9,FALSE)</f>
        <v>353879.76</v>
      </c>
      <c r="H120" s="43">
        <f>VLOOKUP($A120,IRData!$A$2:$N$142,10,FALSE)</f>
        <v>57573</v>
      </c>
      <c r="I120" s="43">
        <f>VLOOKUP($A120,IRData!$A$2:$N$142,11,FALSE)</f>
        <v>0</v>
      </c>
      <c r="J120" s="45">
        <f>VLOOKUP(A120,IRData!$A$3:$AF$142,32,FALSE)</f>
        <v>16518.675549942</v>
      </c>
      <c r="K120" s="45">
        <f>VLOOKUP(A120,IRData!$A$3:$AM$142,37,FALSE)</f>
        <v>0</v>
      </c>
      <c r="L120" s="112">
        <f>VLOOKUP($A120,IRData!$A$2:$N$142,13,FALSE)</f>
        <v>3497</v>
      </c>
      <c r="M120" s="44">
        <f>L120*Forutsetninger!$C$24</f>
        <v>3689.3349999999996</v>
      </c>
      <c r="N120" s="112">
        <f>VLOOKUP(A120,IRData!$A$3:$E$142,5,FALSE)*Forutsetninger!$C$30</f>
        <v>0</v>
      </c>
      <c r="O120" s="112">
        <f>VLOOKUP(A120,IRData!$A$3:$AG$142,19,FALSE)*Forutsetninger!$C$24</f>
        <v>742.8676999999999</v>
      </c>
      <c r="P120" s="45">
        <f t="shared" si="21"/>
        <v>95987.326713345188</v>
      </c>
      <c r="Q120" s="45">
        <f>D120+E120+J120+K120+M120+G120*Forutsetninger!$B$6+N120</f>
        <v>117644.76802534518</v>
      </c>
      <c r="R120" s="46">
        <f>IFERROR((VLOOKUP(A120,'DEAnorm D-nett'!$A$4:$H$130,8,FALSE)+O120),0)</f>
        <v>131600.85875732097</v>
      </c>
      <c r="S120" s="21">
        <f>IFERROR((VLOOKUP(A120,'DEAnorm R-nett'!$A$4:$H$85,8,FALSE)+N120+K120),N120+K120)</f>
        <v>0</v>
      </c>
      <c r="T120" s="118">
        <f>IFERROR(VLOOKUP(A120,IRData!$A$3:$AN$142,40,FALSE),0)</f>
        <v>0</v>
      </c>
      <c r="U120" s="47">
        <f>(1-Forutsetninger!$B$4)*Q120+(R120+S120+T120)*Forutsetninger!$B$4</f>
        <v>126018.42246453065</v>
      </c>
      <c r="V120" s="41">
        <f>(R120+S120+T120)-G120*($K$156+$K$150)/Forutsetninger!$B$4</f>
        <v>117501.77000913335</v>
      </c>
      <c r="W120" s="296">
        <f>(1-Forutsetninger!$B$4)*Q120+Forutsetninger!$B$4*V120</f>
        <v>117558.96921561808</v>
      </c>
      <c r="X120" s="185">
        <v>117125.14223117044</v>
      </c>
      <c r="Y120" s="198">
        <f t="shared" si="22"/>
        <v>433.82698444764537</v>
      </c>
      <c r="Z120" s="197">
        <f t="shared" si="23"/>
        <v>3.7039612177494651E-3</v>
      </c>
      <c r="AA120" s="185">
        <f t="shared" si="24"/>
        <v>433.82698444764537</v>
      </c>
      <c r="AB120" s="200">
        <v>1</v>
      </c>
      <c r="AC120" s="200">
        <v>0</v>
      </c>
      <c r="AD120" s="200">
        <v>0</v>
      </c>
      <c r="AE120" s="312">
        <f t="shared" si="25"/>
        <v>433.82698444764537</v>
      </c>
      <c r="AF120" s="312">
        <f t="shared" si="26"/>
        <v>0</v>
      </c>
      <c r="AG120" s="312">
        <f t="shared" si="27"/>
        <v>0</v>
      </c>
    </row>
    <row r="121" spans="1:33" x14ac:dyDescent="0.2">
      <c r="A121">
        <v>1332015</v>
      </c>
      <c r="B121" t="s">
        <v>228</v>
      </c>
      <c r="C121" s="112">
        <f>VLOOKUP(A121,IRData!$A$3:$F$142,6,FALSE)</f>
        <v>43508.893469374379</v>
      </c>
      <c r="D121" s="45">
        <f>C121*Forutsetninger!$C$30</f>
        <v>46032.409290598094</v>
      </c>
      <c r="E121" s="43">
        <f>VLOOKUP($A121,IRData!$A$2:$N$142,7,FALSE)</f>
        <v>18861</v>
      </c>
      <c r="F121" s="43">
        <f>VLOOKUP($A121,IRData!$A$2:$N$142,8,FALSE)</f>
        <v>208685</v>
      </c>
      <c r="G121" s="43">
        <f>VLOOKUP($A121,IRData!$A$2:$N$142,9,FALSE)</f>
        <v>210771.84999999998</v>
      </c>
      <c r="H121" s="43">
        <f>VLOOKUP($A121,IRData!$A$2:$N$142,10,FALSE)</f>
        <v>13024</v>
      </c>
      <c r="I121" s="43">
        <f>VLOOKUP($A121,IRData!$A$2:$N$142,11,FALSE)</f>
        <v>6426</v>
      </c>
      <c r="J121" s="45">
        <f>VLOOKUP(A121,IRData!$A$3:$AF$142,32,FALSE)</f>
        <v>3347.9622334752003</v>
      </c>
      <c r="K121" s="45">
        <f>VLOOKUP(A121,IRData!$A$3:$AM$142,37,FALSE)</f>
        <v>1651.8738722598002</v>
      </c>
      <c r="L121" s="112">
        <f>VLOOKUP($A121,IRData!$A$2:$N$142,13,FALSE)</f>
        <v>3854</v>
      </c>
      <c r="M121" s="44">
        <f>L121*Forutsetninger!$C$24</f>
        <v>4065.97</v>
      </c>
      <c r="N121" s="112">
        <f>VLOOKUP(A121,IRData!$A$3:$E$142,5,FALSE)*Forutsetninger!$C$30</f>
        <v>0</v>
      </c>
      <c r="O121" s="112">
        <f>VLOOKUP(A121,IRData!$A$3:$AG$142,19,FALSE)*Forutsetninger!$C$24</f>
        <v>0</v>
      </c>
      <c r="P121" s="45">
        <f t="shared" si="21"/>
        <v>73959.215396333107</v>
      </c>
      <c r="Q121" s="45">
        <f>D121+E121+J121+K121+M121+G121*Forutsetninger!$B$6+N121</f>
        <v>86858.452616333103</v>
      </c>
      <c r="R121" s="46">
        <f>IFERROR((VLOOKUP(A121,'DEAnorm D-nett'!$A$4:$H$130,8,FALSE)+O121),0)</f>
        <v>68608.299613200157</v>
      </c>
      <c r="S121" s="21">
        <f>IFERROR((VLOOKUP(A121,'DEAnorm R-nett'!$A$4:$H$85,8,FALSE)+N121+K121),N121+K121)</f>
        <v>24036.712974921571</v>
      </c>
      <c r="T121" s="118">
        <f>IFERROR(VLOOKUP(A121,IRData!$A$3:$AN$142,40,FALSE),0)</f>
        <v>0</v>
      </c>
      <c r="U121" s="47">
        <f>(1-Forutsetninger!$B$4)*Q121+(R121+S121+T121)*Forutsetninger!$B$4</f>
        <v>90330.388599406273</v>
      </c>
      <c r="V121" s="41">
        <f>(R121+S121+T121)-G121*($K$156+$K$150)/Forutsetninger!$B$4</f>
        <v>84247.552900770053</v>
      </c>
      <c r="W121" s="296">
        <f>(1-Forutsetninger!$B$4)*Q121+Forutsetninger!$B$4*V121</f>
        <v>85291.912786995264</v>
      </c>
      <c r="X121" s="185">
        <v>84970.045931320987</v>
      </c>
      <c r="Y121" s="198">
        <f t="shared" si="22"/>
        <v>321.86685567427776</v>
      </c>
      <c r="Z121" s="197">
        <f t="shared" si="23"/>
        <v>3.7880037858804279E-3</v>
      </c>
      <c r="AA121" s="185">
        <f t="shared" si="24"/>
        <v>321.86685567427776</v>
      </c>
      <c r="AB121" s="197">
        <f>VLOOKUP(A121,Table1[[idaar]:[Andel SN]],8,FALSE)</f>
        <v>0.75045310109450392</v>
      </c>
      <c r="AC121" s="197">
        <f>VLOOKUP(A121,Table1[[idaar]:[Andel SN]],9,FALSE)</f>
        <v>0.24954689890549606</v>
      </c>
      <c r="AD121" s="197">
        <f>VLOOKUP(A121,Table1[[idaar]:[Andel SN]],10,FALSE)</f>
        <v>0</v>
      </c>
      <c r="AE121" s="312">
        <f t="shared" si="25"/>
        <v>241.54597998029888</v>
      </c>
      <c r="AF121" s="312">
        <f t="shared" si="26"/>
        <v>80.320875693978877</v>
      </c>
      <c r="AG121" s="312">
        <f t="shared" si="27"/>
        <v>0</v>
      </c>
    </row>
    <row r="122" spans="1:33" x14ac:dyDescent="0.2">
      <c r="A122">
        <v>5912015</v>
      </c>
      <c r="B122" t="s">
        <v>282</v>
      </c>
      <c r="C122" s="112">
        <f>VLOOKUP(A122,IRData!$A$3:$F$142,6,FALSE)</f>
        <v>28960.305599508778</v>
      </c>
      <c r="D122" s="45">
        <f>C122*Forutsetninger!$C$30</f>
        <v>30640.003324280289</v>
      </c>
      <c r="E122" s="43">
        <f>VLOOKUP($A122,IRData!$A$2:$N$142,7,FALSE)</f>
        <v>18232</v>
      </c>
      <c r="F122" s="43">
        <f>VLOOKUP($A122,IRData!$A$2:$N$142,8,FALSE)</f>
        <v>270500</v>
      </c>
      <c r="G122" s="43">
        <f>VLOOKUP($A122,IRData!$A$2:$N$142,9,FALSE)</f>
        <v>273205</v>
      </c>
      <c r="H122" s="43">
        <f>VLOOKUP($A122,IRData!$A$2:$N$142,10,FALSE)</f>
        <v>17668</v>
      </c>
      <c r="I122" s="43">
        <f>VLOOKUP($A122,IRData!$A$2:$N$142,11,FALSE)</f>
        <v>1712</v>
      </c>
      <c r="J122" s="45">
        <f>VLOOKUP(A122,IRData!$A$3:$AF$142,32,FALSE)</f>
        <v>5069.250510072</v>
      </c>
      <c r="K122" s="45">
        <f>VLOOKUP(A122,IRData!$A$3:$AM$142,37,FALSE)</f>
        <v>491.20199644800005</v>
      </c>
      <c r="L122" s="112">
        <f>VLOOKUP($A122,IRData!$A$2:$N$142,13,FALSE)</f>
        <v>1289</v>
      </c>
      <c r="M122" s="44">
        <f>L122*Forutsetninger!$C$24</f>
        <v>1359.895</v>
      </c>
      <c r="N122" s="112">
        <f>VLOOKUP(A122,IRData!$A$3:$E$142,5,FALSE)*Forutsetninger!$C$30</f>
        <v>0</v>
      </c>
      <c r="O122" s="112">
        <f>VLOOKUP(A122,IRData!$A$3:$AG$142,19,FALSE)*Forutsetninger!$C$24</f>
        <v>0</v>
      </c>
      <c r="P122" s="45">
        <f t="shared" si="21"/>
        <v>55792.350830800286</v>
      </c>
      <c r="Q122" s="45">
        <f>D122+E122+J122+K122+M122+G122*Forutsetninger!$B$6+N122</f>
        <v>72512.496830800286</v>
      </c>
      <c r="R122" s="46">
        <f>IFERROR((VLOOKUP(A122,'DEAnorm D-nett'!$A$4:$H$130,8,FALSE)+O122),0)</f>
        <v>67407.385902506343</v>
      </c>
      <c r="S122" s="21">
        <f>IFERROR((VLOOKUP(A122,'DEAnorm R-nett'!$A$4:$H$85,8,FALSE)+N122+K122),N122+K122)</f>
        <v>8112.5464489704318</v>
      </c>
      <c r="T122" s="118">
        <f>IFERROR(VLOOKUP(A122,IRData!$A$3:$AN$142,40,FALSE),0)</f>
        <v>0</v>
      </c>
      <c r="U122" s="47">
        <f>(1-Forutsetninger!$B$4)*Q122+(R122+S122+T122)*Forutsetninger!$B$4</f>
        <v>74316.958143206182</v>
      </c>
      <c r="V122" s="41">
        <f>(R122+S122+T122)-G122*($K$156+$K$150)/Forutsetninger!$B$4</f>
        <v>64635.044384307941</v>
      </c>
      <c r="W122" s="296">
        <f>(1-Forutsetninger!$B$4)*Q122+Forutsetninger!$B$4*V122</f>
        <v>67786.025362904882</v>
      </c>
      <c r="X122" s="185">
        <v>67529.499268854634</v>
      </c>
      <c r="Y122" s="198">
        <f t="shared" si="22"/>
        <v>256.5260940502485</v>
      </c>
      <c r="Z122" s="197">
        <f t="shared" si="23"/>
        <v>3.7987264355232859E-3</v>
      </c>
      <c r="AA122" s="185">
        <f t="shared" si="24"/>
        <v>256.5260940502485</v>
      </c>
      <c r="AB122" s="197">
        <f>VLOOKUP(A122,Table1[[idaar]:[Andel SN]],8,FALSE)</f>
        <v>0.97029424395444919</v>
      </c>
      <c r="AC122" s="197">
        <f>VLOOKUP(A122,Table1[[idaar]:[Andel SN]],9,FALSE)</f>
        <v>2.9705756045550799E-2</v>
      </c>
      <c r="AD122" s="197">
        <f>VLOOKUP(A122,Table1[[idaar]:[Andel SN]],10,FALSE)</f>
        <v>0</v>
      </c>
      <c r="AE122" s="312">
        <f t="shared" si="25"/>
        <v>248.9057924810738</v>
      </c>
      <c r="AF122" s="312">
        <f t="shared" si="26"/>
        <v>7.6203015691747025</v>
      </c>
      <c r="AG122" s="312">
        <f t="shared" si="27"/>
        <v>0</v>
      </c>
    </row>
    <row r="123" spans="1:33" x14ac:dyDescent="0.2">
      <c r="A123">
        <v>6252015</v>
      </c>
      <c r="B123" t="s">
        <v>290</v>
      </c>
      <c r="C123" s="112">
        <f>VLOOKUP(A123,IRData!$A$3:$F$142,6,FALSE)</f>
        <v>33973.006997268043</v>
      </c>
      <c r="D123" s="45">
        <f>C123*Forutsetninger!$C$30</f>
        <v>35943.441403109595</v>
      </c>
      <c r="E123" s="43">
        <f>VLOOKUP($A123,IRData!$A$2:$N$142,7,FALSE)</f>
        <v>15990</v>
      </c>
      <c r="F123" s="43">
        <f>VLOOKUP($A123,IRData!$A$2:$N$142,8,FALSE)</f>
        <v>260996</v>
      </c>
      <c r="G123" s="43">
        <f>VLOOKUP($A123,IRData!$A$2:$N$142,9,FALSE)</f>
        <v>263605.95999999996</v>
      </c>
      <c r="H123" s="43">
        <f>VLOOKUP($A123,IRData!$A$2:$N$142,10,FALSE)</f>
        <v>20035</v>
      </c>
      <c r="I123" s="43">
        <f>VLOOKUP($A123,IRData!$A$2:$N$142,11,FALSE)</f>
        <v>5805</v>
      </c>
      <c r="J123" s="45">
        <f>VLOOKUP(A123,IRData!$A$3:$AF$142,32,FALSE)</f>
        <v>5704.9210089665003</v>
      </c>
      <c r="K123" s="45">
        <f>VLOOKUP(A123,IRData!$A$3:$AM$142,37,FALSE)</f>
        <v>1652.9606417294999</v>
      </c>
      <c r="L123" s="112">
        <f>VLOOKUP($A123,IRData!$A$2:$N$142,13,FALSE)</f>
        <v>3290</v>
      </c>
      <c r="M123" s="44">
        <f>L123*Forutsetninger!$C$24</f>
        <v>3470.95</v>
      </c>
      <c r="N123" s="112">
        <f>VLOOKUP(A123,IRData!$A$3:$E$142,5,FALSE)*Forutsetninger!$C$30</f>
        <v>0</v>
      </c>
      <c r="O123" s="112">
        <f>VLOOKUP(A123,IRData!$A$3:$AG$142,19,FALSE)*Forutsetninger!$C$24</f>
        <v>0</v>
      </c>
      <c r="P123" s="45">
        <f t="shared" si="21"/>
        <v>62762.273053805591</v>
      </c>
      <c r="Q123" s="45">
        <f>D123+E123+J123+K123+M123+G123*Forutsetninger!$B$6+N123</f>
        <v>78894.957805805592</v>
      </c>
      <c r="R123" s="46">
        <f>IFERROR((VLOOKUP(A123,'DEAnorm D-nett'!$A$4:$H$130,8,FALSE)+O123),0)</f>
        <v>62031.476352548147</v>
      </c>
      <c r="S123" s="21">
        <f>IFERROR((VLOOKUP(A123,'DEAnorm R-nett'!$A$4:$H$85,8,FALSE)+N123+K123),N123+K123)</f>
        <v>11855.054258941738</v>
      </c>
      <c r="T123" s="158">
        <f>IFERROR(VLOOKUP(A123,IRData!$A$3:$AN$142,40,FALSE),0)</f>
        <v>0</v>
      </c>
      <c r="U123" s="47">
        <f>(1-Forutsetninger!$B$4)*Q123+(R123+S123+T123)*Forutsetninger!$B$4</f>
        <v>75889.901489216165</v>
      </c>
      <c r="V123" s="41">
        <f>(R123+S123+T123)-G123*($K$156+$K$150)/Forutsetninger!$B$4</f>
        <v>63384.082478849596</v>
      </c>
      <c r="W123" s="296">
        <f>(1-Forutsetninger!$B$4)*Q123+Forutsetninger!$B$4*V123</f>
        <v>69588.432609632</v>
      </c>
      <c r="X123" s="185">
        <v>69322.421043683426</v>
      </c>
      <c r="Y123" s="198">
        <f t="shared" si="22"/>
        <v>266.01156594857457</v>
      </c>
      <c r="Z123" s="197">
        <f t="shared" si="23"/>
        <v>3.837309227572242E-3</v>
      </c>
      <c r="AA123" s="185">
        <f t="shared" si="24"/>
        <v>266.01156594857457</v>
      </c>
      <c r="AB123" s="197">
        <f>VLOOKUP(A123,Table1[[idaar]:[Andel SN]],8,FALSE)</f>
        <v>0.9742217477856957</v>
      </c>
      <c r="AC123" s="197">
        <f>VLOOKUP(A123,Table1[[idaar]:[Andel SN]],9,FALSE)</f>
        <v>2.577825221430426E-2</v>
      </c>
      <c r="AD123" s="197">
        <f>VLOOKUP(A123,Table1[[idaar]:[Andel SN]],10,FALSE)</f>
        <v>0</v>
      </c>
      <c r="AE123" s="312">
        <f t="shared" si="25"/>
        <v>259.15425270963016</v>
      </c>
      <c r="AF123" s="312">
        <f t="shared" si="26"/>
        <v>6.8573132389443865</v>
      </c>
      <c r="AG123" s="312">
        <f t="shared" si="27"/>
        <v>0</v>
      </c>
    </row>
    <row r="124" spans="1:33" x14ac:dyDescent="0.2">
      <c r="A124">
        <v>562015</v>
      </c>
      <c r="B124" t="s">
        <v>207</v>
      </c>
      <c r="C124" s="112">
        <f>VLOOKUP(A124,IRData!$A$3:$F$142,6,FALSE)</f>
        <v>75568.049575486657</v>
      </c>
      <c r="D124" s="45">
        <f>C124*Forutsetninger!$C$30</f>
        <v>79950.996450864885</v>
      </c>
      <c r="E124" s="43">
        <f>VLOOKUP($A124,IRData!$A$2:$N$142,7,FALSE)</f>
        <v>30414</v>
      </c>
      <c r="F124" s="43">
        <f>VLOOKUP($A124,IRData!$A$2:$N$142,8,FALSE)</f>
        <v>451411</v>
      </c>
      <c r="G124" s="43">
        <f>VLOOKUP($A124,IRData!$A$2:$N$142,9,FALSE)</f>
        <v>455925.11</v>
      </c>
      <c r="H124" s="43">
        <f>VLOOKUP($A124,IRData!$A$2:$N$142,10,FALSE)</f>
        <v>24411</v>
      </c>
      <c r="I124" s="43">
        <f>VLOOKUP($A124,IRData!$A$2:$N$142,11,FALSE)</f>
        <v>14003</v>
      </c>
      <c r="J124" s="45">
        <f>VLOOKUP(A124,IRData!$A$3:$AF$142,32,FALSE)</f>
        <v>7087.3255418495992</v>
      </c>
      <c r="K124" s="45">
        <f>VLOOKUP(A124,IRData!$A$3:$AM$142,37,FALSE)</f>
        <v>4065.5368302207999</v>
      </c>
      <c r="L124" s="112">
        <f>VLOOKUP($A124,IRData!$A$2:$N$142,13,FALSE)</f>
        <v>4899</v>
      </c>
      <c r="M124" s="44">
        <f>L124*Forutsetninger!$C$24</f>
        <v>5168.4449999999997</v>
      </c>
      <c r="N124" s="112">
        <f>VLOOKUP(A124,IRData!$A$3:$E$142,5,FALSE)*Forutsetninger!$C$30</f>
        <v>0</v>
      </c>
      <c r="O124" s="112">
        <f>VLOOKUP(A124,IRData!$A$3:$AG$142,19,FALSE)*Forutsetninger!$C$24</f>
        <v>0</v>
      </c>
      <c r="P124" s="45">
        <f t="shared" si="21"/>
        <v>126686.30382293527</v>
      </c>
      <c r="Q124" s="45">
        <f>D124+E124+J124+K124+M124+G124*Forutsetninger!$B$6+N124</f>
        <v>154588.92055493526</v>
      </c>
      <c r="R124" s="46">
        <f>IFERROR((VLOOKUP(A124,'DEAnorm D-nett'!$A$4:$H$130,8,FALSE)+O124),0)</f>
        <v>116837.90366057043</v>
      </c>
      <c r="S124" s="21">
        <f>IFERROR((VLOOKUP(A124,'DEAnorm R-nett'!$A$4:$H$85,8,FALSE)+N124+K124),N124+K124)</f>
        <v>28920.513136387886</v>
      </c>
      <c r="T124" s="118">
        <f>IFERROR(VLOOKUP(A124,IRData!$A$3:$AN$142,40,FALSE),0)</f>
        <v>1244.7256191547124</v>
      </c>
      <c r="U124" s="47">
        <f>(1-Forutsetninger!$B$4)*Q124+(R124+S124+T124)*Forutsetninger!$B$4</f>
        <v>150037.45367164191</v>
      </c>
      <c r="V124" s="41">
        <f>(R124+S124+T124)-G124*($K$156+$K$150)/Forutsetninger!$B$4</f>
        <v>128838.41723257273</v>
      </c>
      <c r="W124" s="296">
        <f>(1-Forutsetninger!$B$4)*Q124+Forutsetninger!$B$4*V124</f>
        <v>139138.61856151774</v>
      </c>
      <c r="X124" s="185">
        <v>138600.89368119978</v>
      </c>
      <c r="Y124" s="198">
        <f t="shared" si="22"/>
        <v>537.72488031795365</v>
      </c>
      <c r="Z124" s="197">
        <f t="shared" si="23"/>
        <v>3.8796638754349691E-3</v>
      </c>
      <c r="AA124" s="185">
        <f t="shared" si="24"/>
        <v>537.72488031795365</v>
      </c>
      <c r="AB124" s="197">
        <f>VLOOKUP(A124,Table1[[idaar]:[Andel SN]],8,FALSE)</f>
        <v>0.79923665774417207</v>
      </c>
      <c r="AC124" s="197">
        <f>VLOOKUP(A124,Table1[[idaar]:[Andel SN]],9,FALSE)</f>
        <v>0.19270423734316491</v>
      </c>
      <c r="AD124" s="197">
        <f>VLOOKUP(A124,Table1[[idaar]:[Andel SN]],10,FALSE)</f>
        <v>8.059104912662967E-3</v>
      </c>
      <c r="AE124" s="312">
        <f t="shared" si="25"/>
        <v>429.76943613120619</v>
      </c>
      <c r="AF124" s="312">
        <f t="shared" si="26"/>
        <v>103.62186296211588</v>
      </c>
      <c r="AG124" s="312">
        <f t="shared" si="27"/>
        <v>4.3335812246315264</v>
      </c>
    </row>
    <row r="125" spans="1:33" x14ac:dyDescent="0.2">
      <c r="A125">
        <v>7262015</v>
      </c>
      <c r="B125" t="s">
        <v>298</v>
      </c>
      <c r="C125" s="112">
        <f>VLOOKUP(A125,IRData!$A$3:$F$142,6,FALSE)</f>
        <v>111159.493525517</v>
      </c>
      <c r="D125" s="45">
        <f>C125*Forutsetninger!$C$30</f>
        <v>117606.74414999699</v>
      </c>
      <c r="E125" s="43">
        <f>VLOOKUP($A125,IRData!$A$2:$N$142,7,FALSE)</f>
        <v>46788</v>
      </c>
      <c r="F125" s="43">
        <f>VLOOKUP($A125,IRData!$A$2:$N$142,8,FALSE)</f>
        <v>735804</v>
      </c>
      <c r="G125" s="43">
        <f>VLOOKUP($A125,IRData!$A$2:$N$142,9,FALSE)</f>
        <v>743162.04</v>
      </c>
      <c r="H125" s="43">
        <f>VLOOKUP($A125,IRData!$A$2:$N$142,10,FALSE)</f>
        <v>45794</v>
      </c>
      <c r="I125" s="43">
        <f>VLOOKUP($A125,IRData!$A$2:$N$142,11,FALSE)</f>
        <v>57878</v>
      </c>
      <c r="J125" s="45">
        <f>VLOOKUP(A125,IRData!$A$3:$AF$142,32,FALSE)</f>
        <v>11771.850623446202</v>
      </c>
      <c r="K125" s="45">
        <f>VLOOKUP(A125,IRData!$A$3:$AM$142,37,FALSE)</f>
        <v>14878.175533559403</v>
      </c>
      <c r="L125" s="112">
        <f>VLOOKUP($A125,IRData!$A$2:$N$142,13,FALSE)</f>
        <v>7112</v>
      </c>
      <c r="M125" s="44">
        <f>L125*Forutsetninger!$C$24</f>
        <v>7503.16</v>
      </c>
      <c r="N125" s="112">
        <f>VLOOKUP(A125,IRData!$A$3:$E$142,5,FALSE)*Forutsetninger!$C$30</f>
        <v>427.43200000000002</v>
      </c>
      <c r="O125" s="112">
        <f>VLOOKUP(A125,IRData!$A$3:$AG$142,19,FALSE)*Forutsetninger!$C$24</f>
        <v>0</v>
      </c>
      <c r="P125" s="45">
        <f t="shared" si="21"/>
        <v>198975.36230700259</v>
      </c>
      <c r="Q125" s="45">
        <f>D125+E125+J125+K125+M125+G125*Forutsetninger!$B$6+N125</f>
        <v>244456.87915500259</v>
      </c>
      <c r="R125" s="46">
        <f>IFERROR((VLOOKUP(A125,'DEAnorm D-nett'!$A$4:$H$130,8,FALSE)+O125),0)</f>
        <v>160412.20439182693</v>
      </c>
      <c r="S125" s="21">
        <f>IFERROR((VLOOKUP(A125,'DEAnorm R-nett'!$A$4:$H$85,8,FALSE)+N125+K125),N125+K125)</f>
        <v>85913.637880077338</v>
      </c>
      <c r="T125" s="118">
        <f>IFERROR(VLOOKUP(A125,IRData!$A$3:$AN$142,40,FALSE),0)</f>
        <v>0</v>
      </c>
      <c r="U125" s="47">
        <f>(1-Forutsetninger!$B$4)*Q125+(R125+S125+T125)*Forutsetninger!$B$4</f>
        <v>245578.2570251436</v>
      </c>
      <c r="V125" s="41">
        <f>(R125+S125+T125)-G125*($K$156+$K$150)/Forutsetninger!$B$4</f>
        <v>216717.17644641557</v>
      </c>
      <c r="W125" s="296">
        <f>(1-Forutsetninger!$B$4)*Q125+Forutsetninger!$B$4*V125</f>
        <v>227813.0575298504</v>
      </c>
      <c r="X125" s="185">
        <v>226898.77469860174</v>
      </c>
      <c r="Y125" s="198">
        <f t="shared" si="22"/>
        <v>914.28283124865266</v>
      </c>
      <c r="Z125" s="197">
        <f t="shared" si="23"/>
        <v>4.0294745199180963E-3</v>
      </c>
      <c r="AA125" s="185">
        <f t="shared" si="24"/>
        <v>914.28283124865266</v>
      </c>
      <c r="AB125" s="197">
        <f>VLOOKUP(A125,Table1[[idaar]:[Andel SN]],8,FALSE)</f>
        <v>0.73122627263361417</v>
      </c>
      <c r="AC125" s="197">
        <f>VLOOKUP(A125,Table1[[idaar]:[Andel SN]],9,FALSE)</f>
        <v>0.26877372736638583</v>
      </c>
      <c r="AD125" s="197">
        <f>VLOOKUP(A125,Table1[[idaar]:[Andel SN]],10,FALSE)</f>
        <v>0</v>
      </c>
      <c r="AE125" s="312">
        <f t="shared" si="25"/>
        <v>668.54762682685998</v>
      </c>
      <c r="AF125" s="312">
        <f t="shared" si="26"/>
        <v>245.7352044217927</v>
      </c>
      <c r="AG125" s="312">
        <f t="shared" si="27"/>
        <v>0</v>
      </c>
    </row>
    <row r="126" spans="1:33" x14ac:dyDescent="0.2">
      <c r="A126">
        <v>1382015</v>
      </c>
      <c r="B126" t="s">
        <v>229</v>
      </c>
      <c r="C126" s="112">
        <f>VLOOKUP(A126,IRData!$A$3:$F$142,6,FALSE)</f>
        <v>15171.951207457223</v>
      </c>
      <c r="D126" s="45">
        <f>C126*Forutsetninger!$C$30</f>
        <v>16051.924377489742</v>
      </c>
      <c r="E126" s="43">
        <f>VLOOKUP($A126,IRData!$A$2:$N$142,7,FALSE)</f>
        <v>3363</v>
      </c>
      <c r="F126" s="43">
        <f>VLOOKUP($A126,IRData!$A$2:$N$142,8,FALSE)</f>
        <v>45288</v>
      </c>
      <c r="G126" s="43">
        <f>VLOOKUP($A126,IRData!$A$2:$N$142,9,FALSE)</f>
        <v>45740.880000000005</v>
      </c>
      <c r="H126" s="43">
        <f>VLOOKUP($A126,IRData!$A$2:$N$142,10,FALSE)</f>
        <v>5792</v>
      </c>
      <c r="I126" s="43">
        <f>VLOOKUP($A126,IRData!$A$2:$N$142,11,FALSE)</f>
        <v>10051</v>
      </c>
      <c r="J126" s="45">
        <f>VLOOKUP(A126,IRData!$A$3:$AF$142,32,FALSE)</f>
        <v>1488.8972094816002</v>
      </c>
      <c r="K126" s="45">
        <f>VLOOKUP(A126,IRData!$A$3:$AM$142,37,FALSE)</f>
        <v>2583.7199330973003</v>
      </c>
      <c r="L126" s="112">
        <f>VLOOKUP($A126,IRData!$A$2:$N$142,13,FALSE)</f>
        <v>1996</v>
      </c>
      <c r="M126" s="44">
        <f>L126*Forutsetninger!$C$24</f>
        <v>2105.7799999999997</v>
      </c>
      <c r="N126" s="112">
        <f>VLOOKUP(A126,IRData!$A$3:$E$142,5,FALSE)*Forutsetninger!$C$30</f>
        <v>0</v>
      </c>
      <c r="O126" s="112">
        <f>VLOOKUP(A126,IRData!$A$3:$AG$142,19,FALSE)*Forutsetninger!$C$24</f>
        <v>0</v>
      </c>
      <c r="P126" s="45">
        <f t="shared" si="21"/>
        <v>25593.321520068643</v>
      </c>
      <c r="Q126" s="45">
        <f>D126+E126+J126+K126+M126+G126*Forutsetninger!$B$6+N126</f>
        <v>28392.663376068642</v>
      </c>
      <c r="R126" s="46">
        <f>IFERROR((VLOOKUP(A126,'DEAnorm D-nett'!$A$4:$H$130,8,FALSE)+O126),0)</f>
        <v>17151.887010335555</v>
      </c>
      <c r="S126" s="21">
        <f>IFERROR((VLOOKUP(A126,'DEAnorm R-nett'!$A$4:$H$85,8,FALSE)+N126+K126),N126+K126)</f>
        <v>8485.5144104156243</v>
      </c>
      <c r="T126" s="118">
        <f>IFERROR(VLOOKUP(A126,IRData!$A$3:$AN$142,40,FALSE),0)</f>
        <v>0</v>
      </c>
      <c r="U126" s="47">
        <f>(1-Forutsetninger!$B$4)*Q126+(R126+S126+T126)*Forutsetninger!$B$4</f>
        <v>26739.506202878165</v>
      </c>
      <c r="V126" s="41">
        <f>(R126+S126+T126)-G126*($K$156+$K$150)/Forutsetninger!$B$4</f>
        <v>23815.017663793165</v>
      </c>
      <c r="W126" s="296">
        <f>(1-Forutsetninger!$B$4)*Q126+Forutsetninger!$B$4*V126</f>
        <v>25646.075948703357</v>
      </c>
      <c r="X126" s="185">
        <v>25538.8606032108</v>
      </c>
      <c r="Y126" s="198">
        <f t="shared" si="22"/>
        <v>107.21534549255739</v>
      </c>
      <c r="Z126" s="197">
        <f t="shared" si="23"/>
        <v>4.1981256391319995E-3</v>
      </c>
      <c r="AA126" s="185">
        <f t="shared" si="24"/>
        <v>107.21534549255739</v>
      </c>
      <c r="AB126" s="197">
        <f>VLOOKUP(A126,Table1[[idaar]:[Andel SN]],8,FALSE)</f>
        <v>0.72199381338345281</v>
      </c>
      <c r="AC126" s="197">
        <f>VLOOKUP(A126,Table1[[idaar]:[Andel SN]],9,FALSE)</f>
        <v>0.27800618661654725</v>
      </c>
      <c r="AD126" s="197">
        <f>VLOOKUP(A126,Table1[[idaar]:[Andel SN]],10,FALSE)</f>
        <v>0</v>
      </c>
      <c r="AE126" s="312">
        <f t="shared" si="25"/>
        <v>77.408816145395903</v>
      </c>
      <c r="AF126" s="312">
        <f t="shared" si="26"/>
        <v>29.806529347161497</v>
      </c>
      <c r="AG126" s="312">
        <f t="shared" si="27"/>
        <v>0</v>
      </c>
    </row>
    <row r="127" spans="1:33" x14ac:dyDescent="0.2">
      <c r="A127">
        <v>1972015</v>
      </c>
      <c r="B127" t="s">
        <v>244</v>
      </c>
      <c r="C127" s="112">
        <f>VLOOKUP(A127,IRData!$A$3:$F$142,6,FALSE)</f>
        <v>41919.287359773116</v>
      </c>
      <c r="D127" s="45">
        <f>C127*Forutsetninger!$C$30</f>
        <v>44350.606026639958</v>
      </c>
      <c r="E127" s="43">
        <f>VLOOKUP($A127,IRData!$A$2:$N$142,7,FALSE)</f>
        <v>12393</v>
      </c>
      <c r="F127" s="43">
        <f>VLOOKUP($A127,IRData!$A$2:$N$142,8,FALSE)</f>
        <v>235251</v>
      </c>
      <c r="G127" s="43">
        <f>VLOOKUP($A127,IRData!$A$2:$N$142,9,FALSE)</f>
        <v>237603.51</v>
      </c>
      <c r="H127" s="43">
        <f>VLOOKUP($A127,IRData!$A$2:$N$142,10,FALSE)</f>
        <v>10628</v>
      </c>
      <c r="I127" s="43">
        <f>VLOOKUP($A127,IRData!$A$2:$N$142,11,FALSE)</f>
        <v>8410</v>
      </c>
      <c r="J127" s="45">
        <f>VLOOKUP(A127,IRData!$A$3:$AF$142,32,FALSE)</f>
        <v>3026.2990009132</v>
      </c>
      <c r="K127" s="45">
        <f>VLOOKUP(A127,IRData!$A$3:$AM$142,37,FALSE)</f>
        <v>2394.7285093790001</v>
      </c>
      <c r="L127" s="112">
        <f>VLOOKUP($A127,IRData!$A$2:$N$142,13,FALSE)</f>
        <v>2848</v>
      </c>
      <c r="M127" s="44">
        <f>L127*Forutsetninger!$C$24</f>
        <v>3004.64</v>
      </c>
      <c r="N127" s="112">
        <f>VLOOKUP(A127,IRData!$A$3:$E$142,5,FALSE)*Forutsetninger!$C$30</f>
        <v>0</v>
      </c>
      <c r="O127" s="112">
        <f>VLOOKUP(A127,IRData!$A$3:$AG$142,19,FALSE)*Forutsetninger!$C$24</f>
        <v>0</v>
      </c>
      <c r="P127" s="45">
        <f t="shared" si="21"/>
        <v>65169.273536932153</v>
      </c>
      <c r="Q127" s="45">
        <f>D127+E127+J127+K127+M127+G127*Forutsetninger!$B$6+N127</f>
        <v>79710.608348932146</v>
      </c>
      <c r="R127" s="46">
        <f>IFERROR((VLOOKUP(A127,'DEAnorm D-nett'!$A$4:$H$130,8,FALSE)+O127),0)</f>
        <v>59395.065315209737</v>
      </c>
      <c r="S127" s="21">
        <f>IFERROR((VLOOKUP(A127,'DEAnorm R-nett'!$A$4:$H$85,8,FALSE)+N127+K127),N127+K127)</f>
        <v>17408.291871016314</v>
      </c>
      <c r="T127" s="118">
        <f>IFERROR(VLOOKUP(A127,IRData!$A$3:$AN$142,40,FALSE),0)</f>
        <v>0</v>
      </c>
      <c r="U127" s="47">
        <f>(1-Forutsetninger!$B$4)*Q127+(R127+S127+T127)*Forutsetninger!$B$4</f>
        <v>77966.257651308493</v>
      </c>
      <c r="V127" s="41">
        <f>(R127+S127+T127)-G127*($K$156+$K$150)/Forutsetninger!$B$4</f>
        <v>67336.884804841829</v>
      </c>
      <c r="W127" s="296">
        <f>(1-Forutsetninger!$B$4)*Q127+Forutsetninger!$B$4*V127</f>
        <v>72286.374222477956</v>
      </c>
      <c r="X127" s="185">
        <v>71966.642574251557</v>
      </c>
      <c r="Y127" s="198">
        <f t="shared" si="22"/>
        <v>319.73164822639956</v>
      </c>
      <c r="Z127" s="197">
        <f t="shared" si="23"/>
        <v>4.4427756636905291E-3</v>
      </c>
      <c r="AA127" s="185">
        <f t="shared" si="24"/>
        <v>319.73164822639956</v>
      </c>
      <c r="AB127" s="197">
        <f>VLOOKUP(A127,Table1[[idaar]:[Andel SN]],8,FALSE)</f>
        <v>0.97918490419219917</v>
      </c>
      <c r="AC127" s="197">
        <f>VLOOKUP(A127,Table1[[idaar]:[Andel SN]],9,FALSE)</f>
        <v>6.9198382592021339E-3</v>
      </c>
      <c r="AD127" s="197">
        <f>VLOOKUP(A127,Table1[[idaar]:[Andel SN]],10,FALSE)</f>
        <v>1.3895257548598662E-2</v>
      </c>
      <c r="AE127" s="312">
        <f t="shared" si="25"/>
        <v>313.07640333578098</v>
      </c>
      <c r="AF127" s="312">
        <f t="shared" si="26"/>
        <v>2.2124912920747977</v>
      </c>
      <c r="AG127" s="312">
        <f t="shared" si="27"/>
        <v>4.4427535985437707</v>
      </c>
    </row>
    <row r="128" spans="1:33" x14ac:dyDescent="0.2">
      <c r="A128">
        <v>6992015</v>
      </c>
      <c r="B128" t="s">
        <v>297</v>
      </c>
      <c r="C128" s="112">
        <f>VLOOKUP(A128,IRData!$A$3:$F$142,6,FALSE)</f>
        <v>264198.53307865438</v>
      </c>
      <c r="D128" s="45">
        <f>C128*Forutsetninger!$C$30</f>
        <v>279522.04799721634</v>
      </c>
      <c r="E128" s="43">
        <f>VLOOKUP($A128,IRData!$A$2:$N$142,7,FALSE)</f>
        <v>111323</v>
      </c>
      <c r="F128" s="43">
        <f>VLOOKUP($A128,IRData!$A$2:$N$142,8,FALSE)</f>
        <v>1916864</v>
      </c>
      <c r="G128" s="43">
        <f>VLOOKUP($A128,IRData!$A$2:$N$142,9,FALSE)</f>
        <v>1936032.6400000001</v>
      </c>
      <c r="H128" s="43">
        <f>VLOOKUP($A128,IRData!$A$2:$N$142,10,FALSE)</f>
        <v>85231</v>
      </c>
      <c r="I128" s="43">
        <f>VLOOKUP($A128,IRData!$A$2:$N$142,11,FALSE)</f>
        <v>69847</v>
      </c>
      <c r="J128" s="45">
        <f>VLOOKUP(A128,IRData!$A$3:$AF$142,32,FALSE)</f>
        <v>24592.865520723801</v>
      </c>
      <c r="K128" s="45">
        <f>VLOOKUP(A128,IRData!$A$3:$AM$142,37,FALSE)</f>
        <v>20153.909704520604</v>
      </c>
      <c r="L128" s="112">
        <f>VLOOKUP($A128,IRData!$A$2:$N$142,13,FALSE)</f>
        <v>23852</v>
      </c>
      <c r="M128" s="44">
        <f>L128*Forutsetninger!$C$24</f>
        <v>25163.859999999997</v>
      </c>
      <c r="N128" s="112">
        <f>VLOOKUP(A128,IRData!$A$3:$E$142,5,FALSE)*Forutsetninger!$C$30</f>
        <v>1448.402</v>
      </c>
      <c r="O128" s="112">
        <f>VLOOKUP(A128,IRData!$A$3:$AG$142,19,FALSE)*Forutsetninger!$C$24</f>
        <v>0</v>
      </c>
      <c r="P128" s="45">
        <f t="shared" si="21"/>
        <v>462204.08522246074</v>
      </c>
      <c r="Q128" s="45">
        <f>D128+E128+J128+K128+M128+G128*Forutsetninger!$B$6+N128</f>
        <v>580689.28279046074</v>
      </c>
      <c r="R128" s="46">
        <f>IFERROR((VLOOKUP(A128,'DEAnorm D-nett'!$A$4:$H$130,8,FALSE)+O128),0)</f>
        <v>496374.26754437422</v>
      </c>
      <c r="S128" s="21">
        <f>IFERROR((VLOOKUP(A128,'DEAnorm R-nett'!$A$4:$H$85,8,FALSE)+N128+K128),N128+K128)</f>
        <v>135821.15174205601</v>
      </c>
      <c r="T128" s="118">
        <f>IFERROR(VLOOKUP(A128,IRData!$A$3:$AN$142,40,FALSE),0)</f>
        <v>0</v>
      </c>
      <c r="U128" s="47">
        <f>(1-Forutsetninger!$B$4)*Q128+(R128+S128+T128)*Forutsetninger!$B$4</f>
        <v>611592.96468804241</v>
      </c>
      <c r="V128" s="41">
        <f>(R128+S128+T128)-G128*($K$156+$K$150)/Forutsetninger!$B$4</f>
        <v>555061.03892303235</v>
      </c>
      <c r="W128" s="296">
        <f>(1-Forutsetninger!$B$4)*Q128+Forutsetninger!$B$4*V128</f>
        <v>565312.33647000371</v>
      </c>
      <c r="X128" s="185">
        <v>562761.24455640174</v>
      </c>
      <c r="Y128" s="198">
        <f t="shared" si="22"/>
        <v>2551.0919136019656</v>
      </c>
      <c r="Z128" s="197">
        <f t="shared" si="23"/>
        <v>4.5331691517117023E-3</v>
      </c>
      <c r="AA128" s="185">
        <f t="shared" si="24"/>
        <v>2551.0919136019656</v>
      </c>
      <c r="AB128" s="197">
        <f>VLOOKUP(A128,Table1[[idaar]:[Andel SN]],8,FALSE)</f>
        <v>0.78329699463893199</v>
      </c>
      <c r="AC128" s="197">
        <f>VLOOKUP(A128,Table1[[idaar]:[Andel SN]],9,FALSE)</f>
        <v>0.21670300536106801</v>
      </c>
      <c r="AD128" s="197">
        <f>VLOOKUP(A128,Table1[[idaar]:[Andel SN]],10,FALSE)</f>
        <v>0</v>
      </c>
      <c r="AE128" s="312">
        <f t="shared" si="25"/>
        <v>1998.2626289721015</v>
      </c>
      <c r="AF128" s="312">
        <f t="shared" si="26"/>
        <v>552.82928462986399</v>
      </c>
      <c r="AG128" s="312">
        <f t="shared" si="27"/>
        <v>0</v>
      </c>
    </row>
    <row r="129" spans="1:33" x14ac:dyDescent="0.2">
      <c r="A129">
        <v>4642015</v>
      </c>
      <c r="B129" t="s">
        <v>275</v>
      </c>
      <c r="C129" s="112">
        <f>VLOOKUP(A129,IRData!$A$3:$F$142,6,FALSE)</f>
        <v>58865.695112666654</v>
      </c>
      <c r="D129" s="45">
        <f>C129*Forutsetninger!$C$30</f>
        <v>62279.905429201324</v>
      </c>
      <c r="E129" s="43">
        <f>VLOOKUP($A129,IRData!$A$2:$N$142,7,FALSE)</f>
        <v>18109</v>
      </c>
      <c r="F129" s="43">
        <f>VLOOKUP($A129,IRData!$A$2:$N$142,8,FALSE)</f>
        <v>220516</v>
      </c>
      <c r="G129" s="43">
        <f>VLOOKUP($A129,IRData!$A$2:$N$142,9,FALSE)</f>
        <v>222721.16</v>
      </c>
      <c r="H129" s="43">
        <f>VLOOKUP($A129,IRData!$A$2:$N$142,10,FALSE)</f>
        <v>13846</v>
      </c>
      <c r="I129" s="43">
        <f>VLOOKUP($A129,IRData!$A$2:$N$142,11,FALSE)</f>
        <v>8900</v>
      </c>
      <c r="J129" s="45">
        <f>VLOOKUP(A129,IRData!$A$3:$AF$142,32,FALSE)</f>
        <v>3559.2663609258007</v>
      </c>
      <c r="K129" s="45">
        <f>VLOOKUP(A129,IRData!$A$3:$AM$142,37,FALSE)</f>
        <v>2287.8427424700003</v>
      </c>
      <c r="L129" s="112">
        <f>VLOOKUP($A129,IRData!$A$2:$N$142,13,FALSE)</f>
        <v>6901</v>
      </c>
      <c r="M129" s="44">
        <f>L129*Forutsetninger!$C$24</f>
        <v>7280.5549999999994</v>
      </c>
      <c r="N129" s="112">
        <f>VLOOKUP(A129,IRData!$A$3:$E$142,5,FALSE)*Forutsetninger!$C$30</f>
        <v>0</v>
      </c>
      <c r="O129" s="112">
        <f>VLOOKUP(A129,IRData!$A$3:$AG$142,19,FALSE)*Forutsetninger!$C$24</f>
        <v>0</v>
      </c>
      <c r="P129" s="45">
        <f t="shared" si="21"/>
        <v>93516.569532597117</v>
      </c>
      <c r="Q129" s="45">
        <f>D129+E129+J129+K129+M129+G129*Forutsetninger!$B$6+N129</f>
        <v>107147.10452459712</v>
      </c>
      <c r="R129" s="46">
        <f>IFERROR((VLOOKUP(A129,'DEAnorm D-nett'!$A$4:$H$130,8,FALSE)+O129),0)</f>
        <v>72754.65412992143</v>
      </c>
      <c r="S129" s="21">
        <f>IFERROR((VLOOKUP(A129,'DEAnorm R-nett'!$A$4:$H$85,8,FALSE)+N129+K129),N129+K129)</f>
        <v>13448.519454324236</v>
      </c>
      <c r="T129" s="118">
        <f>IFERROR(VLOOKUP(A129,IRData!$A$3:$AN$142,40,FALSE),0)</f>
        <v>0</v>
      </c>
      <c r="U129" s="47">
        <f>(1-Forutsetninger!$B$4)*Q129+(R129+S129+T129)*Forutsetninger!$B$4</f>
        <v>94580.745960386252</v>
      </c>
      <c r="V129" s="41">
        <f>(R129+S129+T129)-G129*($K$156+$K$150)/Forutsetninger!$B$4</f>
        <v>77329.635857930683</v>
      </c>
      <c r="W129" s="296">
        <f>(1-Forutsetninger!$B$4)*Q129+Forutsetninger!$B$4*V129</f>
        <v>89256.623324597254</v>
      </c>
      <c r="X129" s="185">
        <v>88823.364270657345</v>
      </c>
      <c r="Y129" s="198">
        <f t="shared" si="22"/>
        <v>433.25905393990979</v>
      </c>
      <c r="Z129" s="197">
        <f t="shared" si="23"/>
        <v>4.8777600071497878E-3</v>
      </c>
      <c r="AA129" s="185">
        <f t="shared" si="24"/>
        <v>433.25905393990979</v>
      </c>
      <c r="AB129" s="197">
        <f>VLOOKUP(A129,Table1[[idaar]:[Andel SN]],8,FALSE)</f>
        <v>0.86112831136079615</v>
      </c>
      <c r="AC129" s="197">
        <f>VLOOKUP(A129,Table1[[idaar]:[Andel SN]],9,FALSE)</f>
        <v>0.13887168863920382</v>
      </c>
      <c r="AD129" s="197">
        <f>VLOOKUP(A129,Table1[[idaar]:[Andel SN]],10,FALSE)</f>
        <v>0</v>
      </c>
      <c r="AE129" s="312">
        <f t="shared" si="25"/>
        <v>373.09163750105063</v>
      </c>
      <c r="AF129" s="312">
        <f t="shared" si="26"/>
        <v>60.167416438859163</v>
      </c>
      <c r="AG129" s="312">
        <f t="shared" si="27"/>
        <v>0</v>
      </c>
    </row>
    <row r="130" spans="1:33" x14ac:dyDescent="0.2">
      <c r="A130">
        <v>712015</v>
      </c>
      <c r="B130" t="s">
        <v>211</v>
      </c>
      <c r="C130" s="112">
        <f>VLOOKUP(A130,IRData!$A$3:$F$142,6,FALSE)</f>
        <v>231831.02974480641</v>
      </c>
      <c r="D130" s="45">
        <f>C130*Forutsetninger!$C$30</f>
        <v>245277.2294700052</v>
      </c>
      <c r="E130" s="43">
        <f>VLOOKUP($A130,IRData!$A$2:$N$142,7,FALSE)</f>
        <v>87393</v>
      </c>
      <c r="F130" s="43">
        <f>VLOOKUP($A130,IRData!$A$2:$N$142,8,FALSE)</f>
        <v>1520823</v>
      </c>
      <c r="G130" s="43">
        <f>VLOOKUP($A130,IRData!$A$2:$N$142,9,FALSE)</f>
        <v>1536031.23</v>
      </c>
      <c r="H130" s="43">
        <f>VLOOKUP($A130,IRData!$A$2:$N$142,10,FALSE)</f>
        <v>85535</v>
      </c>
      <c r="I130" s="43">
        <f>VLOOKUP($A130,IRData!$A$2:$N$142,11,FALSE)</f>
        <v>62821</v>
      </c>
      <c r="J130" s="45">
        <f>VLOOKUP(A130,IRData!$A$3:$AF$142,32,FALSE)</f>
        <v>21987.711121030501</v>
      </c>
      <c r="K130" s="45">
        <f>VLOOKUP(A130,IRData!$A$3:$AM$142,37,FALSE)</f>
        <v>16148.827969068301</v>
      </c>
      <c r="L130" s="112">
        <f>VLOOKUP($A130,IRData!$A$2:$N$142,13,FALSE)</f>
        <v>43416</v>
      </c>
      <c r="M130" s="44">
        <f>L130*Forutsetninger!$C$24</f>
        <v>45803.88</v>
      </c>
      <c r="N130" s="112">
        <f>VLOOKUP(A130,IRData!$A$3:$E$142,5,FALSE)*Forutsetninger!$C$30</f>
        <v>76.176000000000002</v>
      </c>
      <c r="O130" s="112">
        <f>VLOOKUP(A130,IRData!$A$3:$AG$142,19,FALSE)*Forutsetninger!$C$24</f>
        <v>0</v>
      </c>
      <c r="P130" s="45">
        <f t="shared" si="21"/>
        <v>416686.824560104</v>
      </c>
      <c r="Q130" s="45">
        <f>D130+E130+J130+K130+M130+G130*Forutsetninger!$B$6+N130</f>
        <v>510691.93583610398</v>
      </c>
      <c r="R130" s="46">
        <f>IFERROR((VLOOKUP(A130,'DEAnorm D-nett'!$A$4:$H$130,8,FALSE)+O130),0)</f>
        <v>293489.90905631927</v>
      </c>
      <c r="S130" s="21">
        <f>IFERROR((VLOOKUP(A130,'DEAnorm R-nett'!$A$4:$H$85,8,FALSE)+N130+K130),N130+K130)</f>
        <v>119368.52076099638</v>
      </c>
      <c r="T130" s="118">
        <f>IFERROR(VLOOKUP(A130,IRData!$A$3:$AN$142,40,FALSE),0)</f>
        <v>0</v>
      </c>
      <c r="U130" s="47">
        <f>(1-Forutsetninger!$B$4)*Q130+(R130+S130+T130)*Forutsetninger!$B$4</f>
        <v>451991.83222483099</v>
      </c>
      <c r="V130" s="41">
        <f>(R130+S130+T130)-G130*($K$156+$K$150)/Forutsetninger!$B$4</f>
        <v>351660.69239441876</v>
      </c>
      <c r="W130" s="296">
        <f>(1-Forutsetninger!$B$4)*Q130+Forutsetninger!$B$4*V130</f>
        <v>415273.18977109285</v>
      </c>
      <c r="X130" s="185">
        <v>412215.23116860352</v>
      </c>
      <c r="Y130" s="198">
        <f t="shared" si="22"/>
        <v>3057.9586024893215</v>
      </c>
      <c r="Z130" s="197">
        <f t="shared" si="23"/>
        <v>7.4183542267960518E-3</v>
      </c>
      <c r="AA130" s="185">
        <f t="shared" si="24"/>
        <v>3057.9586024893215</v>
      </c>
      <c r="AB130" s="197">
        <f>VLOOKUP(A130,Table1[[idaar]:[Andel SN]],8,FALSE)</f>
        <v>0.72658685394757594</v>
      </c>
      <c r="AC130" s="197">
        <f>VLOOKUP(A130,Table1[[idaar]:[Andel SN]],9,FALSE)</f>
        <v>0.27341314605242412</v>
      </c>
      <c r="AD130" s="197">
        <f>VLOOKUP(A130,Table1[[idaar]:[Andel SN]],10,FALSE)</f>
        <v>0</v>
      </c>
      <c r="AE130" s="312">
        <f t="shared" si="25"/>
        <v>2221.8725204846419</v>
      </c>
      <c r="AF130" s="312">
        <f t="shared" si="26"/>
        <v>836.08608200467961</v>
      </c>
      <c r="AG130" s="312">
        <f t="shared" si="27"/>
        <v>0</v>
      </c>
    </row>
    <row r="131" spans="1:33" x14ac:dyDescent="0.2">
      <c r="A131">
        <v>2882015</v>
      </c>
      <c r="B131" t="s">
        <v>265</v>
      </c>
      <c r="C131" s="112">
        <f>VLOOKUP(A131,IRData!$A$3:$F$142,6,FALSE)</f>
        <v>1519.3203748558501</v>
      </c>
      <c r="D131" s="45">
        <f>C131*Forutsetninger!$C$30</f>
        <v>1607.4409565974895</v>
      </c>
      <c r="E131" s="43">
        <f>VLOOKUP($A131,IRData!$A$2:$N$142,7,FALSE)</f>
        <v>4071</v>
      </c>
      <c r="F131" s="43">
        <f>VLOOKUP($A131,IRData!$A$2:$N$142,8,FALSE)</f>
        <v>16874</v>
      </c>
      <c r="G131" s="43">
        <f>VLOOKUP($A131,IRData!$A$2:$N$142,9,FALSE)</f>
        <v>17042.740000000002</v>
      </c>
      <c r="H131" s="43">
        <f>VLOOKUP($A131,IRData!$A$2:$N$142,10,FALSE)</f>
        <v>0</v>
      </c>
      <c r="I131" s="43">
        <f>VLOOKUP($A131,IRData!$A$2:$N$142,11,FALSE)</f>
        <v>7894</v>
      </c>
      <c r="J131" s="45">
        <f>VLOOKUP(A131,IRData!$A$3:$AF$142,32,FALSE)</f>
        <v>0</v>
      </c>
      <c r="K131" s="45">
        <f>VLOOKUP(A131,IRData!$A$3:$AM$142,37,FALSE)</f>
        <v>2291.8908617984002</v>
      </c>
      <c r="L131" s="112">
        <f>VLOOKUP($A131,IRData!$A$2:$N$142,13,FALSE)</f>
        <v>0</v>
      </c>
      <c r="M131" s="44">
        <f>L131*Forutsetninger!$C$24</f>
        <v>0</v>
      </c>
      <c r="N131" s="112">
        <f>VLOOKUP(A131,IRData!$A$3:$E$142,5,FALSE)*Forutsetninger!$C$30</f>
        <v>0</v>
      </c>
      <c r="O131" s="112">
        <f>VLOOKUP(A131,IRData!$A$3:$AG$142,19,FALSE)*Forutsetninger!$C$24</f>
        <v>0</v>
      </c>
      <c r="P131" s="45">
        <f t="shared" ref="P131:P142" si="28">D131+E131+K131+J131+M131+N131</f>
        <v>7970.3318183958891</v>
      </c>
      <c r="Q131" s="45">
        <f>D131+E131+J131+K131+M131+G131*Forutsetninger!$B$6+N131</f>
        <v>9013.3475063958886</v>
      </c>
      <c r="R131" s="46">
        <f>IFERROR((VLOOKUP(A131,'DEAnorm D-nett'!$A$4:$H$130,8,FALSE)+O131),0)</f>
        <v>0</v>
      </c>
      <c r="S131" s="21">
        <f>IFERROR((VLOOKUP(A131,'DEAnorm R-nett'!$A$4:$H$85,8,FALSE)+N131+K131),N131+K131)</f>
        <v>12197.629851163945</v>
      </c>
      <c r="T131" s="118">
        <f>IFERROR(VLOOKUP(A131,IRData!$A$3:$AN$142,40,FALSE),0)</f>
        <v>0</v>
      </c>
      <c r="U131" s="47">
        <f>(1-Forutsetninger!$B$4)*Q131+(R131+S131+T131)*Forutsetninger!$B$4</f>
        <v>10923.916913256722</v>
      </c>
      <c r="V131" s="41">
        <f>(R131+S131+T131)-G131*($K$156+$K$150)/Forutsetninger!$B$4</f>
        <v>11518.622089396822</v>
      </c>
      <c r="W131" s="296">
        <f>(1-Forutsetninger!$B$4)*Q131+Forutsetninger!$B$4*V131</f>
        <v>10516.512256196449</v>
      </c>
      <c r="X131" s="185">
        <v>10436.914025788514</v>
      </c>
      <c r="Y131" s="198">
        <f t="shared" ref="Y131:Y162" si="29">W131-X131</f>
        <v>79.598230407935262</v>
      </c>
      <c r="Z131" s="197">
        <f t="shared" ref="Z131:Z162" si="30">Y131/X131</f>
        <v>7.6266059307623334E-3</v>
      </c>
      <c r="AA131" s="185">
        <f t="shared" ref="AA131:AA142" si="31">IF(Y131&gt;0,Y131,0)</f>
        <v>79.598230407935262</v>
      </c>
      <c r="AB131" s="200">
        <v>0</v>
      </c>
      <c r="AC131" s="200">
        <v>1</v>
      </c>
      <c r="AD131" s="200">
        <v>0</v>
      </c>
      <c r="AE131" s="312">
        <f t="shared" ref="AE131:AE142" si="32">$AA131*AB131</f>
        <v>0</v>
      </c>
      <c r="AF131" s="312">
        <f t="shared" ref="AF131:AF142" si="33">$AA131*AC131</f>
        <v>79.598230407935262</v>
      </c>
      <c r="AG131" s="312">
        <f t="shared" ref="AG131:AG142" si="34">$AA131*AD131</f>
        <v>0</v>
      </c>
    </row>
    <row r="132" spans="1:33" x14ac:dyDescent="0.2">
      <c r="A132">
        <v>3542015</v>
      </c>
      <c r="B132" t="s">
        <v>271</v>
      </c>
      <c r="C132" s="112">
        <f>VLOOKUP(A132,IRData!$A$3:$F$142,6,FALSE)</f>
        <v>87113.041563936698</v>
      </c>
      <c r="D132" s="45">
        <f>C132*Forutsetninger!$C$30</f>
        <v>92165.597974645032</v>
      </c>
      <c r="E132" s="43">
        <f>VLOOKUP($A132,IRData!$A$2:$N$142,7,FALSE)</f>
        <v>46194</v>
      </c>
      <c r="F132" s="43">
        <f>VLOOKUP($A132,IRData!$A$2:$N$142,8,FALSE)</f>
        <v>979095</v>
      </c>
      <c r="G132" s="43">
        <f>VLOOKUP($A132,IRData!$A$2:$N$142,9,FALSE)</f>
        <v>988885.95</v>
      </c>
      <c r="H132" s="43">
        <f>VLOOKUP($A132,IRData!$A$2:$N$142,10,FALSE)</f>
        <v>28518</v>
      </c>
      <c r="I132" s="43">
        <f>VLOOKUP($A132,IRData!$A$2:$N$142,11,FALSE)</f>
        <v>14174</v>
      </c>
      <c r="J132" s="45">
        <f>VLOOKUP(A132,IRData!$A$3:$AF$142,32,FALSE)</f>
        <v>7330.8650932314013</v>
      </c>
      <c r="K132" s="45">
        <f>VLOOKUP(A132,IRData!$A$3:$AM$142,37,FALSE)</f>
        <v>3643.5823631202006</v>
      </c>
      <c r="L132" s="112">
        <f>VLOOKUP($A132,IRData!$A$2:$N$142,13,FALSE)</f>
        <v>34314</v>
      </c>
      <c r="M132" s="44">
        <f>L132*Forutsetninger!$C$24</f>
        <v>36201.269999999997</v>
      </c>
      <c r="N132" s="112">
        <f>VLOOKUP(A132,IRData!$A$3:$E$142,5,FALSE)*Forutsetninger!$C$30</f>
        <v>0</v>
      </c>
      <c r="O132" s="112">
        <f>VLOOKUP(A132,IRData!$A$3:$AG$142,19,FALSE)*Forutsetninger!$C$24</f>
        <v>0</v>
      </c>
      <c r="P132" s="45">
        <f t="shared" si="28"/>
        <v>185535.31543099662</v>
      </c>
      <c r="Q132" s="45">
        <f>D132+E132+J132+K132+M132+G132*Forutsetninger!$B$6+N132</f>
        <v>246055.13557099662</v>
      </c>
      <c r="R132" s="46">
        <f>IFERROR((VLOOKUP(A132,'DEAnorm D-nett'!$A$4:$H$130,8,FALSE)+O132),0)</f>
        <v>136035.14090899381</v>
      </c>
      <c r="S132" s="21">
        <f>IFERROR((VLOOKUP(A132,'DEAnorm R-nett'!$A$4:$H$85,8,FALSE)+N132+K132),N132+K132)</f>
        <v>50214.469143380855</v>
      </c>
      <c r="T132" s="118">
        <f>IFERROR(VLOOKUP(A132,IRData!$A$3:$AN$142,40,FALSE),0)</f>
        <v>0</v>
      </c>
      <c r="U132" s="47">
        <f>(1-Forutsetninger!$B$4)*Q132+(R132+S132+T132)*Forutsetninger!$B$4</f>
        <v>210171.82025982346</v>
      </c>
      <c r="V132" s="41">
        <f>(R132+S132+T132)-G132*($K$156+$K$150)/Forutsetninger!$B$4</f>
        <v>146850.94319760508</v>
      </c>
      <c r="W132" s="296">
        <f>(1-Forutsetninger!$B$4)*Q132+Forutsetninger!$B$4*V132</f>
        <v>186532.62014696171</v>
      </c>
      <c r="X132" s="185">
        <v>184680.40414404307</v>
      </c>
      <c r="Y132" s="198">
        <f t="shared" si="29"/>
        <v>1852.2160029186343</v>
      </c>
      <c r="Z132" s="197">
        <f t="shared" si="30"/>
        <v>1.0029304470624736E-2</v>
      </c>
      <c r="AA132" s="185">
        <f t="shared" si="31"/>
        <v>1852.2160029186343</v>
      </c>
      <c r="AB132" s="197">
        <f>VLOOKUP(A132,Table1[[idaar]:[Andel SN]],8,FALSE)</f>
        <v>0.739554905782976</v>
      </c>
      <c r="AC132" s="197">
        <f>VLOOKUP(A132,Table1[[idaar]:[Andel SN]],9,FALSE)</f>
        <v>0.26044509421702405</v>
      </c>
      <c r="AD132" s="197">
        <f>VLOOKUP(A132,Table1[[idaar]:[Andel SN]],10,FALSE)</f>
        <v>0</v>
      </c>
      <c r="AE132" s="312">
        <f t="shared" si="32"/>
        <v>1369.8154315282111</v>
      </c>
      <c r="AF132" s="312">
        <f t="shared" si="33"/>
        <v>482.40057139042341</v>
      </c>
      <c r="AG132" s="312">
        <f t="shared" si="34"/>
        <v>0</v>
      </c>
    </row>
    <row r="133" spans="1:33" x14ac:dyDescent="0.2">
      <c r="A133">
        <v>1032015</v>
      </c>
      <c r="B133" t="s">
        <v>222</v>
      </c>
      <c r="C133" s="112">
        <f>VLOOKUP(A133,IRData!$A$3:$F$142,6,FALSE)</f>
        <v>31024.698998799809</v>
      </c>
      <c r="D133" s="45">
        <f>C133*Forutsetninger!$C$30</f>
        <v>32824.131540730203</v>
      </c>
      <c r="E133" s="43">
        <f>VLOOKUP($A133,IRData!$A$2:$N$142,7,FALSE)</f>
        <v>7930</v>
      </c>
      <c r="F133" s="43">
        <f>VLOOKUP($A133,IRData!$A$2:$N$142,8,FALSE)</f>
        <v>130817</v>
      </c>
      <c r="G133" s="43">
        <f>VLOOKUP($A133,IRData!$A$2:$N$142,9,FALSE)</f>
        <v>132125.16999999998</v>
      </c>
      <c r="H133" s="43">
        <f>VLOOKUP($A133,IRData!$A$2:$N$142,10,FALSE)</f>
        <v>6600</v>
      </c>
      <c r="I133" s="43">
        <f>VLOOKUP($A133,IRData!$A$2:$N$142,11,FALSE)</f>
        <v>1249</v>
      </c>
      <c r="J133" s="45">
        <f>VLOOKUP(A133,IRData!$A$3:$AF$142,32,FALSE)</f>
        <v>1696.6024831800003</v>
      </c>
      <c r="K133" s="45">
        <f>VLOOKUP(A133,IRData!$A$3:$AM$142,37,FALSE)</f>
        <v>321.06916689270008</v>
      </c>
      <c r="L133" s="112">
        <f>VLOOKUP($A133,IRData!$A$2:$N$142,13,FALSE)</f>
        <v>6040</v>
      </c>
      <c r="M133" s="44">
        <f>L133*Forutsetninger!$C$24</f>
        <v>6372.2</v>
      </c>
      <c r="N133" s="112">
        <f>VLOOKUP(A133,IRData!$A$3:$E$142,5,FALSE)*Forutsetninger!$C$30</f>
        <v>0</v>
      </c>
      <c r="O133" s="112">
        <f>VLOOKUP(A133,IRData!$A$3:$AG$142,19,FALSE)*Forutsetninger!$C$24</f>
        <v>0</v>
      </c>
      <c r="P133" s="45">
        <f t="shared" si="28"/>
        <v>49144.003190802905</v>
      </c>
      <c r="Q133" s="45">
        <f>D133+E133+J133+K133+M133+G133*Forutsetninger!$B$6+N133</f>
        <v>57230.063594802901</v>
      </c>
      <c r="R133" s="46">
        <f>IFERROR((VLOOKUP(A133,'DEAnorm D-nett'!$A$4:$H$130,8,FALSE)+O133),0)</f>
        <v>32345.509607982363</v>
      </c>
      <c r="S133" s="21">
        <f>IFERROR((VLOOKUP(A133,'DEAnorm R-nett'!$A$4:$H$85,8,FALSE)+N133+K133),N133+K133)</f>
        <v>8275.2015420570951</v>
      </c>
      <c r="T133" s="118">
        <f>IFERROR(VLOOKUP(A133,IRData!$A$3:$AN$142,40,FALSE),0)</f>
        <v>0</v>
      </c>
      <c r="U133" s="47">
        <f>(1-Forutsetninger!$B$4)*Q133+(R133+S133+T133)*Forutsetninger!$B$4</f>
        <v>47264.452127944838</v>
      </c>
      <c r="V133" s="41">
        <f>(R133+S133+T133)-G133*($K$156+$K$150)/Forutsetninger!$B$4</f>
        <v>35356.65056149556</v>
      </c>
      <c r="W133" s="296">
        <f>(1-Forutsetninger!$B$4)*Q133+Forutsetninger!$B$4*V133</f>
        <v>44106.015774818501</v>
      </c>
      <c r="X133" s="185">
        <v>43872.589611778436</v>
      </c>
      <c r="Y133" s="198">
        <f t="shared" si="29"/>
        <v>233.42616304006515</v>
      </c>
      <c r="Z133" s="197">
        <f t="shared" si="30"/>
        <v>5.3205467264553132E-3</v>
      </c>
      <c r="AA133" s="185">
        <f t="shared" si="31"/>
        <v>233.42616304006515</v>
      </c>
      <c r="AB133" s="197">
        <f>VLOOKUP(A133,Table1[[idaar]:[Andel SN]],8,FALSE)</f>
        <v>0.95441387641601894</v>
      </c>
      <c r="AC133" s="197">
        <f>VLOOKUP(A133,Table1[[idaar]:[Andel SN]],9,FALSE)</f>
        <v>4.5586123583981036E-2</v>
      </c>
      <c r="AD133" s="197">
        <f>VLOOKUP(A133,Table1[[idaar]:[Andel SN]],10,FALSE)</f>
        <v>0</v>
      </c>
      <c r="AE133" s="312">
        <f t="shared" si="32"/>
        <v>222.78516912398624</v>
      </c>
      <c r="AF133" s="312">
        <f t="shared" si="33"/>
        <v>10.640993916078916</v>
      </c>
      <c r="AG133" s="312">
        <f t="shared" si="34"/>
        <v>0</v>
      </c>
    </row>
    <row r="134" spans="1:33" x14ac:dyDescent="0.2">
      <c r="A134">
        <v>5112015</v>
      </c>
      <c r="B134" t="s">
        <v>277</v>
      </c>
      <c r="C134" s="112">
        <f>VLOOKUP(A134,IRData!$A$3:$F$142,6,FALSE)</f>
        <v>336052.6147168859</v>
      </c>
      <c r="D134" s="45">
        <f>C134*Forutsetninger!$C$30</f>
        <v>355543.6663704653</v>
      </c>
      <c r="E134" s="43">
        <f>VLOOKUP($A134,IRData!$A$2:$N$142,7,FALSE)</f>
        <v>158317</v>
      </c>
      <c r="F134" s="43">
        <f>VLOOKUP($A134,IRData!$A$2:$N$142,8,FALSE)</f>
        <v>2773453</v>
      </c>
      <c r="G134" s="43">
        <f>VLOOKUP($A134,IRData!$A$2:$N$142,9,FALSE)</f>
        <v>2801187.53</v>
      </c>
      <c r="H134" s="43">
        <f>VLOOKUP($A134,IRData!$A$2:$N$142,10,FALSE)</f>
        <v>198320</v>
      </c>
      <c r="I134" s="43">
        <f>VLOOKUP($A134,IRData!$A$2:$N$142,11,FALSE)</f>
        <v>75194</v>
      </c>
      <c r="J134" s="45">
        <f>VLOOKUP(A134,IRData!$A$3:$AF$142,32,FALSE)</f>
        <v>56477.667391592004</v>
      </c>
      <c r="K134" s="45">
        <f>VLOOKUP(A134,IRData!$A$3:$AM$142,37,FALSE)</f>
        <v>21413.784398161399</v>
      </c>
      <c r="L134" s="112">
        <f>VLOOKUP($A134,IRData!$A$2:$N$142,13,FALSE)</f>
        <v>28003</v>
      </c>
      <c r="M134" s="44">
        <f>L134*Forutsetninger!$C$24</f>
        <v>29543.164999999997</v>
      </c>
      <c r="N134" s="112">
        <f>VLOOKUP(A134,IRData!$A$3:$E$142,5,FALSE)*Forutsetninger!$C$30</f>
        <v>714.15000000000009</v>
      </c>
      <c r="O134" s="112">
        <f>VLOOKUP(A134,IRData!$A$3:$AG$142,19,FALSE)*Forutsetninger!$C$24</f>
        <v>20563.036649999998</v>
      </c>
      <c r="P134" s="45">
        <f t="shared" si="28"/>
        <v>622009.43316021888</v>
      </c>
      <c r="Q134" s="45">
        <f>D134+E134+J134+K134+M134+G134*Forutsetninger!$B$6+N134</f>
        <v>793442.1099962187</v>
      </c>
      <c r="R134" s="46">
        <f>IFERROR((VLOOKUP(A134,'DEAnorm D-nett'!$A$4:$H$130,8,FALSE)+O134),0)</f>
        <v>582584.34236890927</v>
      </c>
      <c r="S134" s="21">
        <f>IFERROR((VLOOKUP(A134,'DEAnorm R-nett'!$A$4:$H$85,8,FALSE)+N134+K134),N134+K134)</f>
        <v>219011.38482830269</v>
      </c>
      <c r="T134" s="118">
        <f>IFERROR(VLOOKUP(A134,IRData!$A$3:$AN$142,40,FALSE),0)</f>
        <v>2260.7310496283053</v>
      </c>
      <c r="U134" s="47">
        <f>(1-Forutsetninger!$B$4)*Q134+(R134+S134+T134)*Forutsetninger!$B$4</f>
        <v>799690.71894659172</v>
      </c>
      <c r="V134" s="41">
        <f>(R134+S134+T134)-G134*($K$156+$K$150)/Forutsetninger!$B$4</f>
        <v>692253.0379614121</v>
      </c>
      <c r="W134" s="296">
        <f>(1-Forutsetninger!$B$4)*Q134+Forutsetninger!$B$4*V134</f>
        <v>732728.66677533474</v>
      </c>
      <c r="X134" s="185">
        <v>745373.23399849096</v>
      </c>
      <c r="Y134" s="198">
        <f t="shared" si="29"/>
        <v>-12644.56722315622</v>
      </c>
      <c r="Z134" s="197">
        <f t="shared" si="30"/>
        <v>-1.6964074702985405E-2</v>
      </c>
      <c r="AA134" s="185">
        <f t="shared" si="31"/>
        <v>0</v>
      </c>
      <c r="AB134" s="197">
        <f>VLOOKUP(A134,Table1[[idaar]:[Andel SN]],8,FALSE)</f>
        <v>0.68829297546329149</v>
      </c>
      <c r="AC134" s="197">
        <f>VLOOKUP(A134,Table1[[idaar]:[Andel SN]],9,FALSE)</f>
        <v>0.30864815334067641</v>
      </c>
      <c r="AD134" s="197">
        <f>VLOOKUP(A134,Table1[[idaar]:[Andel SN]],10,FALSE)</f>
        <v>3.0588711960320538E-3</v>
      </c>
      <c r="AE134" s="312">
        <f t="shared" si="32"/>
        <v>0</v>
      </c>
      <c r="AF134" s="312">
        <f t="shared" si="33"/>
        <v>0</v>
      </c>
      <c r="AG134" s="312">
        <f t="shared" si="34"/>
        <v>0</v>
      </c>
    </row>
    <row r="135" spans="1:33" x14ac:dyDescent="0.2">
      <c r="A135">
        <v>7432015</v>
      </c>
      <c r="B135" t="s">
        <v>186</v>
      </c>
      <c r="C135" s="112">
        <f>VLOOKUP(A135,IRData!$A$3:$F$142,6,FALSE)</f>
        <v>24411.621240709603</v>
      </c>
      <c r="D135" s="45">
        <f>C135*Forutsetninger!$C$30</f>
        <v>25827.49527267076</v>
      </c>
      <c r="E135" s="43">
        <f>VLOOKUP($A135,IRData!$A$2:$N$142,7,FALSE)</f>
        <v>5350</v>
      </c>
      <c r="F135" s="43">
        <f>VLOOKUP($A135,IRData!$A$2:$N$142,8,FALSE)</f>
        <v>68527</v>
      </c>
      <c r="G135" s="43">
        <f>VLOOKUP($A135,IRData!$A$2:$N$142,9,FALSE)</f>
        <v>69212.27</v>
      </c>
      <c r="H135" s="43">
        <f>VLOOKUP($A135,IRData!$A$2:$N$142,10,FALSE)</f>
        <v>250</v>
      </c>
      <c r="I135" s="43">
        <f>VLOOKUP($A135,IRData!$A$2:$N$142,11,FALSE)</f>
        <v>5949</v>
      </c>
      <c r="J135" s="45">
        <f>VLOOKUP(A135,IRData!$A$3:$AF$142,32,FALSE)</f>
        <v>64.265245575000009</v>
      </c>
      <c r="K135" s="45">
        <f>VLOOKUP(A135,IRData!$A$3:$AM$142,37,FALSE)</f>
        <v>1529.2557837027002</v>
      </c>
      <c r="L135" s="112">
        <f>VLOOKUP($A135,IRData!$A$2:$N$142,13,FALSE)</f>
        <v>15727</v>
      </c>
      <c r="M135" s="44">
        <f>L135*Forutsetninger!$C$24</f>
        <v>16591.985000000001</v>
      </c>
      <c r="N135" s="112">
        <f>VLOOKUP(A135,IRData!$A$3:$E$142,5,FALSE)*Forutsetninger!$C$30</f>
        <v>0</v>
      </c>
      <c r="O135" s="112">
        <f>VLOOKUP(A135,IRData!$A$3:$AG$142,19,FALSE)*Forutsetninger!$C$24</f>
        <v>0</v>
      </c>
      <c r="P135" s="45">
        <f t="shared" si="28"/>
        <v>49363.001301948461</v>
      </c>
      <c r="Q135" s="45">
        <f>D135+E135+J135+K135+M135+G135*Forutsetninger!$B$6+N135</f>
        <v>53598.792225948462</v>
      </c>
      <c r="R135" s="46">
        <f>IFERROR((VLOOKUP(A135,'DEAnorm D-nett'!$A$4:$H$130,8,FALSE)+O135),0)</f>
        <v>24910.354097435953</v>
      </c>
      <c r="S135" s="21">
        <f>IFERROR((VLOOKUP(A135,'DEAnorm R-nett'!$A$4:$H$85,8,FALSE)+N135+K135),N135+K135)</f>
        <v>15339.274912310137</v>
      </c>
      <c r="T135" s="118">
        <f>IFERROR(VLOOKUP(A135,IRData!$A$3:$AN$142,40,FALSE),0)</f>
        <v>0</v>
      </c>
      <c r="U135" s="47">
        <f>(1-Forutsetninger!$B$4)*Q135+(R135+S135+T135)*Forutsetninger!$B$4</f>
        <v>45589.294296227039</v>
      </c>
      <c r="V135" s="41">
        <f>(R135+S135+T135)-G135*($K$156+$K$150)/Forutsetninger!$B$4</f>
        <v>37492.110644769455</v>
      </c>
      <c r="W135" s="296">
        <f>(1-Forutsetninger!$B$4)*Q135+Forutsetninger!$B$4*V135</f>
        <v>43934.783277241062</v>
      </c>
      <c r="X135" s="185">
        <v>46784.377597685838</v>
      </c>
      <c r="Y135" s="198">
        <f t="shared" si="29"/>
        <v>-2849.5943204447758</v>
      </c>
      <c r="Z135" s="197">
        <f t="shared" si="30"/>
        <v>-6.0909099720196543E-2</v>
      </c>
      <c r="AA135" s="185">
        <f t="shared" si="31"/>
        <v>0</v>
      </c>
      <c r="AB135" s="197">
        <f>VLOOKUP(A135,Table1[[idaar]:[Andel SN]],8,FALSE)</f>
        <v>0.56560555505455856</v>
      </c>
      <c r="AC135" s="197">
        <f>VLOOKUP(A135,Table1[[idaar]:[Andel SN]],9,FALSE)</f>
        <v>0.43439444494544144</v>
      </c>
      <c r="AD135" s="197">
        <f>VLOOKUP(A135,Table1[[idaar]:[Andel SN]],10,FALSE)</f>
        <v>0</v>
      </c>
      <c r="AE135" s="312">
        <f t="shared" si="32"/>
        <v>0</v>
      </c>
      <c r="AF135" s="312">
        <f t="shared" si="33"/>
        <v>0</v>
      </c>
      <c r="AG135" s="312">
        <f t="shared" si="34"/>
        <v>0</v>
      </c>
    </row>
    <row r="136" spans="1:33" x14ac:dyDescent="0.2">
      <c r="A136">
        <v>3112015</v>
      </c>
      <c r="B136" t="s">
        <v>269</v>
      </c>
      <c r="C136" s="112">
        <f>VLOOKUP(A136,IRData!$A$3:$F$142,6,FALSE)</f>
        <v>100938.2329351544</v>
      </c>
      <c r="D136" s="45">
        <f>C136*Forutsetninger!$C$30</f>
        <v>106792.65044539336</v>
      </c>
      <c r="E136" s="43">
        <f>VLOOKUP($A136,IRData!$A$2:$N$142,7,FALSE)</f>
        <v>44798</v>
      </c>
      <c r="F136" s="43">
        <f>VLOOKUP($A136,IRData!$A$2:$N$142,8,FALSE)</f>
        <v>750742</v>
      </c>
      <c r="G136" s="43">
        <f>VLOOKUP($A136,IRData!$A$2:$N$142,9,FALSE)</f>
        <v>758249.41999999993</v>
      </c>
      <c r="H136" s="43">
        <f>VLOOKUP($A136,IRData!$A$2:$N$142,10,FALSE)</f>
        <v>34507</v>
      </c>
      <c r="I136" s="43">
        <f>VLOOKUP($A136,IRData!$A$2:$N$142,11,FALSE)</f>
        <v>25115</v>
      </c>
      <c r="J136" s="45">
        <f>VLOOKUP(A136,IRData!$A$3:$AF$142,32,FALSE)</f>
        <v>10018.530272115198</v>
      </c>
      <c r="K136" s="45">
        <f>VLOOKUP(A136,IRData!$A$3:$AM$142,37,FALSE)</f>
        <v>7291.7201664639997</v>
      </c>
      <c r="L136" s="112">
        <f>VLOOKUP($A136,IRData!$A$2:$N$142,13,FALSE)</f>
        <v>6178</v>
      </c>
      <c r="M136" s="44">
        <f>L136*Forutsetninger!$C$24</f>
        <v>6517.79</v>
      </c>
      <c r="N136" s="112">
        <f>VLOOKUP(A136,IRData!$A$3:$E$142,5,FALSE)*Forutsetninger!$C$30</f>
        <v>0</v>
      </c>
      <c r="O136" s="112">
        <f>VLOOKUP(A136,IRData!$A$3:$AG$142,19,FALSE)*Forutsetninger!$C$24</f>
        <v>0</v>
      </c>
      <c r="P136" s="45">
        <f t="shared" si="28"/>
        <v>175418.69088397254</v>
      </c>
      <c r="Q136" s="45">
        <f>D136+E136+J136+K136+M136+G136*Forutsetninger!$B$6+N136</f>
        <v>221823.55538797253</v>
      </c>
      <c r="R136" s="46">
        <f>IFERROR((VLOOKUP(A136,'DEAnorm D-nett'!$A$4:$H$130,8,FALSE)+O136),0)</f>
        <v>133510.050820704</v>
      </c>
      <c r="S136" s="21">
        <f>IFERROR((VLOOKUP(A136,'DEAnorm R-nett'!$A$4:$H$85,8,FALSE)+N136+K136),N136+K136)</f>
        <v>74323.152182272679</v>
      </c>
      <c r="T136" s="118">
        <f>IFERROR(VLOOKUP(A136,IRData!$A$3:$AN$142,40,FALSE),0)</f>
        <v>0</v>
      </c>
      <c r="U136" s="47">
        <f>(1-Forutsetninger!$B$4)*Q136+(R136+S136+T136)*Forutsetninger!$B$4</f>
        <v>213429.34395697503</v>
      </c>
      <c r="V136" s="41">
        <f>(R136+S136+T136)-G136*($K$156+$K$150)/Forutsetninger!$B$4</f>
        <v>177623.43382645812</v>
      </c>
      <c r="W136" s="296">
        <f>(1-Forutsetninger!$B$4)*Q136+Forutsetninger!$B$4*V136</f>
        <v>195303.48245106387</v>
      </c>
      <c r="X136" s="185">
        <v>193885.76126837032</v>
      </c>
      <c r="Y136" s="198">
        <f t="shared" si="29"/>
        <v>1417.7211826935527</v>
      </c>
      <c r="Z136" s="197">
        <f t="shared" si="30"/>
        <v>7.3121469746877882E-3</v>
      </c>
      <c r="AA136" s="185">
        <f t="shared" si="31"/>
        <v>1417.7211826935527</v>
      </c>
      <c r="AB136" s="197">
        <f>VLOOKUP(A136,Table1[[idaar]:[Andel SN]],8,FALSE)</f>
        <v>0.67374642831354503</v>
      </c>
      <c r="AC136" s="197">
        <f>VLOOKUP(A136,Table1[[idaar]:[Andel SN]],9,FALSE)</f>
        <v>0.32625357168645491</v>
      </c>
      <c r="AD136" s="197">
        <f>VLOOKUP(A136,Table1[[idaar]:[Andel SN]],10,FALSE)</f>
        <v>0</v>
      </c>
      <c r="AE136" s="312">
        <f t="shared" si="32"/>
        <v>955.18458318423598</v>
      </c>
      <c r="AF136" s="312">
        <f t="shared" si="33"/>
        <v>462.53659950931666</v>
      </c>
      <c r="AG136" s="312">
        <f t="shared" si="34"/>
        <v>0</v>
      </c>
    </row>
    <row r="137" spans="1:33" x14ac:dyDescent="0.2">
      <c r="A137">
        <v>1322015</v>
      </c>
      <c r="B137" t="s">
        <v>227</v>
      </c>
      <c r="C137" s="112">
        <f>VLOOKUP(A137,IRData!$A$3:$F$142,6,FALSE)</f>
        <v>38108.961930195161</v>
      </c>
      <c r="D137" s="45">
        <f>C137*Forutsetninger!$C$30</f>
        <v>40319.281722146479</v>
      </c>
      <c r="E137" s="43">
        <f>VLOOKUP($A137,IRData!$A$2:$N$142,7,FALSE)</f>
        <v>13218</v>
      </c>
      <c r="F137" s="43">
        <f>VLOOKUP($A137,IRData!$A$2:$N$142,8,FALSE)</f>
        <v>197452</v>
      </c>
      <c r="G137" s="43">
        <f>VLOOKUP($A137,IRData!$A$2:$N$142,9,FALSE)</f>
        <v>199426.52000000002</v>
      </c>
      <c r="H137" s="43">
        <f>VLOOKUP($A137,IRData!$A$2:$N$142,10,FALSE)</f>
        <v>8130</v>
      </c>
      <c r="I137" s="43">
        <f>VLOOKUP($A137,IRData!$A$2:$N$142,11,FALSE)</f>
        <v>20821</v>
      </c>
      <c r="J137" s="45">
        <f>VLOOKUP(A137,IRData!$A$3:$AF$142,32,FALSE)</f>
        <v>2089.9057860990006</v>
      </c>
      <c r="K137" s="45">
        <f>VLOOKUP(A137,IRData!$A$3:$AM$142,37,FALSE)</f>
        <v>5352.2667124683012</v>
      </c>
      <c r="L137" s="112">
        <f>VLOOKUP($A137,IRData!$A$2:$N$142,13,FALSE)</f>
        <v>4144</v>
      </c>
      <c r="M137" s="44">
        <f>L137*Forutsetninger!$C$24</f>
        <v>4371.92</v>
      </c>
      <c r="N137" s="112">
        <f>VLOOKUP(A137,IRData!$A$3:$E$142,5,FALSE)*Forutsetninger!$C$30</f>
        <v>0</v>
      </c>
      <c r="O137" s="112">
        <f>VLOOKUP(A137,IRData!$A$3:$AG$142,19,FALSE)*Forutsetninger!$C$24</f>
        <v>0</v>
      </c>
      <c r="P137" s="45">
        <f t="shared" si="28"/>
        <v>65351.374220713777</v>
      </c>
      <c r="Q137" s="45">
        <f>D137+E137+J137+K137+M137+G137*Forutsetninger!$B$6+N137</f>
        <v>77556.277244713783</v>
      </c>
      <c r="R137" s="46">
        <f>IFERROR((VLOOKUP(A137,'DEAnorm D-nett'!$A$4:$H$130,8,FALSE)+O137),0)</f>
        <v>54889.924120134376</v>
      </c>
      <c r="S137" s="21">
        <f>IFERROR((VLOOKUP(A137,'DEAnorm R-nett'!$A$4:$H$85,8,FALSE)+N137+K137),N137+K137)</f>
        <v>30569.67745536688</v>
      </c>
      <c r="T137" s="118">
        <f>IFERROR(VLOOKUP(A137,IRData!$A$3:$AN$142,40,FALSE),0)</f>
        <v>0</v>
      </c>
      <c r="U137" s="47">
        <f>(1-Forutsetninger!$B$4)*Q137+(R137+S137+T137)*Forutsetninger!$B$4</f>
        <v>82298.27184318626</v>
      </c>
      <c r="V137" s="41">
        <f>(R137+S137+T137)-G137*($K$156+$K$150)/Forutsetninger!$B$4</f>
        <v>77514.15647792854</v>
      </c>
      <c r="W137" s="296">
        <f>(1-Forutsetninger!$B$4)*Q137+Forutsetninger!$B$4*V137</f>
        <v>77531.004784642631</v>
      </c>
      <c r="X137" s="185">
        <v>76941.581508503601</v>
      </c>
      <c r="Y137" s="198">
        <f t="shared" si="29"/>
        <v>589.42327613903035</v>
      </c>
      <c r="Z137" s="197">
        <f t="shared" si="30"/>
        <v>7.66065974448273E-3</v>
      </c>
      <c r="AA137" s="185">
        <f t="shared" si="31"/>
        <v>589.42327613903035</v>
      </c>
      <c r="AB137" s="197">
        <f>VLOOKUP(A137,Table1[[idaar]:[Andel SN]],8,FALSE)</f>
        <v>0.66474747212185803</v>
      </c>
      <c r="AC137" s="197">
        <f>VLOOKUP(A137,Table1[[idaar]:[Andel SN]],9,FALSE)</f>
        <v>0.33525252787814197</v>
      </c>
      <c r="AD137" s="197">
        <f>VLOOKUP(A137,Table1[[idaar]:[Andel SN]],10,FALSE)</f>
        <v>0</v>
      </c>
      <c r="AE137" s="312">
        <f t="shared" si="32"/>
        <v>391.81763282320429</v>
      </c>
      <c r="AF137" s="312">
        <f t="shared" si="33"/>
        <v>197.60564331582606</v>
      </c>
      <c r="AG137" s="312">
        <f t="shared" si="34"/>
        <v>0</v>
      </c>
    </row>
    <row r="138" spans="1:33" x14ac:dyDescent="0.2">
      <c r="A138">
        <v>1462015</v>
      </c>
      <c r="B138" t="s">
        <v>230</v>
      </c>
      <c r="C138" s="112">
        <f>VLOOKUP(A138,IRData!$A$3:$F$142,6,FALSE)</f>
        <v>28219.80280350399</v>
      </c>
      <c r="D138" s="45">
        <f>C138*Forutsetninger!$C$30</f>
        <v>29856.551366107222</v>
      </c>
      <c r="E138" s="43">
        <f>VLOOKUP($A138,IRData!$A$2:$N$142,7,FALSE)</f>
        <v>8790</v>
      </c>
      <c r="F138" s="43">
        <f>VLOOKUP($A138,IRData!$A$2:$N$142,8,FALSE)</f>
        <v>254970</v>
      </c>
      <c r="G138" s="43">
        <f>VLOOKUP($A138,IRData!$A$2:$N$142,9,FALSE)</f>
        <v>257519.69999999998</v>
      </c>
      <c r="H138" s="43">
        <f>VLOOKUP($A138,IRData!$A$2:$N$142,10,FALSE)</f>
        <v>6829</v>
      </c>
      <c r="I138" s="43">
        <f>VLOOKUP($A138,IRData!$A$2:$N$142,11,FALSE)</f>
        <v>14427</v>
      </c>
      <c r="J138" s="45">
        <f>VLOOKUP(A138,IRData!$A$3:$AF$142,32,FALSE)</f>
        <v>1944.7659873799</v>
      </c>
      <c r="K138" s="45">
        <f>VLOOKUP(A138,IRData!$A$3:$AM$142,37,FALSE)</f>
        <v>4108.5281739536995</v>
      </c>
      <c r="L138" s="112">
        <f>VLOOKUP($A138,IRData!$A$2:$N$142,13,FALSE)</f>
        <v>1497</v>
      </c>
      <c r="M138" s="44">
        <f>L138*Forutsetninger!$C$24</f>
        <v>1579.3349999999998</v>
      </c>
      <c r="N138" s="112">
        <f>VLOOKUP(A138,IRData!$A$3:$E$142,5,FALSE)*Forutsetninger!$C$30</f>
        <v>0</v>
      </c>
      <c r="O138" s="112">
        <f>VLOOKUP(A138,IRData!$A$3:$AG$142,19,FALSE)*Forutsetninger!$C$24</f>
        <v>2256.4023499999998</v>
      </c>
      <c r="P138" s="45">
        <f t="shared" si="28"/>
        <v>46279.180527440818</v>
      </c>
      <c r="Q138" s="45">
        <f>D138+E138+J138+K138+M138+G138*Forutsetninger!$B$6+N138</f>
        <v>62039.386167440818</v>
      </c>
      <c r="R138" s="46">
        <f>IFERROR((VLOOKUP(A138,'DEAnorm D-nett'!$A$4:$H$130,8,FALSE)+O138),0)</f>
        <v>38074.415599096545</v>
      </c>
      <c r="S138" s="21">
        <f>IFERROR((VLOOKUP(A138,'DEAnorm R-nett'!$A$4:$H$85,8,FALSE)+N138+K138),N138+K138)</f>
        <v>22820.865038061504</v>
      </c>
      <c r="T138" s="118">
        <f>IFERROR(VLOOKUP(A138,IRData!$A$3:$AN$142,40,FALSE),0)</f>
        <v>2697.1805932032912</v>
      </c>
      <c r="U138" s="47">
        <f>(1-Forutsetninger!$B$4)*Q138+(R138+S138+T138)*Forutsetninger!$B$4</f>
        <v>62971.231205193129</v>
      </c>
      <c r="V138" s="41">
        <f>(R138+S138+T138)-G138*($K$156+$K$150)/Forutsetninger!$B$4</f>
        <v>53332.498624117208</v>
      </c>
      <c r="W138" s="296">
        <f>(1-Forutsetninger!$B$4)*Q138+Forutsetninger!$B$4*V138</f>
        <v>56815.253641446652</v>
      </c>
      <c r="X138" s="185">
        <v>57111.94945543856</v>
      </c>
      <c r="Y138" s="198">
        <f t="shared" si="29"/>
        <v>-296.69581399190793</v>
      </c>
      <c r="Z138" s="197">
        <f t="shared" si="30"/>
        <v>-5.1949866327606975E-3</v>
      </c>
      <c r="AA138" s="185">
        <f t="shared" si="31"/>
        <v>0</v>
      </c>
      <c r="AB138" s="197">
        <f>VLOOKUP(A138,Table1[[idaar]:[Andel SN]],8,FALSE)</f>
        <v>0.60383498988477435</v>
      </c>
      <c r="AC138" s="197">
        <f>VLOOKUP(A138,Table1[[idaar]:[Andel SN]],9,FALSE)</f>
        <v>0.3525551939484563</v>
      </c>
      <c r="AD138" s="197">
        <f>VLOOKUP(A138,Table1[[idaar]:[Andel SN]],10,FALSE)</f>
        <v>4.3609816166769282E-2</v>
      </c>
      <c r="AE138" s="312">
        <f t="shared" si="32"/>
        <v>0</v>
      </c>
      <c r="AF138" s="312">
        <f t="shared" si="33"/>
        <v>0</v>
      </c>
      <c r="AG138" s="312">
        <f t="shared" si="34"/>
        <v>0</v>
      </c>
    </row>
    <row r="139" spans="1:33" x14ac:dyDescent="0.2">
      <c r="A139">
        <v>2692015</v>
      </c>
      <c r="B139" t="s">
        <v>262</v>
      </c>
      <c r="C139" s="112">
        <f>VLOOKUP(A139,IRData!$A$3:$F$142,6,FALSE)</f>
        <v>127752.3180870974</v>
      </c>
      <c r="D139" s="45">
        <f>C139*Forutsetninger!$C$30</f>
        <v>135161.95253614907</v>
      </c>
      <c r="E139" s="43">
        <f>VLOOKUP($A139,IRData!$A$2:$N$142,7,FALSE)</f>
        <v>55474</v>
      </c>
      <c r="F139" s="43">
        <f>VLOOKUP($A139,IRData!$A$2:$N$142,8,FALSE)</f>
        <v>1250822</v>
      </c>
      <c r="G139" s="43">
        <f>VLOOKUP($A139,IRData!$A$2:$N$142,9,FALSE)</f>
        <v>1263330.2200000002</v>
      </c>
      <c r="H139" s="43">
        <f>VLOOKUP($A139,IRData!$A$2:$N$142,10,FALSE)</f>
        <v>40898</v>
      </c>
      <c r="I139" s="43">
        <f>VLOOKUP($A139,IRData!$A$2:$N$142,11,FALSE)</f>
        <v>24164</v>
      </c>
      <c r="J139" s="45">
        <f>VLOOKUP(A139,IRData!$A$3:$AF$142,32,FALSE)</f>
        <v>11874.050223692799</v>
      </c>
      <c r="K139" s="45">
        <f>VLOOKUP(A139,IRData!$A$3:$AM$142,37,FALSE)</f>
        <v>7015.6132232703994</v>
      </c>
      <c r="L139" s="112">
        <f>VLOOKUP($A139,IRData!$A$2:$N$142,13,FALSE)</f>
        <v>12016</v>
      </c>
      <c r="M139" s="44">
        <f>L139*Forutsetninger!$C$24</f>
        <v>12676.88</v>
      </c>
      <c r="N139" s="112">
        <f>VLOOKUP(A139,IRData!$A$3:$E$142,5,FALSE)*Forutsetninger!$C$30</f>
        <v>1504.4760000000001</v>
      </c>
      <c r="O139" s="112">
        <f>VLOOKUP(A139,IRData!$A$3:$AG$142,19,FALSE)*Forutsetninger!$C$24</f>
        <v>2534.1099999999997</v>
      </c>
      <c r="P139" s="45">
        <f t="shared" si="28"/>
        <v>223706.97198311225</v>
      </c>
      <c r="Q139" s="45">
        <f>D139+E139+J139+K139+M139+G139*Forutsetninger!$B$6+N139</f>
        <v>301022.78144711227</v>
      </c>
      <c r="R139" s="46">
        <f>IFERROR((VLOOKUP(A139,'DEAnorm D-nett'!$A$4:$H$130,8,FALSE)+O139),0)</f>
        <v>182582.19827606826</v>
      </c>
      <c r="S139" s="21">
        <f>IFERROR((VLOOKUP(A139,'DEAnorm R-nett'!$A$4:$H$85,8,FALSE)+N139+K139),N139+K139)</f>
        <v>65170.583979374576</v>
      </c>
      <c r="T139" s="118">
        <f>IFERROR(VLOOKUP(A139,IRData!$A$3:$AN$142,40,FALSE),0)</f>
        <v>40608.34395589093</v>
      </c>
      <c r="U139" s="47">
        <f>(1-Forutsetninger!$B$4)*Q139+(R139+S139+T139)*Forutsetninger!$B$4</f>
        <v>293425.78830564517</v>
      </c>
      <c r="V139" s="41">
        <f>(R139+S139+T139)-G139*($K$156+$K$150)/Forutsetninger!$B$4</f>
        <v>238028.1970546977</v>
      </c>
      <c r="W139" s="296">
        <f>(1-Forutsetninger!$B$4)*Q139+Forutsetninger!$B$4*V139</f>
        <v>263226.03081166348</v>
      </c>
      <c r="X139" s="185">
        <v>261745.44290957693</v>
      </c>
      <c r="Y139" s="198">
        <f t="shared" si="29"/>
        <v>1480.5879020865541</v>
      </c>
      <c r="Z139" s="197">
        <f t="shared" si="30"/>
        <v>5.6565947648534254E-3</v>
      </c>
      <c r="AA139" s="185">
        <f t="shared" si="31"/>
        <v>1480.5879020865541</v>
      </c>
      <c r="AB139" s="197">
        <f>VLOOKUP(A139,Table1[[idaar]:[Andel SN]],8,FALSE)</f>
        <v>0.66971670901067837</v>
      </c>
      <c r="AC139" s="197">
        <f>VLOOKUP(A139,Table1[[idaar]:[Andel SN]],9,FALSE)</f>
        <v>0.20186823052971403</v>
      </c>
      <c r="AD139" s="197">
        <f>VLOOKUP(A139,Table1[[idaar]:[Andel SN]],10,FALSE)</f>
        <v>0.12841506045960763</v>
      </c>
      <c r="AE139" s="312">
        <f t="shared" si="32"/>
        <v>991.57445718643146</v>
      </c>
      <c r="AF139" s="312">
        <f t="shared" si="33"/>
        <v>298.88365993791416</v>
      </c>
      <c r="AG139" s="312">
        <f t="shared" si="34"/>
        <v>190.12978496220848</v>
      </c>
    </row>
    <row r="140" spans="1:33" x14ac:dyDescent="0.2">
      <c r="A140">
        <v>2102015</v>
      </c>
      <c r="B140" t="s">
        <v>247</v>
      </c>
      <c r="C140" s="112">
        <f>VLOOKUP(A140,IRData!$A$3:$F$142,6,FALSE)</f>
        <v>66419.344347713093</v>
      </c>
      <c r="D140" s="45">
        <f>C140*Forutsetninger!$C$30</f>
        <v>70271.66631988046</v>
      </c>
      <c r="E140" s="43">
        <f>VLOOKUP($A140,IRData!$A$2:$N$142,7,FALSE)</f>
        <v>37643</v>
      </c>
      <c r="F140" s="43">
        <f>VLOOKUP($A140,IRData!$A$2:$N$142,8,FALSE)</f>
        <v>606179</v>
      </c>
      <c r="G140" s="43">
        <f>VLOOKUP($A140,IRData!$A$2:$N$142,9,FALSE)</f>
        <v>612240.79</v>
      </c>
      <c r="H140" s="43">
        <f>VLOOKUP($A140,IRData!$A$2:$N$142,10,FALSE)</f>
        <v>13405</v>
      </c>
      <c r="I140" s="43">
        <f>VLOOKUP($A140,IRData!$A$2:$N$142,11,FALSE)</f>
        <v>33790</v>
      </c>
      <c r="J140" s="45">
        <f>VLOOKUP(A140,IRData!$A$3:$AF$142,32,FALSE)</f>
        <v>3817.4825100055</v>
      </c>
      <c r="K140" s="45">
        <f>VLOOKUP(A140,IRData!$A$3:$AM$142,37,FALSE)</f>
        <v>9622.732861849001</v>
      </c>
      <c r="L140" s="112">
        <f>VLOOKUP($A140,IRData!$A$2:$N$142,13,FALSE)</f>
        <v>23587</v>
      </c>
      <c r="M140" s="44">
        <f>L140*Forutsetninger!$C$24</f>
        <v>24884.285</v>
      </c>
      <c r="N140" s="112">
        <f>VLOOKUP(A140,IRData!$A$3:$E$142,5,FALSE)*Forutsetninger!$C$30</f>
        <v>205.25200000000001</v>
      </c>
      <c r="O140" s="112">
        <f>VLOOKUP(A140,IRData!$A$3:$AG$142,19,FALSE)*Forutsetninger!$C$24</f>
        <v>0</v>
      </c>
      <c r="P140" s="45">
        <f t="shared" si="28"/>
        <v>146444.41869173496</v>
      </c>
      <c r="Q140" s="45">
        <f>D140+E140+J140+K140+M140+G140*Forutsetninger!$B$6+N140</f>
        <v>183913.55503973496</v>
      </c>
      <c r="R140" s="46">
        <f>IFERROR((VLOOKUP(A140,'DEAnorm D-nett'!$A$4:$H$130,8,FALSE)+O140),0)</f>
        <v>44942.84870280655</v>
      </c>
      <c r="S140" s="21">
        <f>IFERROR((VLOOKUP(A140,'DEAnorm R-nett'!$A$4:$H$85,8,FALSE)+N140+K140),N140+K140)</f>
        <v>82451.259302146587</v>
      </c>
      <c r="T140" s="118">
        <f>IFERROR(VLOOKUP(A140,IRData!$A$3:$AN$142,40,FALSE),0)</f>
        <v>44119.35884644575</v>
      </c>
      <c r="U140" s="47">
        <f>(1-Forutsetninger!$B$4)*Q140+(R140+S140+T140)*Forutsetninger!$B$4</f>
        <v>176473.50212673331</v>
      </c>
      <c r="V140" s="41">
        <f>(R140+S140+T140)-G140*($K$156+$K$150)/Forutsetninger!$B$4</f>
        <v>147120.89567561168</v>
      </c>
      <c r="W140" s="296">
        <f>(1-Forutsetninger!$B$4)*Q140+Forutsetninger!$B$4*V140</f>
        <v>161837.95942126098</v>
      </c>
      <c r="X140" s="185">
        <v>157362.67179385593</v>
      </c>
      <c r="Y140" s="198">
        <f t="shared" si="29"/>
        <v>4475.2876274050504</v>
      </c>
      <c r="Z140" s="197">
        <f t="shared" si="30"/>
        <v>2.8439321577277538E-2</v>
      </c>
      <c r="AA140" s="185">
        <f t="shared" si="31"/>
        <v>4475.2876274050504</v>
      </c>
      <c r="AB140" s="200">
        <v>0.64851116673913978</v>
      </c>
      <c r="AC140" s="200">
        <v>0.27085561392581103</v>
      </c>
      <c r="AD140" s="200">
        <v>8.0633219335049189E-2</v>
      </c>
      <c r="AE140" s="312">
        <f t="shared" si="32"/>
        <v>2902.274000741686</v>
      </c>
      <c r="AF140" s="312">
        <f t="shared" si="33"/>
        <v>1212.1567778153812</v>
      </c>
      <c r="AG140" s="312">
        <f t="shared" si="34"/>
        <v>360.85684884798331</v>
      </c>
    </row>
    <row r="141" spans="1:33" ht="13.5" thickBot="1" x14ac:dyDescent="0.25">
      <c r="A141">
        <v>4842015</v>
      </c>
      <c r="B141" t="s">
        <v>182</v>
      </c>
      <c r="C141" s="112">
        <f>VLOOKUP(A141,IRData!$A$3:$F$142,6,FALSE)</f>
        <v>618.41367272857406</v>
      </c>
      <c r="D141" s="45">
        <f>C141*Forutsetninger!$C$30</f>
        <v>654.28166574683144</v>
      </c>
      <c r="E141" s="43">
        <f>VLOOKUP($A141,IRData!$A$2:$N$142,7,FALSE)</f>
        <v>2766</v>
      </c>
      <c r="F141" s="43">
        <f>VLOOKUP($A141,IRData!$A$2:$N$142,8,FALSE)</f>
        <v>50956</v>
      </c>
      <c r="G141" s="43">
        <f>VLOOKUP($A141,IRData!$A$2:$N$142,9,FALSE)</f>
        <v>51465.56</v>
      </c>
      <c r="H141" s="43">
        <f>VLOOKUP($A141,IRData!$A$2:$N$142,10,FALSE)</f>
        <v>0</v>
      </c>
      <c r="I141" s="43">
        <f>VLOOKUP($A141,IRData!$A$2:$N$142,11,FALSE)</f>
        <v>4125</v>
      </c>
      <c r="J141" s="45">
        <f>VLOOKUP(A141,IRData!$A$3:$AF$142,32,FALSE)</f>
        <v>0</v>
      </c>
      <c r="K141" s="45">
        <f>VLOOKUP(A141,IRData!$A$3:$AM$142,37,FALSE)</f>
        <v>1197.6247535999998</v>
      </c>
      <c r="L141" s="112">
        <f>VLOOKUP($A141,IRData!$A$2:$N$142,13,FALSE)</f>
        <v>0</v>
      </c>
      <c r="M141" s="44">
        <f>L141*Forutsetninger!$C$24</f>
        <v>0</v>
      </c>
      <c r="N141" s="112">
        <f>VLOOKUP(A141,IRData!$A$3:$E$142,5,FALSE)*Forutsetninger!$C$30</f>
        <v>0</v>
      </c>
      <c r="O141" s="112">
        <f>VLOOKUP(A141,IRData!$A$3:$AG$142,19,FALSE)*Forutsetninger!$C$24</f>
        <v>0</v>
      </c>
      <c r="P141" s="45">
        <f t="shared" si="28"/>
        <v>4617.9064193468312</v>
      </c>
      <c r="Q141" s="45">
        <f>D141+E141+J141+K141+M141+G141*Forutsetninger!$B$6+N141</f>
        <v>7767.5986913468314</v>
      </c>
      <c r="R141" s="46">
        <f>IFERROR((VLOOKUP(A141,'DEAnorm D-nett'!$A$4:$H$130,8,FALSE)+O141),0)</f>
        <v>0</v>
      </c>
      <c r="S141" s="21">
        <f>IFERROR((VLOOKUP(A141,'DEAnorm R-nett'!$A$4:$H$85,8,FALSE)+N141+K141),N141+K141)</f>
        <v>6127.886769186106</v>
      </c>
      <c r="T141" s="118">
        <f>IFERROR(VLOOKUP(A141,IRData!$A$3:$AN$142,40,FALSE),0)</f>
        <v>0</v>
      </c>
      <c r="U141" s="47">
        <f>(1-Forutsetninger!$B$4)*Q141+(R141+S141+T141)*Forutsetninger!$B$4</f>
        <v>6783.771538050396</v>
      </c>
      <c r="V141" s="41">
        <f>(R141+S141+T141)-G141*($K$156+$K$150)/Forutsetninger!$B$4</f>
        <v>4077.4233634372881</v>
      </c>
      <c r="W141" s="296">
        <f>(1-Forutsetninger!$B$4)*Q141+Forutsetninger!$B$4*V141</f>
        <v>5553.4934946011053</v>
      </c>
      <c r="X141" s="185">
        <v>5312.0963022935885</v>
      </c>
      <c r="Y141" s="198">
        <f t="shared" si="29"/>
        <v>241.39719230751689</v>
      </c>
      <c r="Z141" s="197">
        <f t="shared" si="30"/>
        <v>4.5442924708140084E-2</v>
      </c>
      <c r="AA141" s="185">
        <f t="shared" si="31"/>
        <v>241.39719230751689</v>
      </c>
      <c r="AB141" s="200">
        <v>0</v>
      </c>
      <c r="AC141" s="200">
        <v>1</v>
      </c>
      <c r="AD141" s="200">
        <v>0</v>
      </c>
      <c r="AE141" s="312">
        <f t="shared" si="32"/>
        <v>0</v>
      </c>
      <c r="AF141" s="312">
        <f t="shared" si="33"/>
        <v>241.39719230751689</v>
      </c>
      <c r="AG141" s="312">
        <f t="shared" si="34"/>
        <v>0</v>
      </c>
    </row>
    <row r="142" spans="1:33" ht="13.5" thickBot="1" x14ac:dyDescent="0.25">
      <c r="A142">
        <v>2492015</v>
      </c>
      <c r="B142" t="s">
        <v>257</v>
      </c>
      <c r="C142" s="112">
        <f>VLOOKUP(A142,IRData!$A$3:$F$142,6,FALSE)</f>
        <v>67115.537621359807</v>
      </c>
      <c r="D142" s="45">
        <f>C142*Forutsetninger!$C$30</f>
        <v>71008.238803398679</v>
      </c>
      <c r="E142" s="43">
        <f>VLOOKUP($A142,IRData!$A$2:$N$142,7,FALSE)</f>
        <v>32403</v>
      </c>
      <c r="F142" s="43">
        <f>VLOOKUP($A142,IRData!$A$2:$N$142,8,FALSE)</f>
        <v>700935</v>
      </c>
      <c r="G142" s="43">
        <f>VLOOKUP($A142,IRData!$A$2:$N$142,9,FALSE)</f>
        <v>707944.35</v>
      </c>
      <c r="H142" s="43">
        <f>VLOOKUP($A142,IRData!$A$2:$N$142,10,FALSE)</f>
        <v>34911</v>
      </c>
      <c r="I142" s="43">
        <f>VLOOKUP($A142,IRData!$A$2:$N$142,11,FALSE)</f>
        <v>18088</v>
      </c>
      <c r="J142" s="45">
        <f>VLOOKUP(A142,IRData!$A$3:$AF$142,32,FALSE)</f>
        <v>8974.2559530753006</v>
      </c>
      <c r="K142" s="45">
        <f>VLOOKUP(A142,IRData!$A$3:$AM$142,37,FALSE)</f>
        <v>4649.7190478424009</v>
      </c>
      <c r="L142" s="112">
        <f>VLOOKUP($A142,IRData!$A$2:$N$142,13,FALSE)</f>
        <v>5116</v>
      </c>
      <c r="M142" s="44">
        <f>L142*Forutsetninger!$C$24</f>
        <v>5397.38</v>
      </c>
      <c r="N142" s="112">
        <f>VLOOKUP(A142,IRData!$A$3:$E$142,5,FALSE)*Forutsetninger!$C$30</f>
        <v>260.26800000000003</v>
      </c>
      <c r="O142" s="112">
        <f>VLOOKUP(A142,IRData!$A$3:$AG$142,19,FALSE)*Forutsetninger!$C$24</f>
        <v>0</v>
      </c>
      <c r="P142" s="45">
        <f t="shared" si="28"/>
        <v>122692.86180431639</v>
      </c>
      <c r="Q142" s="45">
        <f>D142+E142+J142+K142+M142+G142*Forutsetninger!$B$6+N142</f>
        <v>166019.05602431641</v>
      </c>
      <c r="R142" s="46">
        <f>IFERROR((VLOOKUP(A142,'DEAnorm D-nett'!$A$4:$H$130,8,FALSE)+O142),0)</f>
        <v>109551.34026411086</v>
      </c>
      <c r="S142" s="21">
        <f>IFERROR((VLOOKUP(A142,'DEAnorm R-nett'!$A$4:$H$85,8,FALSE)+N142+K142),N142+K142)</f>
        <v>46780.982824244275</v>
      </c>
      <c r="T142" s="118">
        <f>IFERROR(VLOOKUP(A142,IRData!$A$3:$AN$142,40,FALSE),0)</f>
        <v>0</v>
      </c>
      <c r="U142" s="47">
        <f>(1-Forutsetninger!$B$4)*Q142+(R142+S142+T142)*Forutsetninger!$B$4</f>
        <v>160207.01626273963</v>
      </c>
      <c r="V142" s="41">
        <f>(R142+S142+T142)-G142*($K$156+$K$150)/Forutsetninger!$B$4</f>
        <v>128126.78169365092</v>
      </c>
      <c r="W142" s="296">
        <f>(1-Forutsetninger!$B$4)*Q142+Forutsetninger!$B$4*V142</f>
        <v>143283.69142591712</v>
      </c>
      <c r="X142" s="185">
        <v>144209.20049863742</v>
      </c>
      <c r="Y142" s="198">
        <f t="shared" si="29"/>
        <v>-925.50907272030599</v>
      </c>
      <c r="Z142" s="197">
        <f t="shared" si="30"/>
        <v>-6.4178226459902657E-3</v>
      </c>
      <c r="AA142" s="185">
        <f t="shared" si="31"/>
        <v>0</v>
      </c>
      <c r="AB142" s="197">
        <f>VLOOKUP(A142,Table1[[idaar]:[Andel SN]],8,FALSE)</f>
        <v>0.71955980555998589</v>
      </c>
      <c r="AC142" s="197">
        <f>VLOOKUP(A142,Table1[[idaar]:[Andel SN]],9,FALSE)</f>
        <v>0.28044019444001417</v>
      </c>
      <c r="AD142" s="197">
        <f>VLOOKUP(A142,Table1[[idaar]:[Andel SN]],10,FALSE)</f>
        <v>0</v>
      </c>
      <c r="AE142" s="297">
        <f t="shared" ref="AE142:AG142" si="35">SUM(AE2:AE141)</f>
        <v>25611.804949346297</v>
      </c>
      <c r="AF142" s="297">
        <f t="shared" si="35"/>
        <v>9637.0058768395884</v>
      </c>
      <c r="AG142" s="297">
        <f t="shared" si="35"/>
        <v>573.11824823389247</v>
      </c>
    </row>
    <row r="143" spans="1:33" ht="13.5" thickBot="1" x14ac:dyDescent="0.25">
      <c r="C143" s="202">
        <f t="shared" ref="C143:X143" si="36">SUM(C3:C142)</f>
        <v>8263915.706760712</v>
      </c>
      <c r="D143" s="138">
        <f t="shared" si="36"/>
        <v>8743222.8177528288</v>
      </c>
      <c r="E143" s="138">
        <f t="shared" si="36"/>
        <v>3367324</v>
      </c>
      <c r="F143" s="138">
        <f t="shared" si="36"/>
        <v>55395051</v>
      </c>
      <c r="G143" s="138">
        <f t="shared" si="36"/>
        <v>55949001.510000013</v>
      </c>
      <c r="H143" s="138">
        <f t="shared" si="36"/>
        <v>3663384</v>
      </c>
      <c r="I143" s="138">
        <f t="shared" si="36"/>
        <v>2076732</v>
      </c>
      <c r="J143" s="138">
        <f t="shared" si="36"/>
        <v>1036072.2514865272</v>
      </c>
      <c r="K143" s="138">
        <f t="shared" si="36"/>
        <v>585824.94797420758</v>
      </c>
      <c r="L143" s="138">
        <f t="shared" si="36"/>
        <v>817054</v>
      </c>
      <c r="M143" s="138">
        <f t="shared" si="36"/>
        <v>861991.97000000009</v>
      </c>
      <c r="N143" s="138">
        <f t="shared" si="36"/>
        <v>18534.043999999998</v>
      </c>
      <c r="O143" s="138">
        <f t="shared" si="36"/>
        <v>83632.265950000001</v>
      </c>
      <c r="P143" s="139">
        <f t="shared" si="36"/>
        <v>14612970.031213565</v>
      </c>
      <c r="Q143" s="140">
        <f t="shared" si="36"/>
        <v>18037048.923625577</v>
      </c>
      <c r="R143" s="141">
        <f t="shared" si="36"/>
        <v>13553877.958060833</v>
      </c>
      <c r="S143" s="141">
        <f t="shared" si="36"/>
        <v>4107165.5831030859</v>
      </c>
      <c r="T143" s="141">
        <f t="shared" si="36"/>
        <v>365130.7655909707</v>
      </c>
      <c r="U143" s="138">
        <f t="shared" si="36"/>
        <v>18030524.153503157</v>
      </c>
      <c r="V143" s="138">
        <f t="shared" si="36"/>
        <v>15797084.014442116</v>
      </c>
      <c r="W143" s="297">
        <f t="shared" si="36"/>
        <v>16693069.978115501</v>
      </c>
      <c r="X143" s="297">
        <f t="shared" si="36"/>
        <v>16696912.790080883</v>
      </c>
    </row>
    <row r="144" spans="1:33" customFormat="1" ht="23.25" x14ac:dyDescent="0.2">
      <c r="A144" s="60"/>
      <c r="B144" s="60"/>
      <c r="C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178"/>
    </row>
    <row r="145" spans="7:25" x14ac:dyDescent="0.2">
      <c r="V145" s="207"/>
      <c r="W145" s="67"/>
      <c r="Y145" s="209"/>
    </row>
    <row r="146" spans="7:25" ht="13.5" thickBot="1" x14ac:dyDescent="0.25">
      <c r="S146" s="109"/>
      <c r="T146" s="109"/>
      <c r="Y146" s="209"/>
    </row>
    <row r="147" spans="7:25" ht="12.75" customHeight="1" x14ac:dyDescent="0.2">
      <c r="G147" s="254" t="s">
        <v>5</v>
      </c>
      <c r="H147" s="255"/>
      <c r="I147" s="252" t="s">
        <v>48</v>
      </c>
      <c r="J147" s="252"/>
      <c r="K147" s="70">
        <f>U143</f>
        <v>18030524.153503157</v>
      </c>
      <c r="L147" s="66"/>
      <c r="M147" s="66"/>
    </row>
    <row r="148" spans="7:25" x14ac:dyDescent="0.2">
      <c r="G148" s="256"/>
      <c r="H148" s="257"/>
      <c r="I148" s="260" t="s">
        <v>49</v>
      </c>
      <c r="J148" s="260"/>
      <c r="K148" s="71">
        <f>Q143</f>
        <v>18037048.923625577</v>
      </c>
      <c r="L148" s="66"/>
      <c r="M148" s="66"/>
      <c r="T148" s="172"/>
      <c r="U148" s="172"/>
      <c r="V148" s="173"/>
    </row>
    <row r="149" spans="7:25" x14ac:dyDescent="0.2">
      <c r="G149" s="256"/>
      <c r="H149" s="257"/>
      <c r="I149" s="260" t="s">
        <v>50</v>
      </c>
      <c r="J149" s="260"/>
      <c r="K149" s="71">
        <f>K147-K148</f>
        <v>-6524.7701224200428</v>
      </c>
      <c r="L149" s="66"/>
      <c r="M149" s="66"/>
    </row>
    <row r="150" spans="7:25" ht="13.5" thickBot="1" x14ac:dyDescent="0.25">
      <c r="G150" s="258"/>
      <c r="H150" s="259"/>
      <c r="I150" s="253" t="s">
        <v>51</v>
      </c>
      <c r="J150" s="253"/>
      <c r="K150" s="210">
        <f>K149/G143</f>
        <v>-1.1661995650188398E-4</v>
      </c>
      <c r="L150" s="78"/>
      <c r="M150" s="78"/>
    </row>
    <row r="151" spans="7:25" x14ac:dyDescent="0.2">
      <c r="L151" s="159"/>
    </row>
    <row r="152" spans="7:25" x14ac:dyDescent="0.2">
      <c r="I152" s="68"/>
      <c r="J152" s="68"/>
      <c r="K152" s="68"/>
      <c r="L152" s="68"/>
      <c r="M152" s="68"/>
    </row>
    <row r="153" spans="7:25" ht="42.75" customHeight="1" x14ac:dyDescent="0.2">
      <c r="G153" s="243" t="s">
        <v>315</v>
      </c>
      <c r="H153" s="244"/>
      <c r="I153" s="249" t="s">
        <v>301</v>
      </c>
      <c r="J153" s="250"/>
      <c r="K153" s="79">
        <f>'Kostnadsgrunnlag 2015'!M145</f>
        <v>10526034</v>
      </c>
      <c r="L153" s="68"/>
      <c r="U153" s="60"/>
      <c r="V153" s="69"/>
      <c r="W153" s="77"/>
    </row>
    <row r="154" spans="7:25" ht="39" customHeight="1" x14ac:dyDescent="0.2">
      <c r="G154" s="245"/>
      <c r="H154" s="246"/>
      <c r="I154" s="251" t="s">
        <v>319</v>
      </c>
      <c r="J154" s="250"/>
      <c r="K154" s="79">
        <f>'Kostnadsgrunnlag 2015'!M146</f>
        <v>9337086.9070724193</v>
      </c>
      <c r="R154" s="60"/>
      <c r="S154" s="60"/>
      <c r="T154" s="60"/>
      <c r="U154" s="60"/>
      <c r="V154" s="67"/>
      <c r="W154" s="60"/>
    </row>
    <row r="155" spans="7:25" ht="42" customHeight="1" x14ac:dyDescent="0.2">
      <c r="G155" s="245"/>
      <c r="H155" s="246"/>
      <c r="I155" s="249" t="s">
        <v>191</v>
      </c>
      <c r="J155" s="250"/>
      <c r="K155" s="79">
        <f>(K153-K154)*(1+6.32%)*(1+6.32%)</f>
        <v>1343978.9455100817</v>
      </c>
      <c r="L155" s="167"/>
      <c r="R155" s="60"/>
      <c r="S155" s="60"/>
      <c r="T155" s="60"/>
      <c r="U155" s="60"/>
      <c r="V155" s="67"/>
      <c r="W155" s="60"/>
    </row>
    <row r="156" spans="7:25" ht="24" customHeight="1" x14ac:dyDescent="0.2">
      <c r="G156" s="247"/>
      <c r="H156" s="248"/>
      <c r="I156" s="250" t="s">
        <v>41</v>
      </c>
      <c r="J156" s="250"/>
      <c r="K156" s="80">
        <f>K155/G143</f>
        <v>2.4021500102550827E-2</v>
      </c>
      <c r="L156" s="167"/>
      <c r="M156" s="108"/>
      <c r="R156" s="60"/>
      <c r="S156" s="60"/>
      <c r="T156" s="60"/>
      <c r="U156" s="60"/>
      <c r="V156" s="67"/>
      <c r="W156" s="60"/>
    </row>
    <row r="157" spans="7:25" ht="12" customHeight="1" x14ac:dyDescent="0.2">
      <c r="V157" s="67"/>
      <c r="W157" s="67"/>
    </row>
    <row r="158" spans="7:25" x14ac:dyDescent="0.2">
      <c r="U158" s="60"/>
      <c r="V158" s="69"/>
      <c r="W158" s="77"/>
    </row>
    <row r="159" spans="7:25" ht="12.75" customHeight="1" x14ac:dyDescent="0.2"/>
    <row r="160" spans="7:25" x14ac:dyDescent="0.2">
      <c r="S160" s="68"/>
      <c r="T160" s="66"/>
      <c r="U160" s="66"/>
    </row>
    <row r="161" spans="14:23" x14ac:dyDescent="0.2">
      <c r="N161" s="68"/>
      <c r="O161" s="68"/>
      <c r="P161" s="68"/>
      <c r="Q161" s="68"/>
      <c r="R161" s="68"/>
      <c r="S161" s="68"/>
      <c r="T161" s="66"/>
      <c r="U161" s="66"/>
      <c r="V161" s="65"/>
      <c r="W161" s="81"/>
    </row>
    <row r="162" spans="14:23" ht="13.5" customHeight="1" x14ac:dyDescent="0.2">
      <c r="N162" s="68"/>
      <c r="O162" s="68"/>
      <c r="P162" s="68"/>
      <c r="Q162" s="68"/>
      <c r="R162" s="68"/>
      <c r="S162" s="68"/>
      <c r="T162" s="66"/>
      <c r="U162" s="66"/>
      <c r="V162" s="65"/>
      <c r="W162" s="81"/>
    </row>
    <row r="163" spans="14:23" x14ac:dyDescent="0.2">
      <c r="N163" s="68"/>
      <c r="O163" s="68"/>
      <c r="P163" s="68"/>
      <c r="Q163" s="68"/>
      <c r="R163" s="68"/>
      <c r="S163" s="73"/>
      <c r="T163" s="66"/>
      <c r="U163" s="66"/>
      <c r="V163" s="65"/>
      <c r="W163" s="81"/>
    </row>
    <row r="164" spans="14:23" x14ac:dyDescent="0.2">
      <c r="N164" s="73"/>
      <c r="O164" s="73"/>
      <c r="P164" s="73"/>
      <c r="Q164" s="73"/>
      <c r="R164" s="73"/>
      <c r="S164" s="73"/>
      <c r="T164" s="66"/>
      <c r="U164" s="66"/>
      <c r="V164" s="65"/>
      <c r="W164" s="81"/>
    </row>
    <row r="165" spans="14:23" x14ac:dyDescent="0.2">
      <c r="N165" s="73"/>
      <c r="O165" s="73"/>
      <c r="P165" s="73"/>
      <c r="Q165" s="73"/>
      <c r="R165" s="73"/>
      <c r="S165" s="73"/>
      <c r="T165" s="66"/>
      <c r="U165" s="66"/>
      <c r="V165" s="65"/>
      <c r="W165" s="81"/>
    </row>
    <row r="166" spans="14:23" x14ac:dyDescent="0.2">
      <c r="N166" s="73"/>
      <c r="O166" s="73"/>
      <c r="P166" s="73"/>
      <c r="Q166" s="73"/>
      <c r="R166" s="73"/>
      <c r="S166" s="74"/>
      <c r="T166" s="66"/>
      <c r="U166" s="66"/>
      <c r="V166" s="65"/>
      <c r="W166" s="81"/>
    </row>
    <row r="167" spans="14:23" x14ac:dyDescent="0.2">
      <c r="N167" s="74"/>
      <c r="O167" s="74"/>
      <c r="P167" s="74"/>
      <c r="Q167" s="74"/>
      <c r="R167" s="74"/>
      <c r="V167" s="65"/>
      <c r="W167" s="81"/>
    </row>
  </sheetData>
  <autoFilter ref="A2:AG143"/>
  <sortState ref="A3:AB151">
    <sortCondition ref="B3"/>
  </sortState>
  <mergeCells count="14">
    <mergeCell ref="R1:U1"/>
    <mergeCell ref="V1:W1"/>
    <mergeCell ref="A1:B1"/>
    <mergeCell ref="G153:H156"/>
    <mergeCell ref="I153:J153"/>
    <mergeCell ref="I154:J154"/>
    <mergeCell ref="I155:J155"/>
    <mergeCell ref="I156:J156"/>
    <mergeCell ref="I147:J147"/>
    <mergeCell ref="I150:J150"/>
    <mergeCell ref="G147:H150"/>
    <mergeCell ref="I148:J148"/>
    <mergeCell ref="I149:J149"/>
    <mergeCell ref="C1:Q1"/>
  </mergeCells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V154"/>
  <sheetViews>
    <sheetView workbookViewId="0">
      <pane xSplit="2" ySplit="2" topLeftCell="C3" activePane="bottomRight" state="frozen"/>
      <selection activeCell="C2" sqref="C2"/>
      <selection pane="topRight" activeCell="C2" sqref="C2"/>
      <selection pane="bottomLeft" activeCell="C2" sqref="C2"/>
      <selection pane="bottomRight" activeCell="G152" sqref="G152"/>
    </sheetView>
  </sheetViews>
  <sheetFormatPr baseColWidth="10" defaultColWidth="10.85546875" defaultRowHeight="12.75" x14ac:dyDescent="0.2"/>
  <cols>
    <col min="1" max="1" width="8" style="60" bestFit="1" customWidth="1"/>
    <col min="2" max="2" width="48.140625" style="60" customWidth="1"/>
    <col min="3" max="4" width="15.42578125" style="67" customWidth="1"/>
    <col min="5" max="5" width="9.140625" style="67" bestFit="1" customWidth="1"/>
    <col min="6" max="7" width="12.85546875" style="67" bestFit="1" customWidth="1"/>
    <col min="8" max="8" width="10.140625" style="67" customWidth="1"/>
    <col min="9" max="9" width="10.85546875" style="67" customWidth="1"/>
    <col min="10" max="11" width="12" style="67" customWidth="1"/>
    <col min="12" max="12" width="12.7109375" style="67" customWidth="1"/>
    <col min="13" max="13" width="11.5703125" style="67" bestFit="1" customWidth="1"/>
    <col min="14" max="14" width="10.42578125" style="67" customWidth="1"/>
    <col min="15" max="16" width="10.85546875" style="60"/>
    <col min="17" max="17" width="0" style="60" hidden="1" customWidth="1"/>
    <col min="18" max="18" width="10.85546875" style="60"/>
    <col min="19" max="19" width="0" style="60" hidden="1" customWidth="1"/>
    <col min="20" max="16384" width="10.85546875" style="60"/>
  </cols>
  <sheetData>
    <row r="1" spans="1:18" ht="16.5" customHeight="1" thickBot="1" x14ac:dyDescent="0.25">
      <c r="A1" s="264"/>
      <c r="B1" s="265"/>
      <c r="C1" s="278" t="s">
        <v>190</v>
      </c>
      <c r="D1" s="279"/>
      <c r="E1" s="280"/>
      <c r="F1" s="280"/>
      <c r="G1" s="280"/>
      <c r="H1" s="280"/>
      <c r="I1" s="280"/>
      <c r="J1" s="280"/>
      <c r="K1" s="280"/>
      <c r="L1" s="280"/>
      <c r="M1" s="280"/>
      <c r="N1" s="281"/>
    </row>
    <row r="2" spans="1:18" ht="63.75" customHeight="1" thickBot="1" x14ac:dyDescent="0.25">
      <c r="A2" s="142" t="s">
        <v>53</v>
      </c>
      <c r="B2" s="143" t="s">
        <v>189</v>
      </c>
      <c r="C2" s="75" t="s">
        <v>379</v>
      </c>
      <c r="D2" s="75" t="s">
        <v>380</v>
      </c>
      <c r="E2" s="75" t="s">
        <v>59</v>
      </c>
      <c r="F2" s="75" t="s">
        <v>89</v>
      </c>
      <c r="G2" s="75" t="s">
        <v>95</v>
      </c>
      <c r="H2" s="75" t="s">
        <v>88</v>
      </c>
      <c r="I2" s="75" t="s">
        <v>94</v>
      </c>
      <c r="J2" s="75" t="s">
        <v>57</v>
      </c>
      <c r="K2" s="76" t="s">
        <v>97</v>
      </c>
      <c r="L2" s="144" t="s">
        <v>129</v>
      </c>
      <c r="M2" s="120"/>
      <c r="N2"/>
      <c r="R2" s="113"/>
    </row>
    <row r="3" spans="1:18" x14ac:dyDescent="0.2">
      <c r="A3">
        <v>72015</v>
      </c>
      <c r="B3" t="s">
        <v>193</v>
      </c>
      <c r="C3" s="160">
        <v>45305</v>
      </c>
      <c r="D3" s="160">
        <v>2075</v>
      </c>
      <c r="E3" s="170">
        <v>202.82</v>
      </c>
      <c r="F3" s="82">
        <f>VLOOKUP($A3,IRData!$A$3:$Q$142,17,FALSE)</f>
        <v>19067</v>
      </c>
      <c r="G3" s="82">
        <f>VLOOKUP($A3,IRData!$A$3:$W$142,23,FALSE)</f>
        <v>8708</v>
      </c>
      <c r="H3" s="83">
        <f t="shared" ref="H3" si="0">E3*F3/1000</f>
        <v>3867.16894</v>
      </c>
      <c r="I3" s="83">
        <f t="shared" ref="I3" si="1">E3*G3/1000</f>
        <v>1766.1565600000001</v>
      </c>
      <c r="J3" s="82">
        <f>VLOOKUP($A3,IRData!$A$3:$M$142,13,FALSE)</f>
        <v>1755</v>
      </c>
      <c r="K3" s="82">
        <f>VLOOKUP($A3,IRData!$A$3:$M$142,5,FALSE)</f>
        <v>0</v>
      </c>
      <c r="L3" s="84">
        <f>C3+H3+I3+J3-D3</f>
        <v>50618.325500000006</v>
      </c>
      <c r="M3" s="161"/>
      <c r="N3" s="168"/>
    </row>
    <row r="4" spans="1:18" x14ac:dyDescent="0.2">
      <c r="A4">
        <v>92015</v>
      </c>
      <c r="B4" t="s">
        <v>194</v>
      </c>
      <c r="C4" s="160">
        <v>16638</v>
      </c>
      <c r="D4" s="160">
        <v>0</v>
      </c>
      <c r="E4" s="170">
        <v>202.82</v>
      </c>
      <c r="F4" s="82">
        <f>VLOOKUP($A4,IRData!$A$3:$Q$142,17,FALSE)</f>
        <v>4250</v>
      </c>
      <c r="G4" s="82">
        <f>VLOOKUP($A4,IRData!$A$3:$W$142,23,FALSE)</f>
        <v>2833</v>
      </c>
      <c r="H4" s="83">
        <f t="shared" ref="H4:H67" si="2">E4*F4/1000</f>
        <v>861.98500000000001</v>
      </c>
      <c r="I4" s="83">
        <f t="shared" ref="I4:I67" si="3">E4*G4/1000</f>
        <v>574.5890599999999</v>
      </c>
      <c r="J4" s="82">
        <f>VLOOKUP($A4,IRData!$A$3:$M$142,13,FALSE)</f>
        <v>3181</v>
      </c>
      <c r="K4" s="82">
        <f>VLOOKUP($A4,IRData!$A$3:$M$142,5,FALSE)</f>
        <v>0</v>
      </c>
      <c r="L4" s="84">
        <f t="shared" ref="L4:L67" si="4">C4+H4+I4+J4-D4</f>
        <v>21255.574059999999</v>
      </c>
      <c r="M4" s="161"/>
      <c r="N4" s="168"/>
    </row>
    <row r="5" spans="1:18" x14ac:dyDescent="0.2">
      <c r="A5">
        <v>102015</v>
      </c>
      <c r="B5" t="s">
        <v>160</v>
      </c>
      <c r="C5" s="160">
        <v>363</v>
      </c>
      <c r="D5" s="160">
        <v>0</v>
      </c>
      <c r="E5" s="170">
        <v>198.22</v>
      </c>
      <c r="F5" s="82">
        <f>VLOOKUP($A5,IRData!$A$3:$Q$142,17,FALSE)</f>
        <v>431</v>
      </c>
      <c r="G5" s="82">
        <f>VLOOKUP($A5,IRData!$A$3:$W$142,23,FALSE)</f>
        <v>3885</v>
      </c>
      <c r="H5" s="83">
        <f t="shared" si="2"/>
        <v>85.432819999999992</v>
      </c>
      <c r="I5" s="83">
        <f t="shared" si="3"/>
        <v>770.0847</v>
      </c>
      <c r="J5" s="82">
        <f>VLOOKUP($A5,IRData!$A$3:$M$142,13,FALSE)</f>
        <v>0</v>
      </c>
      <c r="K5" s="82">
        <f>VLOOKUP($A5,IRData!$A$3:$M$142,5,FALSE)</f>
        <v>0</v>
      </c>
      <c r="L5" s="84">
        <f t="shared" si="4"/>
        <v>1218.5175199999999</v>
      </c>
      <c r="M5" s="161"/>
      <c r="N5" s="168"/>
    </row>
    <row r="6" spans="1:18" x14ac:dyDescent="0.2">
      <c r="A6">
        <v>142015</v>
      </c>
      <c r="B6" t="s">
        <v>195</v>
      </c>
      <c r="C6" s="160">
        <v>23013</v>
      </c>
      <c r="D6" s="160">
        <v>46</v>
      </c>
      <c r="E6" s="170">
        <v>197.77</v>
      </c>
      <c r="F6" s="82">
        <f>VLOOKUP($A6,IRData!$A$3:$Q$142,17,FALSE)</f>
        <v>17024</v>
      </c>
      <c r="G6" s="82">
        <f>VLOOKUP($A6,IRData!$A$3:$W$142,23,FALSE)</f>
        <v>3993</v>
      </c>
      <c r="H6" s="83">
        <f t="shared" si="2"/>
        <v>3366.8364799999999</v>
      </c>
      <c r="I6" s="83">
        <f t="shared" si="3"/>
        <v>789.69560999999999</v>
      </c>
      <c r="J6" s="82">
        <f>VLOOKUP($A6,IRData!$A$3:$M$142,13,FALSE)</f>
        <v>4099</v>
      </c>
      <c r="K6" s="82">
        <f>VLOOKUP($A6,IRData!$A$3:$M$142,5,FALSE)</f>
        <v>0</v>
      </c>
      <c r="L6" s="84">
        <f t="shared" si="4"/>
        <v>31222.532089999997</v>
      </c>
      <c r="M6" s="161"/>
      <c r="N6" s="168"/>
    </row>
    <row r="7" spans="1:18" x14ac:dyDescent="0.2">
      <c r="A7">
        <v>162015</v>
      </c>
      <c r="B7" t="s">
        <v>196</v>
      </c>
      <c r="C7" s="160">
        <v>19807</v>
      </c>
      <c r="D7" s="160">
        <v>812</v>
      </c>
      <c r="E7" s="170">
        <v>197.77</v>
      </c>
      <c r="F7" s="82">
        <f>VLOOKUP($A7,IRData!$A$3:$Q$142,17,FALSE)</f>
        <v>9406</v>
      </c>
      <c r="G7" s="82">
        <f>VLOOKUP($A7,IRData!$A$3:$W$142,23,FALSE)</f>
        <v>0</v>
      </c>
      <c r="H7" s="83">
        <f t="shared" si="2"/>
        <v>1860.2246200000002</v>
      </c>
      <c r="I7" s="83">
        <f t="shared" si="3"/>
        <v>0</v>
      </c>
      <c r="J7" s="82">
        <f>VLOOKUP($A7,IRData!$A$3:$M$142,13,FALSE)</f>
        <v>479</v>
      </c>
      <c r="K7" s="82">
        <f>VLOOKUP($A7,IRData!$A$3:$M$142,5,FALSE)</f>
        <v>0</v>
      </c>
      <c r="L7" s="84">
        <f t="shared" si="4"/>
        <v>21334.224620000001</v>
      </c>
      <c r="M7" s="161"/>
      <c r="N7" s="168"/>
    </row>
    <row r="8" spans="1:18" x14ac:dyDescent="0.2">
      <c r="A8">
        <v>182015</v>
      </c>
      <c r="B8" t="s">
        <v>161</v>
      </c>
      <c r="C8" s="160">
        <v>10777</v>
      </c>
      <c r="D8" s="160">
        <v>179</v>
      </c>
      <c r="E8" s="170">
        <v>202.82</v>
      </c>
      <c r="F8" s="82">
        <f>VLOOKUP($A8,IRData!$A$3:$Q$142,17,FALSE)</f>
        <v>3900</v>
      </c>
      <c r="G8" s="82">
        <f>VLOOKUP($A8,IRData!$A$3:$W$142,23,FALSE)</f>
        <v>48</v>
      </c>
      <c r="H8" s="83">
        <f t="shared" si="2"/>
        <v>790.99800000000005</v>
      </c>
      <c r="I8" s="83">
        <f t="shared" si="3"/>
        <v>9.73536</v>
      </c>
      <c r="J8" s="82">
        <f>VLOOKUP($A8,IRData!$A$3:$M$142,13,FALSE)</f>
        <v>578</v>
      </c>
      <c r="K8" s="82">
        <f>VLOOKUP($A8,IRData!$A$3:$M$142,5,FALSE)</f>
        <v>0</v>
      </c>
      <c r="L8" s="84">
        <f t="shared" si="4"/>
        <v>11976.73336</v>
      </c>
      <c r="M8" s="161"/>
      <c r="N8" s="168"/>
    </row>
    <row r="9" spans="1:18" x14ac:dyDescent="0.2">
      <c r="A9">
        <v>222015</v>
      </c>
      <c r="B9" t="s">
        <v>197</v>
      </c>
      <c r="C9" s="160">
        <v>5691</v>
      </c>
      <c r="D9" s="160">
        <v>0</v>
      </c>
      <c r="E9" s="170">
        <v>202.82</v>
      </c>
      <c r="F9" s="82">
        <f>VLOOKUP($A9,IRData!$A$3:$Q$142,17,FALSE)</f>
        <v>1896</v>
      </c>
      <c r="G9" s="82">
        <f>VLOOKUP($A9,IRData!$A$3:$W$142,23,FALSE)</f>
        <v>0</v>
      </c>
      <c r="H9" s="83">
        <f t="shared" si="2"/>
        <v>384.54671999999999</v>
      </c>
      <c r="I9" s="83">
        <f t="shared" si="3"/>
        <v>0</v>
      </c>
      <c r="J9" s="82">
        <f>VLOOKUP($A9,IRData!$A$3:$M$142,13,FALSE)</f>
        <v>350</v>
      </c>
      <c r="K9" s="82">
        <f>VLOOKUP($A9,IRData!$A$3:$M$142,5,FALSE)</f>
        <v>0</v>
      </c>
      <c r="L9" s="84">
        <f t="shared" si="4"/>
        <v>6425.5467200000003</v>
      </c>
      <c r="M9" s="161"/>
      <c r="N9" s="168"/>
    </row>
    <row r="10" spans="1:18" x14ac:dyDescent="0.2">
      <c r="A10">
        <v>322015</v>
      </c>
      <c r="B10" t="s">
        <v>198</v>
      </c>
      <c r="C10" s="160">
        <v>61930</v>
      </c>
      <c r="D10" s="160">
        <v>101</v>
      </c>
      <c r="E10" s="170">
        <v>198.74</v>
      </c>
      <c r="F10" s="82">
        <f>VLOOKUP($A10,IRData!$A$3:$Q$142,17,FALSE)</f>
        <v>60279</v>
      </c>
      <c r="G10" s="82">
        <f>VLOOKUP($A10,IRData!$A$3:$W$142,23,FALSE)</f>
        <v>0</v>
      </c>
      <c r="H10" s="83">
        <f t="shared" si="2"/>
        <v>11979.848460000001</v>
      </c>
      <c r="I10" s="83">
        <f t="shared" si="3"/>
        <v>0</v>
      </c>
      <c r="J10" s="82">
        <f>VLOOKUP($A10,IRData!$A$3:$M$142,13,FALSE)</f>
        <v>2815</v>
      </c>
      <c r="K10" s="82">
        <f>VLOOKUP($A10,IRData!$A$3:$M$142,5,FALSE)</f>
        <v>0</v>
      </c>
      <c r="L10" s="84">
        <f t="shared" si="4"/>
        <v>76623.848460000008</v>
      </c>
      <c r="M10" s="161"/>
      <c r="N10" s="168"/>
    </row>
    <row r="11" spans="1:18" x14ac:dyDescent="0.2">
      <c r="A11">
        <v>352015</v>
      </c>
      <c r="B11" t="s">
        <v>162</v>
      </c>
      <c r="C11" s="160">
        <v>11970</v>
      </c>
      <c r="D11" s="160">
        <v>12</v>
      </c>
      <c r="E11" s="170">
        <v>198.22</v>
      </c>
      <c r="F11" s="82">
        <f>VLOOKUP($A11,IRData!$A$3:$Q$142,17,FALSE)</f>
        <v>5276</v>
      </c>
      <c r="G11" s="82">
        <f>VLOOKUP($A11,IRData!$A$3:$W$142,23,FALSE)</f>
        <v>0</v>
      </c>
      <c r="H11" s="83">
        <f t="shared" si="2"/>
        <v>1045.80872</v>
      </c>
      <c r="I11" s="83">
        <f t="shared" si="3"/>
        <v>0</v>
      </c>
      <c r="J11" s="82">
        <f>VLOOKUP($A11,IRData!$A$3:$M$142,13,FALSE)</f>
        <v>811</v>
      </c>
      <c r="K11" s="82">
        <f>VLOOKUP($A11,IRData!$A$3:$M$142,5,FALSE)</f>
        <v>0</v>
      </c>
      <c r="L11" s="84">
        <f t="shared" si="4"/>
        <v>13814.808720000001</v>
      </c>
      <c r="M11" s="161"/>
      <c r="N11" s="168"/>
    </row>
    <row r="12" spans="1:18" x14ac:dyDescent="0.2">
      <c r="A12">
        <v>372015</v>
      </c>
      <c r="B12" t="s">
        <v>199</v>
      </c>
      <c r="C12" s="160">
        <v>39309</v>
      </c>
      <c r="D12" s="160">
        <v>0</v>
      </c>
      <c r="E12" s="170">
        <v>198.74</v>
      </c>
      <c r="F12" s="82">
        <f>VLOOKUP($A12,IRData!$A$3:$Q$142,17,FALSE)</f>
        <v>19164</v>
      </c>
      <c r="G12" s="82">
        <f>VLOOKUP($A12,IRData!$A$3:$W$142,23,FALSE)</f>
        <v>19099</v>
      </c>
      <c r="H12" s="83">
        <f t="shared" si="2"/>
        <v>3808.6533600000002</v>
      </c>
      <c r="I12" s="83">
        <f t="shared" si="3"/>
        <v>3795.7352600000004</v>
      </c>
      <c r="J12" s="82">
        <f>VLOOKUP($A12,IRData!$A$3:$M$142,13,FALSE)</f>
        <v>1301</v>
      </c>
      <c r="K12" s="82">
        <f>VLOOKUP($A12,IRData!$A$3:$M$142,5,FALSE)</f>
        <v>0</v>
      </c>
      <c r="L12" s="84">
        <f t="shared" si="4"/>
        <v>48214.388619999998</v>
      </c>
      <c r="M12" s="161"/>
      <c r="N12" s="168"/>
    </row>
    <row r="13" spans="1:18" x14ac:dyDescent="0.2">
      <c r="A13">
        <v>412015</v>
      </c>
      <c r="B13" t="s">
        <v>163</v>
      </c>
      <c r="C13" s="160">
        <v>9434</v>
      </c>
      <c r="D13" s="160">
        <v>0</v>
      </c>
      <c r="E13" s="170">
        <v>198.22</v>
      </c>
      <c r="F13" s="82">
        <f>VLOOKUP($A13,IRData!$A$3:$Q$142,17,FALSE)</f>
        <v>3674</v>
      </c>
      <c r="G13" s="82">
        <f>VLOOKUP($A13,IRData!$A$3:$W$142,23,FALSE)</f>
        <v>0</v>
      </c>
      <c r="H13" s="83">
        <f t="shared" si="2"/>
        <v>728.26028000000008</v>
      </c>
      <c r="I13" s="83">
        <f t="shared" si="3"/>
        <v>0</v>
      </c>
      <c r="J13" s="82">
        <f>VLOOKUP($A13,IRData!$A$3:$M$142,13,FALSE)</f>
        <v>694</v>
      </c>
      <c r="K13" s="82">
        <f>VLOOKUP($A13,IRData!$A$3:$M$142,5,FALSE)</f>
        <v>0</v>
      </c>
      <c r="L13" s="84">
        <f t="shared" si="4"/>
        <v>10856.26028</v>
      </c>
      <c r="M13" s="161"/>
      <c r="N13" s="168"/>
    </row>
    <row r="14" spans="1:18" x14ac:dyDescent="0.2">
      <c r="A14">
        <v>422015</v>
      </c>
      <c r="B14" t="s">
        <v>200</v>
      </c>
      <c r="C14" s="160">
        <v>29320</v>
      </c>
      <c r="D14" s="160">
        <v>32</v>
      </c>
      <c r="E14" s="170">
        <v>202.82</v>
      </c>
      <c r="F14" s="82">
        <f>VLOOKUP($A14,IRData!$A$3:$Q$142,17,FALSE)</f>
        <v>11292</v>
      </c>
      <c r="G14" s="82">
        <f>VLOOKUP($A14,IRData!$A$3:$W$142,23,FALSE)</f>
        <v>0</v>
      </c>
      <c r="H14" s="83">
        <f t="shared" si="2"/>
        <v>2290.2434399999997</v>
      </c>
      <c r="I14" s="83">
        <f t="shared" si="3"/>
        <v>0</v>
      </c>
      <c r="J14" s="82">
        <f>VLOOKUP($A14,IRData!$A$3:$M$142,13,FALSE)</f>
        <v>1243</v>
      </c>
      <c r="K14" s="82">
        <f>VLOOKUP($A14,IRData!$A$3:$M$142,5,FALSE)</f>
        <v>0</v>
      </c>
      <c r="L14" s="84">
        <f t="shared" si="4"/>
        <v>32821.243439999998</v>
      </c>
      <c r="M14" s="161"/>
      <c r="N14" s="168"/>
    </row>
    <row r="15" spans="1:18" x14ac:dyDescent="0.2">
      <c r="A15">
        <v>432015</v>
      </c>
      <c r="B15" t="s">
        <v>201</v>
      </c>
      <c r="C15" s="160">
        <v>24580</v>
      </c>
      <c r="D15" s="160">
        <v>14</v>
      </c>
      <c r="E15" s="170">
        <v>197.77</v>
      </c>
      <c r="F15" s="82">
        <f>VLOOKUP($A15,IRData!$A$3:$Q$142,17,FALSE)</f>
        <v>9610</v>
      </c>
      <c r="G15" s="82">
        <f>VLOOKUP($A15,IRData!$A$3:$W$142,23,FALSE)</f>
        <v>0</v>
      </c>
      <c r="H15" s="83">
        <f t="shared" si="2"/>
        <v>1900.5697000000002</v>
      </c>
      <c r="I15" s="83">
        <f t="shared" si="3"/>
        <v>0</v>
      </c>
      <c r="J15" s="82">
        <f>VLOOKUP($A15,IRData!$A$3:$M$142,13,FALSE)</f>
        <v>811</v>
      </c>
      <c r="K15" s="82">
        <f>VLOOKUP($A15,IRData!$A$3:$M$142,5,FALSE)</f>
        <v>0</v>
      </c>
      <c r="L15" s="84">
        <f t="shared" si="4"/>
        <v>27277.5697</v>
      </c>
      <c r="M15" s="161"/>
      <c r="N15" s="168"/>
    </row>
    <row r="16" spans="1:18" x14ac:dyDescent="0.2">
      <c r="A16">
        <v>452015</v>
      </c>
      <c r="B16" t="s">
        <v>202</v>
      </c>
      <c r="C16" s="160">
        <v>14756</v>
      </c>
      <c r="D16" s="160">
        <v>70</v>
      </c>
      <c r="E16" s="170">
        <v>197.77</v>
      </c>
      <c r="F16" s="82">
        <f>VLOOKUP($A16,IRData!$A$3:$Q$142,17,FALSE)</f>
        <v>5268</v>
      </c>
      <c r="G16" s="82">
        <f>VLOOKUP($A16,IRData!$A$3:$W$142,23,FALSE)</f>
        <v>0</v>
      </c>
      <c r="H16" s="83">
        <f t="shared" si="2"/>
        <v>1041.8523600000001</v>
      </c>
      <c r="I16" s="83">
        <f t="shared" si="3"/>
        <v>0</v>
      </c>
      <c r="J16" s="82">
        <f>VLOOKUP($A16,IRData!$A$3:$M$142,13,FALSE)</f>
        <v>791</v>
      </c>
      <c r="K16" s="82">
        <f>VLOOKUP($A16,IRData!$A$3:$M$142,5,FALSE)</f>
        <v>0</v>
      </c>
      <c r="L16" s="84">
        <f t="shared" si="4"/>
        <v>16518.852360000001</v>
      </c>
      <c r="M16" s="161"/>
      <c r="N16" s="168"/>
    </row>
    <row r="17" spans="1:14" x14ac:dyDescent="0.2">
      <c r="A17">
        <v>462015</v>
      </c>
      <c r="B17" t="s">
        <v>203</v>
      </c>
      <c r="C17" s="160">
        <v>8905</v>
      </c>
      <c r="D17" s="160">
        <v>0</v>
      </c>
      <c r="E17" s="170">
        <v>197.77</v>
      </c>
      <c r="F17" s="82">
        <f>VLOOKUP($A17,IRData!$A$3:$Q$142,17,FALSE)</f>
        <v>2428</v>
      </c>
      <c r="G17" s="82">
        <f>VLOOKUP($A17,IRData!$A$3:$W$142,23,FALSE)</f>
        <v>0</v>
      </c>
      <c r="H17" s="83">
        <f t="shared" si="2"/>
        <v>480.18556000000001</v>
      </c>
      <c r="I17" s="83">
        <f t="shared" si="3"/>
        <v>0</v>
      </c>
      <c r="J17" s="82">
        <f>VLOOKUP($A17,IRData!$A$3:$M$142,13,FALSE)</f>
        <v>460</v>
      </c>
      <c r="K17" s="82">
        <f>VLOOKUP($A17,IRData!$A$3:$M$142,5,FALSE)</f>
        <v>0</v>
      </c>
      <c r="L17" s="84">
        <f t="shared" si="4"/>
        <v>9845.1855599999999</v>
      </c>
      <c r="M17" s="161"/>
      <c r="N17" s="168"/>
    </row>
    <row r="18" spans="1:14" x14ac:dyDescent="0.2">
      <c r="A18">
        <v>522015</v>
      </c>
      <c r="B18" t="s">
        <v>204</v>
      </c>
      <c r="C18" s="160">
        <v>7812</v>
      </c>
      <c r="D18" s="160">
        <v>33</v>
      </c>
      <c r="E18" s="170">
        <v>198.22</v>
      </c>
      <c r="F18" s="82">
        <f>VLOOKUP($A18,IRData!$A$3:$Q$142,17,FALSE)</f>
        <v>2829</v>
      </c>
      <c r="G18" s="82">
        <f>VLOOKUP($A18,IRData!$A$3:$W$142,23,FALSE)</f>
        <v>0</v>
      </c>
      <c r="H18" s="83">
        <f t="shared" si="2"/>
        <v>560.76437999999996</v>
      </c>
      <c r="I18" s="83">
        <f t="shared" si="3"/>
        <v>0</v>
      </c>
      <c r="J18" s="82">
        <f>VLOOKUP($A18,IRData!$A$3:$M$142,13,FALSE)</f>
        <v>209</v>
      </c>
      <c r="K18" s="82">
        <f>VLOOKUP($A18,IRData!$A$3:$M$142,5,FALSE)</f>
        <v>0</v>
      </c>
      <c r="L18" s="84">
        <f t="shared" si="4"/>
        <v>8548.7643800000005</v>
      </c>
      <c r="M18" s="161"/>
      <c r="N18" s="168"/>
    </row>
    <row r="19" spans="1:14" x14ac:dyDescent="0.2">
      <c r="A19">
        <v>532015</v>
      </c>
      <c r="B19" t="s">
        <v>205</v>
      </c>
      <c r="C19" s="160">
        <v>30973</v>
      </c>
      <c r="D19" s="160">
        <v>192</v>
      </c>
      <c r="E19" s="170">
        <v>209.99</v>
      </c>
      <c r="F19" s="82">
        <f>VLOOKUP($A19,IRData!$A$3:$Q$142,17,FALSE)</f>
        <v>11598</v>
      </c>
      <c r="G19" s="82">
        <f>VLOOKUP($A19,IRData!$A$3:$W$142,23,FALSE)</f>
        <v>0</v>
      </c>
      <c r="H19" s="83">
        <f t="shared" si="2"/>
        <v>2435.4640199999999</v>
      </c>
      <c r="I19" s="83">
        <f t="shared" si="3"/>
        <v>0</v>
      </c>
      <c r="J19" s="82">
        <f>VLOOKUP($A19,IRData!$A$3:$M$142,13,FALSE)</f>
        <v>2438</v>
      </c>
      <c r="K19" s="82">
        <f>VLOOKUP($A19,IRData!$A$3:$M$142,5,FALSE)</f>
        <v>0</v>
      </c>
      <c r="L19" s="84">
        <f t="shared" si="4"/>
        <v>35654.464019999999</v>
      </c>
      <c r="M19" s="161"/>
      <c r="N19" s="168"/>
    </row>
    <row r="20" spans="1:14" x14ac:dyDescent="0.2">
      <c r="A20">
        <v>552015</v>
      </c>
      <c r="B20" t="s">
        <v>206</v>
      </c>
      <c r="C20" s="160">
        <v>18796</v>
      </c>
      <c r="D20" s="160">
        <v>0</v>
      </c>
      <c r="E20" s="170">
        <v>197.77</v>
      </c>
      <c r="F20" s="82">
        <f>VLOOKUP($A20,IRData!$A$3:$Q$142,17,FALSE)</f>
        <v>6580</v>
      </c>
      <c r="G20" s="82">
        <f>VLOOKUP($A20,IRData!$A$3:$W$142,23,FALSE)</f>
        <v>0</v>
      </c>
      <c r="H20" s="83">
        <f t="shared" si="2"/>
        <v>1301.3266000000001</v>
      </c>
      <c r="I20" s="83">
        <f t="shared" si="3"/>
        <v>0</v>
      </c>
      <c r="J20" s="82">
        <f>VLOOKUP($A20,IRData!$A$3:$M$142,13,FALSE)</f>
        <v>697</v>
      </c>
      <c r="K20" s="82">
        <f>VLOOKUP($A20,IRData!$A$3:$M$142,5,FALSE)</f>
        <v>0</v>
      </c>
      <c r="L20" s="84">
        <f t="shared" si="4"/>
        <v>20794.3266</v>
      </c>
      <c r="M20" s="161"/>
      <c r="N20" s="168"/>
    </row>
    <row r="21" spans="1:14" x14ac:dyDescent="0.2">
      <c r="A21">
        <v>562015</v>
      </c>
      <c r="B21" t="s">
        <v>207</v>
      </c>
      <c r="C21" s="160">
        <v>50622</v>
      </c>
      <c r="D21" s="160">
        <v>0</v>
      </c>
      <c r="E21" s="170">
        <v>197.77</v>
      </c>
      <c r="F21" s="82">
        <f>VLOOKUP($A21,IRData!$A$3:$Q$142,17,FALSE)</f>
        <v>24411</v>
      </c>
      <c r="G21" s="82">
        <f>VLOOKUP($A21,IRData!$A$3:$W$142,23,FALSE)</f>
        <v>14003</v>
      </c>
      <c r="H21" s="83">
        <f t="shared" si="2"/>
        <v>4827.7634700000008</v>
      </c>
      <c r="I21" s="83">
        <f t="shared" si="3"/>
        <v>2769.3733099999999</v>
      </c>
      <c r="J21" s="82">
        <f>VLOOKUP($A21,IRData!$A$3:$M$142,13,FALSE)</f>
        <v>4899</v>
      </c>
      <c r="K21" s="82">
        <f>VLOOKUP($A21,IRData!$A$3:$M$142,5,FALSE)</f>
        <v>0</v>
      </c>
      <c r="L21" s="84">
        <f t="shared" si="4"/>
        <v>63118.136780000001</v>
      </c>
      <c r="M21" s="161"/>
      <c r="N21" s="168"/>
    </row>
    <row r="22" spans="1:14" x14ac:dyDescent="0.2">
      <c r="A22">
        <v>622015</v>
      </c>
      <c r="B22" t="s">
        <v>208</v>
      </c>
      <c r="C22" s="160">
        <v>31053</v>
      </c>
      <c r="D22" s="160">
        <v>595</v>
      </c>
      <c r="E22" s="170">
        <v>198.74</v>
      </c>
      <c r="F22" s="82">
        <f>VLOOKUP($A22,IRData!$A$3:$Q$142,17,FALSE)</f>
        <v>23500</v>
      </c>
      <c r="G22" s="82">
        <f>VLOOKUP($A22,IRData!$A$3:$W$142,23,FALSE)</f>
        <v>3135</v>
      </c>
      <c r="H22" s="83">
        <f t="shared" si="2"/>
        <v>4670.3900000000003</v>
      </c>
      <c r="I22" s="83">
        <f t="shared" si="3"/>
        <v>623.04989999999998</v>
      </c>
      <c r="J22" s="82">
        <f>VLOOKUP($A22,IRData!$A$3:$M$142,13,FALSE)</f>
        <v>1693</v>
      </c>
      <c r="K22" s="82">
        <f>VLOOKUP($A22,IRData!$A$3:$M$142,5,FALSE)</f>
        <v>0</v>
      </c>
      <c r="L22" s="84">
        <f t="shared" si="4"/>
        <v>37444.439899999998</v>
      </c>
      <c r="M22" s="161"/>
      <c r="N22" s="168"/>
    </row>
    <row r="23" spans="1:14" x14ac:dyDescent="0.2">
      <c r="A23">
        <v>632015</v>
      </c>
      <c r="B23" t="s">
        <v>369</v>
      </c>
      <c r="C23" s="160">
        <v>29522</v>
      </c>
      <c r="D23" s="160">
        <v>806</v>
      </c>
      <c r="E23" s="170">
        <v>202.82</v>
      </c>
      <c r="F23" s="82">
        <f>VLOOKUP($A23,IRData!$A$3:$Q$142,17,FALSE)</f>
        <v>8161</v>
      </c>
      <c r="G23" s="82">
        <f>VLOOKUP($A23,IRData!$A$3:$W$142,23,FALSE)</f>
        <v>1014</v>
      </c>
      <c r="H23" s="83">
        <f t="shared" si="2"/>
        <v>1655.2140200000001</v>
      </c>
      <c r="I23" s="83">
        <f t="shared" si="3"/>
        <v>205.65947999999997</v>
      </c>
      <c r="J23" s="82">
        <f>VLOOKUP($A23,IRData!$A$3:$M$142,13,FALSE)</f>
        <v>2387</v>
      </c>
      <c r="K23" s="82">
        <f>VLOOKUP($A23,IRData!$A$3:$M$142,5,FALSE)</f>
        <v>0</v>
      </c>
      <c r="L23" s="84">
        <f t="shared" si="4"/>
        <v>32963.873500000002</v>
      </c>
      <c r="M23" s="161"/>
      <c r="N23" s="168"/>
    </row>
    <row r="24" spans="1:14" x14ac:dyDescent="0.2">
      <c r="A24">
        <v>652015</v>
      </c>
      <c r="B24" t="s">
        <v>210</v>
      </c>
      <c r="C24" s="160">
        <v>45573</v>
      </c>
      <c r="D24" s="160">
        <v>2165</v>
      </c>
      <c r="E24" s="170">
        <v>202.82</v>
      </c>
      <c r="F24" s="82">
        <f>VLOOKUP($A24,IRData!$A$3:$Q$142,17,FALSE)</f>
        <v>13630</v>
      </c>
      <c r="G24" s="82">
        <f>VLOOKUP($A24,IRData!$A$3:$W$142,23,FALSE)</f>
        <v>5369</v>
      </c>
      <c r="H24" s="83">
        <f t="shared" si="2"/>
        <v>2764.4366</v>
      </c>
      <c r="I24" s="83">
        <f t="shared" si="3"/>
        <v>1088.9405800000002</v>
      </c>
      <c r="J24" s="82">
        <f>VLOOKUP($A24,IRData!$A$3:$M$142,13,FALSE)</f>
        <v>3912</v>
      </c>
      <c r="K24" s="82">
        <f>VLOOKUP($A24,IRData!$A$3:$M$142,5,FALSE)</f>
        <v>0</v>
      </c>
      <c r="L24" s="84">
        <f t="shared" si="4"/>
        <v>51173.377180000003</v>
      </c>
      <c r="M24" s="161"/>
      <c r="N24" s="168"/>
    </row>
    <row r="25" spans="1:14" x14ac:dyDescent="0.2">
      <c r="A25">
        <v>712015</v>
      </c>
      <c r="B25" t="s">
        <v>211</v>
      </c>
      <c r="C25" s="160">
        <v>175148</v>
      </c>
      <c r="D25" s="160">
        <v>4319</v>
      </c>
      <c r="E25" s="170">
        <v>202.82</v>
      </c>
      <c r="F25" s="82">
        <f>VLOOKUP($A25,IRData!$A$3:$Q$142,17,FALSE)</f>
        <v>85535</v>
      </c>
      <c r="G25" s="82">
        <f>VLOOKUP($A25,IRData!$A$3:$W$142,23,FALSE)</f>
        <v>62821</v>
      </c>
      <c r="H25" s="83">
        <f t="shared" si="2"/>
        <v>17348.208699999999</v>
      </c>
      <c r="I25" s="83">
        <f t="shared" si="3"/>
        <v>12741.355219999999</v>
      </c>
      <c r="J25" s="82">
        <f>VLOOKUP($A25,IRData!$A$3:$M$142,13,FALSE)</f>
        <v>43416</v>
      </c>
      <c r="K25" s="82">
        <f>VLOOKUP($A25,IRData!$A$3:$M$142,5,FALSE)</f>
        <v>72</v>
      </c>
      <c r="L25" s="84">
        <f t="shared" si="4"/>
        <v>244334.56391999999</v>
      </c>
      <c r="M25" s="161"/>
      <c r="N25" s="168"/>
    </row>
    <row r="26" spans="1:14" x14ac:dyDescent="0.2">
      <c r="A26">
        <v>722015</v>
      </c>
      <c r="B26" t="s">
        <v>351</v>
      </c>
      <c r="C26" s="160">
        <v>19524</v>
      </c>
      <c r="D26" s="160">
        <v>182</v>
      </c>
      <c r="E26" s="170">
        <v>209.99</v>
      </c>
      <c r="F26" s="82">
        <f>VLOOKUP($A26,IRData!$A$3:$Q$142,17,FALSE)</f>
        <v>6240</v>
      </c>
      <c r="G26" s="82">
        <f>VLOOKUP($A26,IRData!$A$3:$W$142,23,FALSE)</f>
        <v>0</v>
      </c>
      <c r="H26" s="83">
        <f t="shared" si="2"/>
        <v>1310.3376000000001</v>
      </c>
      <c r="I26" s="83">
        <f t="shared" si="3"/>
        <v>0</v>
      </c>
      <c r="J26" s="82">
        <f>VLOOKUP($A26,IRData!$A$3:$M$142,13,FALSE)</f>
        <v>1767</v>
      </c>
      <c r="K26" s="82">
        <f>VLOOKUP($A26,IRData!$A$3:$M$142,5,FALSE)</f>
        <v>0</v>
      </c>
      <c r="L26" s="84">
        <f t="shared" si="4"/>
        <v>22419.337599999999</v>
      </c>
      <c r="M26" s="161"/>
      <c r="N26" s="168"/>
    </row>
    <row r="27" spans="1:14" x14ac:dyDescent="0.2">
      <c r="A27">
        <v>822015</v>
      </c>
      <c r="B27" t="s">
        <v>213</v>
      </c>
      <c r="C27" s="160">
        <v>16527</v>
      </c>
      <c r="D27" s="160">
        <v>0</v>
      </c>
      <c r="E27" s="170">
        <v>198.74</v>
      </c>
      <c r="F27" s="82">
        <f>VLOOKUP($A27,IRData!$A$3:$Q$142,17,FALSE)</f>
        <v>9404</v>
      </c>
      <c r="G27" s="82">
        <f>VLOOKUP($A27,IRData!$A$3:$W$142,23,FALSE)</f>
        <v>0</v>
      </c>
      <c r="H27" s="83">
        <f t="shared" si="2"/>
        <v>1868.9509600000001</v>
      </c>
      <c r="I27" s="83">
        <f t="shared" si="3"/>
        <v>0</v>
      </c>
      <c r="J27" s="82">
        <f>VLOOKUP($A27,IRData!$A$3:$M$142,13,FALSE)</f>
        <v>694</v>
      </c>
      <c r="K27" s="82">
        <f>VLOOKUP($A27,IRData!$A$3:$M$142,5,FALSE)</f>
        <v>0</v>
      </c>
      <c r="L27" s="84">
        <f t="shared" si="4"/>
        <v>19089.950960000002</v>
      </c>
      <c r="M27" s="161"/>
      <c r="N27" s="168"/>
    </row>
    <row r="28" spans="1:14" x14ac:dyDescent="0.2">
      <c r="A28">
        <v>842015</v>
      </c>
      <c r="B28" t="s">
        <v>214</v>
      </c>
      <c r="C28" s="160">
        <v>13693</v>
      </c>
      <c r="D28" s="160">
        <v>300</v>
      </c>
      <c r="E28" s="170">
        <v>198.74</v>
      </c>
      <c r="F28" s="82">
        <f>VLOOKUP($A28,IRData!$A$3:$Q$142,17,FALSE)</f>
        <v>11526</v>
      </c>
      <c r="G28" s="82">
        <f>VLOOKUP($A28,IRData!$A$3:$W$142,23,FALSE)</f>
        <v>0</v>
      </c>
      <c r="H28" s="83">
        <f t="shared" si="2"/>
        <v>2290.6772400000004</v>
      </c>
      <c r="I28" s="83">
        <f t="shared" si="3"/>
        <v>0</v>
      </c>
      <c r="J28" s="82">
        <f>VLOOKUP($A28,IRData!$A$3:$M$142,13,FALSE)</f>
        <v>490</v>
      </c>
      <c r="K28" s="82">
        <f>VLOOKUP($A28,IRData!$A$3:$M$142,5,FALSE)</f>
        <v>0</v>
      </c>
      <c r="L28" s="84">
        <f t="shared" si="4"/>
        <v>16173.677240000001</v>
      </c>
      <c r="M28" s="161"/>
      <c r="N28" s="168"/>
    </row>
    <row r="29" spans="1:14" x14ac:dyDescent="0.2">
      <c r="A29">
        <v>862015</v>
      </c>
      <c r="B29" t="s">
        <v>215</v>
      </c>
      <c r="C29" s="160">
        <v>76219</v>
      </c>
      <c r="D29" s="160">
        <v>408</v>
      </c>
      <c r="E29" s="170">
        <v>209.99</v>
      </c>
      <c r="F29" s="82">
        <f>VLOOKUP($A29,IRData!$A$3:$Q$142,17,FALSE)</f>
        <v>30417</v>
      </c>
      <c r="G29" s="82">
        <f>VLOOKUP($A29,IRData!$A$3:$W$142,23,FALSE)</f>
        <v>14343</v>
      </c>
      <c r="H29" s="83">
        <f t="shared" si="2"/>
        <v>6387.2658300000003</v>
      </c>
      <c r="I29" s="83">
        <f t="shared" si="3"/>
        <v>3011.8865700000001</v>
      </c>
      <c r="J29" s="82">
        <f>VLOOKUP($A29,IRData!$A$3:$M$142,13,FALSE)</f>
        <v>5780</v>
      </c>
      <c r="K29" s="82">
        <f>VLOOKUP($A29,IRData!$A$3:$M$142,5,FALSE)</f>
        <v>240</v>
      </c>
      <c r="L29" s="84">
        <f t="shared" si="4"/>
        <v>90990.152400000006</v>
      </c>
      <c r="M29" s="161"/>
      <c r="N29" s="168"/>
    </row>
    <row r="30" spans="1:14" x14ac:dyDescent="0.2">
      <c r="A30">
        <v>882015</v>
      </c>
      <c r="B30" t="s">
        <v>164</v>
      </c>
      <c r="C30" s="160">
        <v>17709</v>
      </c>
      <c r="D30" s="160">
        <v>0</v>
      </c>
      <c r="E30" s="170">
        <v>198.22</v>
      </c>
      <c r="F30" s="82">
        <f>VLOOKUP($A30,IRData!$A$3:$Q$142,17,FALSE)</f>
        <v>8885</v>
      </c>
      <c r="G30" s="82">
        <f>VLOOKUP($A30,IRData!$A$3:$W$142,23,FALSE)</f>
        <v>1700</v>
      </c>
      <c r="H30" s="83">
        <f t="shared" si="2"/>
        <v>1761.1847</v>
      </c>
      <c r="I30" s="83">
        <f t="shared" si="3"/>
        <v>336.97399999999999</v>
      </c>
      <c r="J30" s="82">
        <f>VLOOKUP($A30,IRData!$A$3:$M$142,13,FALSE)</f>
        <v>1999</v>
      </c>
      <c r="K30" s="82">
        <f>VLOOKUP($A30,IRData!$A$3:$M$142,5,FALSE)</f>
        <v>0</v>
      </c>
      <c r="L30" s="84">
        <f t="shared" si="4"/>
        <v>21806.1587</v>
      </c>
      <c r="M30" s="161"/>
      <c r="N30" s="168"/>
    </row>
    <row r="31" spans="1:14" x14ac:dyDescent="0.2">
      <c r="A31">
        <v>912015</v>
      </c>
      <c r="B31" t="s">
        <v>216</v>
      </c>
      <c r="C31" s="160">
        <v>18316</v>
      </c>
      <c r="D31" s="160">
        <v>0</v>
      </c>
      <c r="E31" s="170">
        <v>198.22</v>
      </c>
      <c r="F31" s="82">
        <f>VLOOKUP($A31,IRData!$A$3:$Q$142,17,FALSE)</f>
        <v>15211</v>
      </c>
      <c r="G31" s="82">
        <f>VLOOKUP($A31,IRData!$A$3:$W$142,23,FALSE)</f>
        <v>0</v>
      </c>
      <c r="H31" s="83">
        <f t="shared" si="2"/>
        <v>3015.1244200000001</v>
      </c>
      <c r="I31" s="83">
        <f t="shared" si="3"/>
        <v>0</v>
      </c>
      <c r="J31" s="82">
        <f>VLOOKUP($A31,IRData!$A$3:$M$142,13,FALSE)</f>
        <v>567</v>
      </c>
      <c r="K31" s="82">
        <f>VLOOKUP($A31,IRData!$A$3:$M$142,5,FALSE)</f>
        <v>0</v>
      </c>
      <c r="L31" s="84">
        <f t="shared" si="4"/>
        <v>21898.12442</v>
      </c>
      <c r="M31" s="161"/>
      <c r="N31" s="168"/>
    </row>
    <row r="32" spans="1:14" x14ac:dyDescent="0.2">
      <c r="A32">
        <v>932015</v>
      </c>
      <c r="B32" t="s">
        <v>217</v>
      </c>
      <c r="C32" s="160">
        <v>20791</v>
      </c>
      <c r="D32" s="160">
        <v>180</v>
      </c>
      <c r="E32" s="170">
        <v>198.22</v>
      </c>
      <c r="F32" s="82">
        <f>VLOOKUP($A32,IRData!$A$3:$Q$142,17,FALSE)</f>
        <v>9506</v>
      </c>
      <c r="G32" s="82">
        <f>VLOOKUP($A32,IRData!$A$3:$W$142,23,FALSE)</f>
        <v>702</v>
      </c>
      <c r="H32" s="83">
        <f t="shared" si="2"/>
        <v>1884.2793200000001</v>
      </c>
      <c r="I32" s="83">
        <f t="shared" si="3"/>
        <v>139.15044</v>
      </c>
      <c r="J32" s="82">
        <f>VLOOKUP($A32,IRData!$A$3:$M$142,13,FALSE)</f>
        <v>1434</v>
      </c>
      <c r="K32" s="82">
        <f>VLOOKUP($A32,IRData!$A$3:$M$142,5,FALSE)</f>
        <v>0</v>
      </c>
      <c r="L32" s="84">
        <f t="shared" si="4"/>
        <v>24068.429760000003</v>
      </c>
      <c r="M32" s="161"/>
      <c r="N32" s="168"/>
    </row>
    <row r="33" spans="1:14" x14ac:dyDescent="0.2">
      <c r="A33">
        <v>952015</v>
      </c>
      <c r="B33" t="s">
        <v>218</v>
      </c>
      <c r="C33" s="160">
        <v>7469</v>
      </c>
      <c r="D33" s="160">
        <v>0</v>
      </c>
      <c r="E33" s="170">
        <v>198.74</v>
      </c>
      <c r="F33" s="82">
        <f>VLOOKUP($A33,IRData!$A$3:$Q$142,17,FALSE)</f>
        <v>3912</v>
      </c>
      <c r="G33" s="82">
        <f>VLOOKUP($A33,IRData!$A$3:$W$142,23,FALSE)</f>
        <v>0</v>
      </c>
      <c r="H33" s="83">
        <f t="shared" si="2"/>
        <v>777.47087999999997</v>
      </c>
      <c r="I33" s="83">
        <f t="shared" si="3"/>
        <v>0</v>
      </c>
      <c r="J33" s="82">
        <f>VLOOKUP($A33,IRData!$A$3:$M$142,13,FALSE)</f>
        <v>608</v>
      </c>
      <c r="K33" s="82">
        <f>VLOOKUP($A33,IRData!$A$3:$M$142,5,FALSE)</f>
        <v>0</v>
      </c>
      <c r="L33" s="84">
        <f t="shared" si="4"/>
        <v>8854.4708800000008</v>
      </c>
      <c r="M33" s="161"/>
      <c r="N33" s="168"/>
    </row>
    <row r="34" spans="1:14" x14ac:dyDescent="0.2">
      <c r="A34">
        <v>962015</v>
      </c>
      <c r="B34" t="s">
        <v>219</v>
      </c>
      <c r="C34" s="160">
        <v>29928</v>
      </c>
      <c r="D34" s="160">
        <v>0</v>
      </c>
      <c r="E34" s="170">
        <v>197.77</v>
      </c>
      <c r="F34" s="82">
        <f>VLOOKUP($A34,IRData!$A$3:$Q$142,17,FALSE)</f>
        <v>8631</v>
      </c>
      <c r="G34" s="82">
        <f>VLOOKUP($A34,IRData!$A$3:$W$142,23,FALSE)</f>
        <v>0</v>
      </c>
      <c r="H34" s="83">
        <f t="shared" si="2"/>
        <v>1706.9528700000001</v>
      </c>
      <c r="I34" s="83">
        <f t="shared" si="3"/>
        <v>0</v>
      </c>
      <c r="J34" s="82">
        <f>VLOOKUP($A34,IRData!$A$3:$M$142,13,FALSE)</f>
        <v>935</v>
      </c>
      <c r="K34" s="82">
        <f>VLOOKUP($A34,IRData!$A$3:$M$142,5,FALSE)</f>
        <v>0</v>
      </c>
      <c r="L34" s="84">
        <f t="shared" si="4"/>
        <v>32569.952870000001</v>
      </c>
      <c r="M34" s="161"/>
      <c r="N34" s="168"/>
    </row>
    <row r="35" spans="1:14" x14ac:dyDescent="0.2">
      <c r="A35">
        <v>972015</v>
      </c>
      <c r="B35" t="s">
        <v>220</v>
      </c>
      <c r="C35" s="160">
        <v>24565</v>
      </c>
      <c r="D35" s="160">
        <v>112</v>
      </c>
      <c r="E35" s="170">
        <v>197.77</v>
      </c>
      <c r="F35" s="82">
        <f>VLOOKUP($A35,IRData!$A$3:$Q$142,17,FALSE)</f>
        <v>10514</v>
      </c>
      <c r="G35" s="82">
        <f>VLOOKUP($A35,IRData!$A$3:$W$142,23,FALSE)</f>
        <v>0</v>
      </c>
      <c r="H35" s="83">
        <f t="shared" si="2"/>
        <v>2079.3537799999999</v>
      </c>
      <c r="I35" s="83">
        <f t="shared" si="3"/>
        <v>0</v>
      </c>
      <c r="J35" s="82">
        <f>VLOOKUP($A35,IRData!$A$3:$M$142,13,FALSE)</f>
        <v>1863</v>
      </c>
      <c r="K35" s="82">
        <f>VLOOKUP($A35,IRData!$A$3:$M$142,5,FALSE)</f>
        <v>0</v>
      </c>
      <c r="L35" s="84">
        <f t="shared" si="4"/>
        <v>28395.353780000001</v>
      </c>
      <c r="M35" s="161"/>
      <c r="N35" s="168"/>
    </row>
    <row r="36" spans="1:14" x14ac:dyDescent="0.2">
      <c r="A36">
        <v>982015</v>
      </c>
      <c r="B36" t="s">
        <v>165</v>
      </c>
      <c r="C36" s="160">
        <v>1484</v>
      </c>
      <c r="D36" s="160">
        <v>0</v>
      </c>
      <c r="E36" s="170">
        <v>202.82</v>
      </c>
      <c r="F36" s="82">
        <f>VLOOKUP($A36,IRData!$A$3:$Q$142,17,FALSE)</f>
        <v>0</v>
      </c>
      <c r="G36" s="82">
        <f>VLOOKUP($A36,IRData!$A$3:$W$142,23,FALSE)</f>
        <v>0</v>
      </c>
      <c r="H36" s="83">
        <f t="shared" si="2"/>
        <v>0</v>
      </c>
      <c r="I36" s="83">
        <f t="shared" si="3"/>
        <v>0</v>
      </c>
      <c r="J36" s="82">
        <f>VLOOKUP($A36,IRData!$A$3:$M$142,13,FALSE)</f>
        <v>0</v>
      </c>
      <c r="K36" s="82">
        <f>VLOOKUP($A36,IRData!$A$3:$M$142,5,FALSE)</f>
        <v>0</v>
      </c>
      <c r="L36" s="84">
        <f t="shared" si="4"/>
        <v>1484</v>
      </c>
      <c r="M36" s="161"/>
      <c r="N36" s="168"/>
    </row>
    <row r="37" spans="1:14" x14ac:dyDescent="0.2">
      <c r="A37">
        <v>1022015</v>
      </c>
      <c r="B37" t="s">
        <v>370</v>
      </c>
      <c r="C37" s="160">
        <v>19457</v>
      </c>
      <c r="D37" s="160">
        <v>923</v>
      </c>
      <c r="E37" s="170">
        <v>198.74</v>
      </c>
      <c r="F37" s="82">
        <f>VLOOKUP($A37,IRData!$A$3:$Q$142,17,FALSE)</f>
        <v>30280</v>
      </c>
      <c r="G37" s="82">
        <f>VLOOKUP($A37,IRData!$A$3:$W$142,23,FALSE)</f>
        <v>0</v>
      </c>
      <c r="H37" s="83">
        <f t="shared" si="2"/>
        <v>6017.8472000000002</v>
      </c>
      <c r="I37" s="83">
        <f t="shared" si="3"/>
        <v>0</v>
      </c>
      <c r="J37" s="82">
        <f>VLOOKUP($A37,IRData!$A$3:$M$142,13,FALSE)</f>
        <v>1770</v>
      </c>
      <c r="K37" s="82">
        <f>VLOOKUP($A37,IRData!$A$3:$M$142,5,FALSE)</f>
        <v>0</v>
      </c>
      <c r="L37" s="84">
        <f t="shared" si="4"/>
        <v>26321.8472</v>
      </c>
      <c r="M37" s="161"/>
      <c r="N37" s="168"/>
    </row>
    <row r="38" spans="1:14" x14ac:dyDescent="0.2">
      <c r="A38">
        <v>1032015</v>
      </c>
      <c r="B38" t="s">
        <v>222</v>
      </c>
      <c r="C38" s="160">
        <v>30896</v>
      </c>
      <c r="D38" s="160">
        <v>0</v>
      </c>
      <c r="E38" s="170">
        <v>202.82</v>
      </c>
      <c r="F38" s="82">
        <f>VLOOKUP($A38,IRData!$A$3:$Q$142,17,FALSE)</f>
        <v>6600</v>
      </c>
      <c r="G38" s="82">
        <f>VLOOKUP($A38,IRData!$A$3:$W$142,23,FALSE)</f>
        <v>1249</v>
      </c>
      <c r="H38" s="83">
        <f t="shared" si="2"/>
        <v>1338.6120000000001</v>
      </c>
      <c r="I38" s="83">
        <f t="shared" si="3"/>
        <v>253.32218</v>
      </c>
      <c r="J38" s="82">
        <f>VLOOKUP($A38,IRData!$A$3:$M$142,13,FALSE)</f>
        <v>6040</v>
      </c>
      <c r="K38" s="82">
        <f>VLOOKUP($A38,IRData!$A$3:$M$142,5,FALSE)</f>
        <v>0</v>
      </c>
      <c r="L38" s="84">
        <f t="shared" si="4"/>
        <v>38527.934179999997</v>
      </c>
      <c r="M38" s="161"/>
      <c r="N38" s="168"/>
    </row>
    <row r="39" spans="1:14" x14ac:dyDescent="0.2">
      <c r="A39">
        <v>1042015</v>
      </c>
      <c r="B39" t="s">
        <v>223</v>
      </c>
      <c r="C39" s="160">
        <v>13521</v>
      </c>
      <c r="D39" s="160">
        <v>382</v>
      </c>
      <c r="E39" s="170">
        <v>198.74</v>
      </c>
      <c r="F39" s="82">
        <f>VLOOKUP($A39,IRData!$A$3:$Q$142,17,FALSE)</f>
        <v>7217</v>
      </c>
      <c r="G39" s="82">
        <f>VLOOKUP($A39,IRData!$A$3:$W$142,23,FALSE)</f>
        <v>0</v>
      </c>
      <c r="H39" s="83">
        <f t="shared" si="2"/>
        <v>1434.3065800000002</v>
      </c>
      <c r="I39" s="83">
        <f t="shared" si="3"/>
        <v>0</v>
      </c>
      <c r="J39" s="82">
        <f>VLOOKUP($A39,IRData!$A$3:$M$142,13,FALSE)</f>
        <v>3124</v>
      </c>
      <c r="K39" s="82">
        <f>VLOOKUP($A39,IRData!$A$3:$M$142,5,FALSE)</f>
        <v>0</v>
      </c>
      <c r="L39" s="84">
        <f t="shared" si="4"/>
        <v>17697.30658</v>
      </c>
      <c r="M39" s="161"/>
      <c r="N39" s="168"/>
    </row>
    <row r="40" spans="1:14" x14ac:dyDescent="0.2">
      <c r="A40">
        <v>1062015</v>
      </c>
      <c r="B40" t="s">
        <v>166</v>
      </c>
      <c r="C40" s="160">
        <v>12772</v>
      </c>
      <c r="D40" s="160">
        <v>121</v>
      </c>
      <c r="E40" s="170">
        <v>197.77</v>
      </c>
      <c r="F40" s="82">
        <f>VLOOKUP($A40,IRData!$A$3:$Q$142,17,FALSE)</f>
        <v>5162</v>
      </c>
      <c r="G40" s="82">
        <f>VLOOKUP($A40,IRData!$A$3:$W$142,23,FALSE)</f>
        <v>4093</v>
      </c>
      <c r="H40" s="83">
        <f t="shared" si="2"/>
        <v>1020.8887400000001</v>
      </c>
      <c r="I40" s="83">
        <f t="shared" si="3"/>
        <v>809.47261000000003</v>
      </c>
      <c r="J40" s="82">
        <f>VLOOKUP($A40,IRData!$A$3:$M$142,13,FALSE)</f>
        <v>988</v>
      </c>
      <c r="K40" s="82">
        <f>VLOOKUP($A40,IRData!$A$3:$M$142,5,FALSE)</f>
        <v>0</v>
      </c>
      <c r="L40" s="84">
        <f t="shared" si="4"/>
        <v>15469.361350000001</v>
      </c>
      <c r="M40" s="161"/>
      <c r="N40" s="168"/>
    </row>
    <row r="41" spans="1:14" x14ac:dyDescent="0.2">
      <c r="A41">
        <v>1082015</v>
      </c>
      <c r="B41" t="s">
        <v>187</v>
      </c>
      <c r="C41" s="160">
        <v>1375</v>
      </c>
      <c r="D41" s="160">
        <v>0</v>
      </c>
      <c r="E41" s="170">
        <v>198.22</v>
      </c>
      <c r="F41" s="82">
        <f>VLOOKUP($A41,IRData!$A$3:$Q$142,17,FALSE)</f>
        <v>4135</v>
      </c>
      <c r="G41" s="82">
        <f>VLOOKUP($A41,IRData!$A$3:$W$142,23,FALSE)</f>
        <v>0</v>
      </c>
      <c r="H41" s="83">
        <f t="shared" si="2"/>
        <v>819.63969999999995</v>
      </c>
      <c r="I41" s="83">
        <f t="shared" si="3"/>
        <v>0</v>
      </c>
      <c r="J41" s="82">
        <f>VLOOKUP($A41,IRData!$A$3:$M$142,13,FALSE)</f>
        <v>0</v>
      </c>
      <c r="K41" s="82">
        <f>VLOOKUP($A41,IRData!$A$3:$M$142,5,FALSE)</f>
        <v>0</v>
      </c>
      <c r="L41" s="84">
        <f t="shared" si="4"/>
        <v>2194.6396999999997</v>
      </c>
      <c r="M41" s="161"/>
      <c r="N41" s="168"/>
    </row>
    <row r="42" spans="1:14" x14ac:dyDescent="0.2">
      <c r="A42">
        <v>1162015</v>
      </c>
      <c r="B42" t="s">
        <v>224</v>
      </c>
      <c r="C42" s="160">
        <v>23801</v>
      </c>
      <c r="D42" s="160">
        <v>0</v>
      </c>
      <c r="E42" s="170">
        <v>202.82</v>
      </c>
      <c r="F42" s="82">
        <f>VLOOKUP($A42,IRData!$A$3:$Q$142,17,FALSE)</f>
        <v>8533</v>
      </c>
      <c r="G42" s="82">
        <f>VLOOKUP($A42,IRData!$A$3:$W$142,23,FALSE)</f>
        <v>400</v>
      </c>
      <c r="H42" s="83">
        <f t="shared" si="2"/>
        <v>1730.6630600000001</v>
      </c>
      <c r="I42" s="83">
        <f t="shared" si="3"/>
        <v>81.128</v>
      </c>
      <c r="J42" s="82">
        <f>VLOOKUP($A42,IRData!$A$3:$M$142,13,FALSE)</f>
        <v>2531</v>
      </c>
      <c r="K42" s="82">
        <f>VLOOKUP($A42,IRData!$A$3:$M$142,5,FALSE)</f>
        <v>0</v>
      </c>
      <c r="L42" s="84">
        <f t="shared" si="4"/>
        <v>28143.79106</v>
      </c>
      <c r="M42" s="161"/>
      <c r="N42" s="168"/>
    </row>
    <row r="43" spans="1:14" x14ac:dyDescent="0.2">
      <c r="A43">
        <v>1192015</v>
      </c>
      <c r="B43" t="s">
        <v>225</v>
      </c>
      <c r="C43" s="160">
        <v>17737</v>
      </c>
      <c r="D43" s="160">
        <v>0</v>
      </c>
      <c r="E43" s="170">
        <v>209.99</v>
      </c>
      <c r="F43" s="82">
        <f>VLOOKUP($A43,IRData!$A$3:$Q$142,17,FALSE)</f>
        <v>7223</v>
      </c>
      <c r="G43" s="82">
        <f>VLOOKUP($A43,IRData!$A$3:$W$142,23,FALSE)</f>
        <v>0</v>
      </c>
      <c r="H43" s="83">
        <f t="shared" si="2"/>
        <v>1516.7577699999999</v>
      </c>
      <c r="I43" s="83">
        <f t="shared" si="3"/>
        <v>0</v>
      </c>
      <c r="J43" s="82">
        <f>VLOOKUP($A43,IRData!$A$3:$M$142,13,FALSE)</f>
        <v>1005</v>
      </c>
      <c r="K43" s="82">
        <f>VLOOKUP($A43,IRData!$A$3:$M$142,5,FALSE)</f>
        <v>0</v>
      </c>
      <c r="L43" s="84">
        <f t="shared" si="4"/>
        <v>20258.75777</v>
      </c>
      <c r="M43" s="161"/>
      <c r="N43" s="168"/>
    </row>
    <row r="44" spans="1:14" x14ac:dyDescent="0.2">
      <c r="A44">
        <v>1212015</v>
      </c>
      <c r="B44" t="s">
        <v>226</v>
      </c>
      <c r="C44" s="160">
        <v>1353</v>
      </c>
      <c r="D44" s="160">
        <v>0</v>
      </c>
      <c r="E44" s="170">
        <v>197.77</v>
      </c>
      <c r="F44" s="82">
        <f>VLOOKUP($A44,IRData!$A$3:$Q$142,17,FALSE)</f>
        <v>2391</v>
      </c>
      <c r="G44" s="82">
        <f>VLOOKUP($A44,IRData!$A$3:$W$142,23,FALSE)</f>
        <v>0</v>
      </c>
      <c r="H44" s="83">
        <f t="shared" si="2"/>
        <v>472.86806999999999</v>
      </c>
      <c r="I44" s="83">
        <f t="shared" si="3"/>
        <v>0</v>
      </c>
      <c r="J44" s="82">
        <f>VLOOKUP($A44,IRData!$A$3:$M$142,13,FALSE)</f>
        <v>147</v>
      </c>
      <c r="K44" s="82">
        <f>VLOOKUP($A44,IRData!$A$3:$M$142,5,FALSE)</f>
        <v>0</v>
      </c>
      <c r="L44" s="84">
        <f t="shared" si="4"/>
        <v>1972.86807</v>
      </c>
      <c r="M44" s="161"/>
      <c r="N44" s="168"/>
    </row>
    <row r="45" spans="1:14" x14ac:dyDescent="0.2">
      <c r="A45">
        <v>1322015</v>
      </c>
      <c r="B45" t="s">
        <v>227</v>
      </c>
      <c r="C45" s="160">
        <v>30212</v>
      </c>
      <c r="D45" s="160">
        <v>0</v>
      </c>
      <c r="E45" s="170">
        <v>202.82</v>
      </c>
      <c r="F45" s="82">
        <f>VLOOKUP($A45,IRData!$A$3:$Q$142,17,FALSE)</f>
        <v>8130</v>
      </c>
      <c r="G45" s="82">
        <f>VLOOKUP($A45,IRData!$A$3:$W$142,23,FALSE)</f>
        <v>20821</v>
      </c>
      <c r="H45" s="83">
        <f t="shared" si="2"/>
        <v>1648.9265999999998</v>
      </c>
      <c r="I45" s="83">
        <f t="shared" si="3"/>
        <v>4222.9152199999999</v>
      </c>
      <c r="J45" s="82">
        <f>VLOOKUP($A45,IRData!$A$3:$M$142,13,FALSE)</f>
        <v>4144</v>
      </c>
      <c r="K45" s="82">
        <f>VLOOKUP($A45,IRData!$A$3:$M$142,5,FALSE)</f>
        <v>0</v>
      </c>
      <c r="L45" s="84">
        <f t="shared" si="4"/>
        <v>40227.841820000001</v>
      </c>
      <c r="M45" s="161"/>
      <c r="N45" s="168"/>
    </row>
    <row r="46" spans="1:14" x14ac:dyDescent="0.2">
      <c r="A46">
        <v>1332015</v>
      </c>
      <c r="B46" t="s">
        <v>228</v>
      </c>
      <c r="C46" s="160">
        <v>42882</v>
      </c>
      <c r="D46" s="160">
        <v>508</v>
      </c>
      <c r="E46" s="170">
        <v>202.82</v>
      </c>
      <c r="F46" s="82">
        <f>VLOOKUP($A46,IRData!$A$3:$Q$142,17,FALSE)</f>
        <v>13024</v>
      </c>
      <c r="G46" s="82">
        <f>VLOOKUP($A46,IRData!$A$3:$W$142,23,FALSE)</f>
        <v>6426</v>
      </c>
      <c r="H46" s="83">
        <f t="shared" si="2"/>
        <v>2641.5276799999997</v>
      </c>
      <c r="I46" s="83">
        <f t="shared" si="3"/>
        <v>1303.32132</v>
      </c>
      <c r="J46" s="82">
        <f>VLOOKUP($A46,IRData!$A$3:$M$142,13,FALSE)</f>
        <v>3854</v>
      </c>
      <c r="K46" s="82">
        <f>VLOOKUP($A46,IRData!$A$3:$M$142,5,FALSE)</f>
        <v>0</v>
      </c>
      <c r="L46" s="84">
        <f t="shared" si="4"/>
        <v>50172.849000000002</v>
      </c>
      <c r="M46" s="161"/>
      <c r="N46" s="168"/>
    </row>
    <row r="47" spans="1:14" x14ac:dyDescent="0.2">
      <c r="A47">
        <v>1352015</v>
      </c>
      <c r="B47" t="s">
        <v>167</v>
      </c>
      <c r="C47" s="160">
        <v>50367</v>
      </c>
      <c r="D47" s="160">
        <v>0</v>
      </c>
      <c r="E47" s="170">
        <v>198.74</v>
      </c>
      <c r="F47" s="82">
        <f>VLOOKUP($A47,IRData!$A$3:$Q$142,17,FALSE)</f>
        <v>16130</v>
      </c>
      <c r="G47" s="82">
        <f>VLOOKUP($A47,IRData!$A$3:$W$142,23,FALSE)</f>
        <v>0</v>
      </c>
      <c r="H47" s="83">
        <f t="shared" si="2"/>
        <v>3205.6762000000003</v>
      </c>
      <c r="I47" s="83">
        <f t="shared" si="3"/>
        <v>0</v>
      </c>
      <c r="J47" s="82">
        <f>VLOOKUP($A47,IRData!$A$3:$M$142,13,FALSE)</f>
        <v>1516</v>
      </c>
      <c r="K47" s="82">
        <f>VLOOKUP($A47,IRData!$A$3:$M$142,5,FALSE)</f>
        <v>0</v>
      </c>
      <c r="L47" s="84">
        <f t="shared" si="4"/>
        <v>55088.676200000002</v>
      </c>
      <c r="M47" s="161"/>
      <c r="N47" s="168"/>
    </row>
    <row r="48" spans="1:14" x14ac:dyDescent="0.2">
      <c r="A48">
        <v>1382015</v>
      </c>
      <c r="B48" t="s">
        <v>229</v>
      </c>
      <c r="C48" s="160">
        <v>15076</v>
      </c>
      <c r="D48" s="160">
        <v>0</v>
      </c>
      <c r="E48" s="170">
        <v>202.82</v>
      </c>
      <c r="F48" s="82">
        <f>VLOOKUP($A48,IRData!$A$3:$Q$142,17,FALSE)</f>
        <v>5792</v>
      </c>
      <c r="G48" s="82">
        <f>VLOOKUP($A48,IRData!$A$3:$W$142,23,FALSE)</f>
        <v>10051</v>
      </c>
      <c r="H48" s="83">
        <f t="shared" si="2"/>
        <v>1174.73344</v>
      </c>
      <c r="I48" s="83">
        <f t="shared" si="3"/>
        <v>2038.5438199999999</v>
      </c>
      <c r="J48" s="82">
        <f>VLOOKUP($A48,IRData!$A$3:$M$142,13,FALSE)</f>
        <v>1996</v>
      </c>
      <c r="K48" s="82">
        <f>VLOOKUP($A48,IRData!$A$3:$M$142,5,FALSE)</f>
        <v>0</v>
      </c>
      <c r="L48" s="84">
        <f t="shared" si="4"/>
        <v>20285.277259999999</v>
      </c>
      <c r="M48" s="161"/>
      <c r="N48" s="168"/>
    </row>
    <row r="49" spans="1:14" x14ac:dyDescent="0.2">
      <c r="A49">
        <v>1462015</v>
      </c>
      <c r="B49" t="s">
        <v>230</v>
      </c>
      <c r="C49" s="160">
        <v>28471</v>
      </c>
      <c r="D49" s="160">
        <v>123</v>
      </c>
      <c r="E49" s="170">
        <v>198.22</v>
      </c>
      <c r="F49" s="82">
        <f>VLOOKUP($A49,IRData!$A$3:$Q$142,17,FALSE)</f>
        <v>6829</v>
      </c>
      <c r="G49" s="82">
        <f>VLOOKUP($A49,IRData!$A$3:$W$142,23,FALSE)</f>
        <v>14427</v>
      </c>
      <c r="H49" s="83">
        <f t="shared" si="2"/>
        <v>1353.64438</v>
      </c>
      <c r="I49" s="83">
        <f t="shared" si="3"/>
        <v>2859.71994</v>
      </c>
      <c r="J49" s="82">
        <f>VLOOKUP($A49,IRData!$A$3:$M$142,13,FALSE)</f>
        <v>1497</v>
      </c>
      <c r="K49" s="82">
        <f>VLOOKUP($A49,IRData!$A$3:$M$142,5,FALSE)</f>
        <v>0</v>
      </c>
      <c r="L49" s="84">
        <f t="shared" si="4"/>
        <v>34058.364320000001</v>
      </c>
      <c r="M49" s="161"/>
      <c r="N49" s="168"/>
    </row>
    <row r="50" spans="1:14" x14ac:dyDescent="0.2">
      <c r="A50">
        <v>1472015</v>
      </c>
      <c r="B50" t="s">
        <v>168</v>
      </c>
      <c r="C50" s="160">
        <v>8103</v>
      </c>
      <c r="D50" s="160">
        <v>72</v>
      </c>
      <c r="E50" s="170">
        <v>202.82</v>
      </c>
      <c r="F50" s="82">
        <f>VLOOKUP($A50,IRData!$A$3:$Q$142,17,FALSE)</f>
        <v>1576</v>
      </c>
      <c r="G50" s="82">
        <f>VLOOKUP($A50,IRData!$A$3:$W$142,23,FALSE)</f>
        <v>286</v>
      </c>
      <c r="H50" s="83">
        <f t="shared" si="2"/>
        <v>319.64431999999999</v>
      </c>
      <c r="I50" s="83">
        <f t="shared" si="3"/>
        <v>58.006519999999995</v>
      </c>
      <c r="J50" s="82">
        <f>VLOOKUP($A50,IRData!$A$3:$M$142,13,FALSE)</f>
        <v>568</v>
      </c>
      <c r="K50" s="82">
        <f>VLOOKUP($A50,IRData!$A$3:$M$142,5,FALSE)</f>
        <v>0</v>
      </c>
      <c r="L50" s="84">
        <f t="shared" si="4"/>
        <v>8976.6508400000002</v>
      </c>
      <c r="M50" s="161"/>
      <c r="N50" s="168"/>
    </row>
    <row r="51" spans="1:14" x14ac:dyDescent="0.2">
      <c r="A51">
        <v>1492015</v>
      </c>
      <c r="B51" t="s">
        <v>231</v>
      </c>
      <c r="C51" s="160">
        <v>17386</v>
      </c>
      <c r="D51" s="160">
        <v>210</v>
      </c>
      <c r="E51" s="170">
        <v>209.99</v>
      </c>
      <c r="F51" s="82">
        <f>VLOOKUP($A51,IRData!$A$3:$Q$142,17,FALSE)</f>
        <v>6167</v>
      </c>
      <c r="G51" s="82">
        <f>VLOOKUP($A51,IRData!$A$3:$W$142,23,FALSE)</f>
        <v>0</v>
      </c>
      <c r="H51" s="83">
        <f t="shared" si="2"/>
        <v>1295.0083300000001</v>
      </c>
      <c r="I51" s="83">
        <f t="shared" si="3"/>
        <v>0</v>
      </c>
      <c r="J51" s="82">
        <f>VLOOKUP($A51,IRData!$A$3:$M$142,13,FALSE)</f>
        <v>944</v>
      </c>
      <c r="K51" s="82">
        <f>VLOOKUP($A51,IRData!$A$3:$M$142,5,FALSE)</f>
        <v>0</v>
      </c>
      <c r="L51" s="84">
        <f t="shared" si="4"/>
        <v>19415.008330000001</v>
      </c>
      <c r="M51" s="161"/>
      <c r="N51" s="168"/>
    </row>
    <row r="52" spans="1:14" x14ac:dyDescent="0.2">
      <c r="A52">
        <v>1522015</v>
      </c>
      <c r="B52" t="s">
        <v>232</v>
      </c>
      <c r="C52" s="160">
        <v>833</v>
      </c>
      <c r="D52" s="160">
        <v>0</v>
      </c>
      <c r="E52" s="170">
        <v>209.99</v>
      </c>
      <c r="F52" s="82">
        <f>VLOOKUP($A52,IRData!$A$3:$Q$142,17,FALSE)</f>
        <v>0</v>
      </c>
      <c r="G52" s="82">
        <f>VLOOKUP($A52,IRData!$A$3:$W$142,23,FALSE)</f>
        <v>0</v>
      </c>
      <c r="H52" s="83">
        <f t="shared" si="2"/>
        <v>0</v>
      </c>
      <c r="I52" s="83">
        <f t="shared" si="3"/>
        <v>0</v>
      </c>
      <c r="J52" s="82">
        <f>VLOOKUP($A52,IRData!$A$3:$M$142,13,FALSE)</f>
        <v>0</v>
      </c>
      <c r="K52" s="82">
        <f>VLOOKUP($A52,IRData!$A$3:$M$142,5,FALSE)</f>
        <v>0</v>
      </c>
      <c r="L52" s="84">
        <f t="shared" si="4"/>
        <v>833</v>
      </c>
      <c r="M52" s="161"/>
      <c r="N52" s="168"/>
    </row>
    <row r="53" spans="1:14" x14ac:dyDescent="0.2">
      <c r="A53">
        <v>1532015</v>
      </c>
      <c r="B53" t="s">
        <v>233</v>
      </c>
      <c r="C53" s="160">
        <v>17760</v>
      </c>
      <c r="D53" s="160">
        <v>25</v>
      </c>
      <c r="E53" s="170">
        <v>209.99</v>
      </c>
      <c r="F53" s="82">
        <f>VLOOKUP($A53,IRData!$A$3:$Q$142,17,FALSE)</f>
        <v>8762</v>
      </c>
      <c r="G53" s="82">
        <f>VLOOKUP($A53,IRData!$A$3:$W$142,23,FALSE)</f>
        <v>0</v>
      </c>
      <c r="H53" s="83">
        <f t="shared" si="2"/>
        <v>1839.9323800000002</v>
      </c>
      <c r="I53" s="83">
        <f t="shared" si="3"/>
        <v>0</v>
      </c>
      <c r="J53" s="82">
        <f>VLOOKUP($A53,IRData!$A$3:$M$142,13,FALSE)</f>
        <v>446</v>
      </c>
      <c r="K53" s="82">
        <f>VLOOKUP($A53,IRData!$A$3:$M$142,5,FALSE)</f>
        <v>0</v>
      </c>
      <c r="L53" s="84">
        <f t="shared" si="4"/>
        <v>20020.932379999998</v>
      </c>
      <c r="M53" s="161"/>
      <c r="N53" s="168"/>
    </row>
    <row r="54" spans="1:14" x14ac:dyDescent="0.2">
      <c r="A54">
        <v>1562015</v>
      </c>
      <c r="B54" t="s">
        <v>169</v>
      </c>
      <c r="C54" s="160">
        <v>174</v>
      </c>
      <c r="D54" s="160">
        <v>0</v>
      </c>
      <c r="E54" s="170">
        <v>202.82</v>
      </c>
      <c r="F54" s="82">
        <f>VLOOKUP($A54,IRData!$A$3:$Q$142,17,FALSE)</f>
        <v>0</v>
      </c>
      <c r="G54" s="82">
        <f>VLOOKUP($A54,IRData!$A$3:$W$142,23,FALSE)</f>
        <v>0</v>
      </c>
      <c r="H54" s="83">
        <f t="shared" si="2"/>
        <v>0</v>
      </c>
      <c r="I54" s="83">
        <f t="shared" si="3"/>
        <v>0</v>
      </c>
      <c r="J54" s="82">
        <f>VLOOKUP($A54,IRData!$A$3:$M$142,13,FALSE)</f>
        <v>0</v>
      </c>
      <c r="K54" s="82">
        <f>VLOOKUP($A54,IRData!$A$3:$M$142,5,FALSE)</f>
        <v>0</v>
      </c>
      <c r="L54" s="84">
        <f t="shared" si="4"/>
        <v>174</v>
      </c>
      <c r="M54" s="161"/>
      <c r="N54" s="168"/>
    </row>
    <row r="55" spans="1:14" x14ac:dyDescent="0.2">
      <c r="A55">
        <v>1572015</v>
      </c>
      <c r="B55" t="s">
        <v>234</v>
      </c>
      <c r="C55" s="160">
        <v>13034</v>
      </c>
      <c r="D55" s="160">
        <v>0</v>
      </c>
      <c r="E55" s="170">
        <v>198.74</v>
      </c>
      <c r="F55" s="82">
        <f>VLOOKUP($A55,IRData!$A$3:$Q$142,17,FALSE)</f>
        <v>8110</v>
      </c>
      <c r="G55" s="82">
        <f>VLOOKUP($A55,IRData!$A$3:$W$142,23,FALSE)</f>
        <v>0</v>
      </c>
      <c r="H55" s="83">
        <f t="shared" si="2"/>
        <v>1611.7814000000001</v>
      </c>
      <c r="I55" s="83">
        <f t="shared" si="3"/>
        <v>0</v>
      </c>
      <c r="J55" s="82">
        <f>VLOOKUP($A55,IRData!$A$3:$M$142,13,FALSE)</f>
        <v>440</v>
      </c>
      <c r="K55" s="82">
        <f>VLOOKUP($A55,IRData!$A$3:$M$142,5,FALSE)</f>
        <v>0</v>
      </c>
      <c r="L55" s="84">
        <f t="shared" si="4"/>
        <v>15085.7814</v>
      </c>
      <c r="M55" s="161"/>
      <c r="N55" s="168"/>
    </row>
    <row r="56" spans="1:14" x14ac:dyDescent="0.2">
      <c r="A56">
        <v>1612015</v>
      </c>
      <c r="B56" t="s">
        <v>170</v>
      </c>
      <c r="C56" s="160">
        <v>17398</v>
      </c>
      <c r="D56" s="160">
        <v>0</v>
      </c>
      <c r="E56" s="170">
        <v>198.22</v>
      </c>
      <c r="F56" s="82">
        <f>VLOOKUP($A56,IRData!$A$3:$Q$142,17,FALSE)</f>
        <v>8040</v>
      </c>
      <c r="G56" s="82">
        <f>VLOOKUP($A56,IRData!$A$3:$W$142,23,FALSE)</f>
        <v>900</v>
      </c>
      <c r="H56" s="83">
        <f t="shared" si="2"/>
        <v>1593.6888000000001</v>
      </c>
      <c r="I56" s="83">
        <f t="shared" si="3"/>
        <v>178.398</v>
      </c>
      <c r="J56" s="82">
        <f>VLOOKUP($A56,IRData!$A$3:$M$142,13,FALSE)</f>
        <v>469</v>
      </c>
      <c r="K56" s="82">
        <f>VLOOKUP($A56,IRData!$A$3:$M$142,5,FALSE)</f>
        <v>0</v>
      </c>
      <c r="L56" s="84">
        <f t="shared" si="4"/>
        <v>19639.086800000001</v>
      </c>
      <c r="M56" s="161"/>
      <c r="N56" s="168"/>
    </row>
    <row r="57" spans="1:14" x14ac:dyDescent="0.2">
      <c r="A57">
        <v>1622015</v>
      </c>
      <c r="B57" t="s">
        <v>171</v>
      </c>
      <c r="C57" s="160">
        <v>25908</v>
      </c>
      <c r="D57" s="160">
        <v>0</v>
      </c>
      <c r="E57" s="170">
        <v>209.99</v>
      </c>
      <c r="F57" s="82">
        <f>VLOOKUP($A57,IRData!$A$3:$Q$142,17,FALSE)</f>
        <v>12433</v>
      </c>
      <c r="G57" s="82">
        <f>VLOOKUP($A57,IRData!$A$3:$W$142,23,FALSE)</f>
        <v>183</v>
      </c>
      <c r="H57" s="83">
        <f t="shared" si="2"/>
        <v>2610.8056699999997</v>
      </c>
      <c r="I57" s="83">
        <f t="shared" si="3"/>
        <v>38.428170000000001</v>
      </c>
      <c r="J57" s="82">
        <f>VLOOKUP($A57,IRData!$A$3:$M$142,13,FALSE)</f>
        <v>1260</v>
      </c>
      <c r="K57" s="82">
        <f>VLOOKUP($A57,IRData!$A$3:$M$142,5,FALSE)</f>
        <v>0</v>
      </c>
      <c r="L57" s="84">
        <f t="shared" si="4"/>
        <v>29817.233840000001</v>
      </c>
      <c r="M57" s="161"/>
      <c r="N57" s="168"/>
    </row>
    <row r="58" spans="1:14" x14ac:dyDescent="0.2">
      <c r="A58">
        <v>1632015</v>
      </c>
      <c r="B58" t="s">
        <v>350</v>
      </c>
      <c r="C58" s="160">
        <v>14800</v>
      </c>
      <c r="D58" s="160">
        <v>0</v>
      </c>
      <c r="E58" s="170">
        <v>209.99</v>
      </c>
      <c r="F58" s="82">
        <f>VLOOKUP($A58,IRData!$A$3:$Q$142,17,FALSE)</f>
        <v>5531</v>
      </c>
      <c r="G58" s="82">
        <f>VLOOKUP($A58,IRData!$A$3:$W$142,23,FALSE)</f>
        <v>0</v>
      </c>
      <c r="H58" s="83">
        <f t="shared" si="2"/>
        <v>1161.45469</v>
      </c>
      <c r="I58" s="83">
        <f t="shared" si="3"/>
        <v>0</v>
      </c>
      <c r="J58" s="82">
        <f>VLOOKUP($A58,IRData!$A$3:$M$142,13,FALSE)</f>
        <v>515</v>
      </c>
      <c r="K58" s="82">
        <f>VLOOKUP($A58,IRData!$A$3:$M$142,5,FALSE)</f>
        <v>0</v>
      </c>
      <c r="L58" s="84">
        <f t="shared" si="4"/>
        <v>16476.454689999999</v>
      </c>
      <c r="M58" s="161"/>
      <c r="N58" s="168"/>
    </row>
    <row r="59" spans="1:14" x14ac:dyDescent="0.2">
      <c r="A59">
        <v>1642015</v>
      </c>
      <c r="B59" t="s">
        <v>236</v>
      </c>
      <c r="C59" s="160">
        <v>34451</v>
      </c>
      <c r="D59" s="160">
        <v>437</v>
      </c>
      <c r="E59" s="170">
        <v>202.82</v>
      </c>
      <c r="F59" s="82">
        <f>VLOOKUP($A59,IRData!$A$3:$Q$142,17,FALSE)</f>
        <v>7126</v>
      </c>
      <c r="G59" s="82">
        <f>VLOOKUP($A59,IRData!$A$3:$W$142,23,FALSE)</f>
        <v>6957</v>
      </c>
      <c r="H59" s="83">
        <f t="shared" si="2"/>
        <v>1445.2953200000002</v>
      </c>
      <c r="I59" s="83">
        <f t="shared" si="3"/>
        <v>1411.01874</v>
      </c>
      <c r="J59" s="82">
        <f>VLOOKUP($A59,IRData!$A$3:$M$142,13,FALSE)</f>
        <v>6498</v>
      </c>
      <c r="K59" s="82">
        <f>VLOOKUP($A59,IRData!$A$3:$M$142,5,FALSE)</f>
        <v>0</v>
      </c>
      <c r="L59" s="84">
        <f t="shared" si="4"/>
        <v>43368.314059999997</v>
      </c>
      <c r="M59" s="161"/>
      <c r="N59" s="168"/>
    </row>
    <row r="60" spans="1:14" x14ac:dyDescent="0.2">
      <c r="A60">
        <v>1672015</v>
      </c>
      <c r="B60" t="s">
        <v>188</v>
      </c>
      <c r="C60" s="160">
        <v>146</v>
      </c>
      <c r="D60" s="160">
        <v>0</v>
      </c>
      <c r="E60" s="170">
        <v>198.1171339</v>
      </c>
      <c r="F60" s="82">
        <f>VLOOKUP($A60,IRData!$A$3:$Q$142,17,FALSE)</f>
        <v>1387</v>
      </c>
      <c r="G60" s="82">
        <f>VLOOKUP($A60,IRData!$A$3:$W$142,23,FALSE)</f>
        <v>0</v>
      </c>
      <c r="H60" s="83">
        <f t="shared" si="2"/>
        <v>274.78846471930001</v>
      </c>
      <c r="I60" s="83">
        <f t="shared" si="3"/>
        <v>0</v>
      </c>
      <c r="J60" s="82">
        <f>VLOOKUP($A60,IRData!$A$3:$M$142,13,FALSE)</f>
        <v>114</v>
      </c>
      <c r="K60" s="82">
        <f>VLOOKUP($A60,IRData!$A$3:$M$142,5,FALSE)</f>
        <v>0</v>
      </c>
      <c r="L60" s="84">
        <f t="shared" si="4"/>
        <v>534.78846471930001</v>
      </c>
      <c r="M60" s="161"/>
      <c r="N60" s="168"/>
    </row>
    <row r="61" spans="1:14" x14ac:dyDescent="0.2">
      <c r="A61">
        <v>1682015</v>
      </c>
      <c r="B61" t="s">
        <v>237</v>
      </c>
      <c r="C61" s="160">
        <v>7276</v>
      </c>
      <c r="D61" s="160">
        <v>0</v>
      </c>
      <c r="E61" s="170">
        <v>198.74</v>
      </c>
      <c r="F61" s="82">
        <f>VLOOKUP($A61,IRData!$A$3:$Q$142,17,FALSE)</f>
        <v>2730</v>
      </c>
      <c r="G61" s="82">
        <f>VLOOKUP($A61,IRData!$A$3:$W$142,23,FALSE)</f>
        <v>0</v>
      </c>
      <c r="H61" s="83">
        <f t="shared" si="2"/>
        <v>542.56020000000012</v>
      </c>
      <c r="I61" s="83">
        <f t="shared" si="3"/>
        <v>0</v>
      </c>
      <c r="J61" s="82">
        <f>VLOOKUP($A61,IRData!$A$3:$M$142,13,FALSE)</f>
        <v>392</v>
      </c>
      <c r="K61" s="82">
        <f>VLOOKUP($A61,IRData!$A$3:$M$142,5,FALSE)</f>
        <v>0</v>
      </c>
      <c r="L61" s="84">
        <f t="shared" si="4"/>
        <v>8210.5601999999999</v>
      </c>
      <c r="M61" s="161"/>
      <c r="N61" s="168"/>
    </row>
    <row r="62" spans="1:14" x14ac:dyDescent="0.2">
      <c r="A62">
        <v>1712015</v>
      </c>
      <c r="B62" t="s">
        <v>371</v>
      </c>
      <c r="C62" s="160">
        <v>38993</v>
      </c>
      <c r="D62" s="160">
        <v>0</v>
      </c>
      <c r="E62" s="170">
        <v>202.82</v>
      </c>
      <c r="F62" s="82">
        <f>VLOOKUP($A62,IRData!$A$3:$Q$142,17,FALSE)</f>
        <v>10733</v>
      </c>
      <c r="G62" s="82">
        <f>VLOOKUP($A62,IRData!$A$3:$W$142,23,FALSE)</f>
        <v>0</v>
      </c>
      <c r="H62" s="83">
        <f t="shared" si="2"/>
        <v>2176.86706</v>
      </c>
      <c r="I62" s="83">
        <f t="shared" si="3"/>
        <v>0</v>
      </c>
      <c r="J62" s="82">
        <f>VLOOKUP($A62,IRData!$A$3:$M$142,13,FALSE)</f>
        <v>2290</v>
      </c>
      <c r="K62" s="82">
        <f>VLOOKUP($A62,IRData!$A$3:$M$142,5,FALSE)</f>
        <v>0</v>
      </c>
      <c r="L62" s="84">
        <f t="shared" si="4"/>
        <v>43459.867059999997</v>
      </c>
      <c r="M62" s="161"/>
      <c r="N62" s="168"/>
    </row>
    <row r="63" spans="1:14" x14ac:dyDescent="0.2">
      <c r="A63">
        <v>1732015</v>
      </c>
      <c r="B63" t="s">
        <v>172</v>
      </c>
      <c r="C63" s="160">
        <v>20984</v>
      </c>
      <c r="D63" s="160">
        <v>0</v>
      </c>
      <c r="E63" s="170">
        <v>209.99</v>
      </c>
      <c r="F63" s="82">
        <f>VLOOKUP($A63,IRData!$A$3:$Q$142,17,FALSE)</f>
        <v>6990</v>
      </c>
      <c r="G63" s="82">
        <f>VLOOKUP($A63,IRData!$A$3:$W$142,23,FALSE)</f>
        <v>1276</v>
      </c>
      <c r="H63" s="83">
        <f t="shared" si="2"/>
        <v>1467.8301000000001</v>
      </c>
      <c r="I63" s="83">
        <f t="shared" si="3"/>
        <v>267.94723999999997</v>
      </c>
      <c r="J63" s="82">
        <f>VLOOKUP($A63,IRData!$A$3:$M$142,13,FALSE)</f>
        <v>384</v>
      </c>
      <c r="K63" s="82">
        <f>VLOOKUP($A63,IRData!$A$3:$M$142,5,FALSE)</f>
        <v>0</v>
      </c>
      <c r="L63" s="84">
        <f t="shared" si="4"/>
        <v>23103.777340000001</v>
      </c>
      <c r="M63" s="161"/>
      <c r="N63" s="168"/>
    </row>
    <row r="64" spans="1:14" x14ac:dyDescent="0.2">
      <c r="A64">
        <v>1812015</v>
      </c>
      <c r="B64" t="s">
        <v>239</v>
      </c>
      <c r="C64" s="160">
        <v>7763</v>
      </c>
      <c r="D64" s="160">
        <v>746</v>
      </c>
      <c r="E64" s="170">
        <v>209.99</v>
      </c>
      <c r="F64" s="82">
        <f>VLOOKUP($A64,IRData!$A$3:$Q$142,17,FALSE)</f>
        <v>1580</v>
      </c>
      <c r="G64" s="82">
        <f>VLOOKUP($A64,IRData!$A$3:$W$142,23,FALSE)</f>
        <v>0</v>
      </c>
      <c r="H64" s="83">
        <f t="shared" si="2"/>
        <v>331.7842</v>
      </c>
      <c r="I64" s="83">
        <f t="shared" si="3"/>
        <v>0</v>
      </c>
      <c r="J64" s="82">
        <f>VLOOKUP($A64,IRData!$A$3:$M$142,13,FALSE)</f>
        <v>107</v>
      </c>
      <c r="K64" s="82">
        <f>VLOOKUP($A64,IRData!$A$3:$M$142,5,FALSE)</f>
        <v>0</v>
      </c>
      <c r="L64" s="84">
        <f t="shared" si="4"/>
        <v>7455.7842000000001</v>
      </c>
      <c r="M64" s="161"/>
      <c r="N64" s="168"/>
    </row>
    <row r="65" spans="1:14" x14ac:dyDescent="0.2">
      <c r="A65">
        <v>1832015</v>
      </c>
      <c r="B65" t="s">
        <v>240</v>
      </c>
      <c r="C65" s="160">
        <v>9224</v>
      </c>
      <c r="D65" s="160">
        <v>0</v>
      </c>
      <c r="E65" s="170">
        <v>198.22</v>
      </c>
      <c r="F65" s="82">
        <f>VLOOKUP($A65,IRData!$A$3:$Q$142,17,FALSE)</f>
        <v>2796</v>
      </c>
      <c r="G65" s="82">
        <f>VLOOKUP($A65,IRData!$A$3:$W$142,23,FALSE)</f>
        <v>0</v>
      </c>
      <c r="H65" s="83">
        <f t="shared" si="2"/>
        <v>554.22311999999999</v>
      </c>
      <c r="I65" s="83">
        <f t="shared" si="3"/>
        <v>0</v>
      </c>
      <c r="J65" s="82">
        <f>VLOOKUP($A65,IRData!$A$3:$M$142,13,FALSE)</f>
        <v>993</v>
      </c>
      <c r="K65" s="82">
        <f>VLOOKUP($A65,IRData!$A$3:$M$142,5,FALSE)</f>
        <v>0</v>
      </c>
      <c r="L65" s="84">
        <f t="shared" si="4"/>
        <v>10771.223120000001</v>
      </c>
      <c r="M65" s="161"/>
      <c r="N65" s="168"/>
    </row>
    <row r="66" spans="1:14" x14ac:dyDescent="0.2">
      <c r="A66">
        <v>1842015</v>
      </c>
      <c r="B66" t="s">
        <v>173</v>
      </c>
      <c r="C66" s="160">
        <v>12859</v>
      </c>
      <c r="D66" s="160">
        <v>0</v>
      </c>
      <c r="E66" s="170">
        <v>209.99</v>
      </c>
      <c r="F66" s="82">
        <f>VLOOKUP($A66,IRData!$A$3:$Q$142,17,FALSE)</f>
        <v>5463</v>
      </c>
      <c r="G66" s="82">
        <f>VLOOKUP($A66,IRData!$A$3:$W$142,23,FALSE)</f>
        <v>445</v>
      </c>
      <c r="H66" s="83">
        <f t="shared" si="2"/>
        <v>1147.1753700000002</v>
      </c>
      <c r="I66" s="83">
        <f t="shared" si="3"/>
        <v>93.445549999999997</v>
      </c>
      <c r="J66" s="82">
        <f>VLOOKUP($A66,IRData!$A$3:$M$142,13,FALSE)</f>
        <v>722</v>
      </c>
      <c r="K66" s="82">
        <f>VLOOKUP($A66,IRData!$A$3:$M$142,5,FALSE)</f>
        <v>0</v>
      </c>
      <c r="L66" s="84">
        <f t="shared" si="4"/>
        <v>14821.620920000001</v>
      </c>
      <c r="M66" s="161"/>
      <c r="N66" s="168"/>
    </row>
    <row r="67" spans="1:14" x14ac:dyDescent="0.2">
      <c r="A67">
        <v>1872015</v>
      </c>
      <c r="B67" t="s">
        <v>241</v>
      </c>
      <c r="C67" s="160">
        <v>3994</v>
      </c>
      <c r="D67" s="160">
        <v>0</v>
      </c>
      <c r="E67" s="170">
        <v>198.22</v>
      </c>
      <c r="F67" s="82">
        <f>VLOOKUP($A67,IRData!$A$3:$Q$142,17,FALSE)</f>
        <v>909</v>
      </c>
      <c r="G67" s="82">
        <f>VLOOKUP($A67,IRData!$A$3:$W$142,23,FALSE)</f>
        <v>0</v>
      </c>
      <c r="H67" s="83">
        <f t="shared" si="2"/>
        <v>180.18198000000001</v>
      </c>
      <c r="I67" s="83">
        <f t="shared" si="3"/>
        <v>0</v>
      </c>
      <c r="J67" s="82">
        <f>VLOOKUP($A67,IRData!$A$3:$M$142,13,FALSE)</f>
        <v>0</v>
      </c>
      <c r="K67" s="82">
        <f>VLOOKUP($A67,IRData!$A$3:$M$142,5,FALSE)</f>
        <v>0</v>
      </c>
      <c r="L67" s="84">
        <f t="shared" si="4"/>
        <v>4174.1819800000003</v>
      </c>
      <c r="M67" s="161"/>
      <c r="N67" s="168"/>
    </row>
    <row r="68" spans="1:14" x14ac:dyDescent="0.2">
      <c r="A68">
        <v>1942015</v>
      </c>
      <c r="B68" t="s">
        <v>242</v>
      </c>
      <c r="C68" s="160">
        <v>13659</v>
      </c>
      <c r="D68" s="160">
        <v>0</v>
      </c>
      <c r="E68" s="170">
        <v>198.74</v>
      </c>
      <c r="F68" s="82">
        <f>VLOOKUP($A68,IRData!$A$3:$Q$142,17,FALSE)</f>
        <v>1928</v>
      </c>
      <c r="G68" s="82">
        <f>VLOOKUP($A68,IRData!$A$3:$W$142,23,FALSE)</f>
        <v>0</v>
      </c>
      <c r="H68" s="83">
        <f t="shared" ref="H68:H131" si="5">E68*F68/1000</f>
        <v>383.17072000000002</v>
      </c>
      <c r="I68" s="83">
        <f t="shared" ref="I68:I131" si="6">E68*G68/1000</f>
        <v>0</v>
      </c>
      <c r="J68" s="82">
        <f>VLOOKUP($A68,IRData!$A$3:$M$142,13,FALSE)</f>
        <v>297</v>
      </c>
      <c r="K68" s="82">
        <f>VLOOKUP($A68,IRData!$A$3:$M$142,5,FALSE)</f>
        <v>0</v>
      </c>
      <c r="L68" s="84">
        <f t="shared" ref="L68:L131" si="7">C68+H68+I68+J68-D68</f>
        <v>14339.17072</v>
      </c>
      <c r="M68" s="161"/>
      <c r="N68" s="168"/>
    </row>
    <row r="69" spans="1:14" x14ac:dyDescent="0.2">
      <c r="A69">
        <v>1962015</v>
      </c>
      <c r="B69" t="s">
        <v>372</v>
      </c>
      <c r="C69" s="160">
        <v>18172</v>
      </c>
      <c r="D69" s="160">
        <v>0</v>
      </c>
      <c r="E69" s="170">
        <v>198.22</v>
      </c>
      <c r="F69" s="82">
        <f>VLOOKUP($A69,IRData!$A$3:$Q$142,17,FALSE)</f>
        <v>6583</v>
      </c>
      <c r="G69" s="82">
        <f>VLOOKUP($A69,IRData!$A$3:$W$142,23,FALSE)</f>
        <v>0</v>
      </c>
      <c r="H69" s="83">
        <f t="shared" si="5"/>
        <v>1304.8822600000001</v>
      </c>
      <c r="I69" s="83">
        <f t="shared" si="6"/>
        <v>0</v>
      </c>
      <c r="J69" s="82">
        <f>VLOOKUP($A69,IRData!$A$3:$M$142,13,FALSE)</f>
        <v>1189</v>
      </c>
      <c r="K69" s="82">
        <f>VLOOKUP($A69,IRData!$A$3:$M$142,5,FALSE)</f>
        <v>0</v>
      </c>
      <c r="L69" s="84">
        <f t="shared" si="7"/>
        <v>20665.882259999998</v>
      </c>
      <c r="M69" s="161"/>
      <c r="N69" s="168"/>
    </row>
    <row r="70" spans="1:14" x14ac:dyDescent="0.2">
      <c r="A70">
        <v>1972015</v>
      </c>
      <c r="B70" t="s">
        <v>244</v>
      </c>
      <c r="C70" s="160">
        <v>23536</v>
      </c>
      <c r="D70" s="160">
        <v>673</v>
      </c>
      <c r="E70" s="170">
        <v>197.77</v>
      </c>
      <c r="F70" s="82">
        <f>VLOOKUP($A70,IRData!$A$3:$Q$142,17,FALSE)</f>
        <v>10628</v>
      </c>
      <c r="G70" s="82">
        <f>VLOOKUP($A70,IRData!$A$3:$W$142,23,FALSE)</f>
        <v>8410</v>
      </c>
      <c r="H70" s="83">
        <f t="shared" si="5"/>
        <v>2101.8995599999998</v>
      </c>
      <c r="I70" s="83">
        <f t="shared" si="6"/>
        <v>1663.2457000000002</v>
      </c>
      <c r="J70" s="82">
        <f>VLOOKUP($A70,IRData!$A$3:$M$142,13,FALSE)</f>
        <v>2848</v>
      </c>
      <c r="K70" s="82">
        <f>VLOOKUP($A70,IRData!$A$3:$M$142,5,FALSE)</f>
        <v>0</v>
      </c>
      <c r="L70" s="84">
        <f t="shared" si="7"/>
        <v>29476.145259999998</v>
      </c>
      <c r="M70" s="161"/>
      <c r="N70" s="168"/>
    </row>
    <row r="71" spans="1:14" x14ac:dyDescent="0.2">
      <c r="A71">
        <v>2042015</v>
      </c>
      <c r="B71" t="s">
        <v>174</v>
      </c>
      <c r="C71" s="160">
        <v>14511</v>
      </c>
      <c r="D71" s="160">
        <v>213</v>
      </c>
      <c r="E71" s="170">
        <v>209.99</v>
      </c>
      <c r="F71" s="82">
        <f>VLOOKUP($A71,IRData!$A$3:$Q$142,17,FALSE)</f>
        <v>12113</v>
      </c>
      <c r="G71" s="82">
        <f>VLOOKUP($A71,IRData!$A$3:$W$142,23,FALSE)</f>
        <v>0</v>
      </c>
      <c r="H71" s="83">
        <f t="shared" si="5"/>
        <v>2543.60887</v>
      </c>
      <c r="I71" s="83">
        <f t="shared" si="6"/>
        <v>0</v>
      </c>
      <c r="J71" s="82">
        <f>VLOOKUP($A71,IRData!$A$3:$M$142,13,FALSE)</f>
        <v>1303</v>
      </c>
      <c r="K71" s="82">
        <f>VLOOKUP($A71,IRData!$A$3:$M$142,5,FALSE)</f>
        <v>0</v>
      </c>
      <c r="L71" s="84">
        <f t="shared" si="7"/>
        <v>18144.60887</v>
      </c>
      <c r="M71" s="161"/>
      <c r="N71" s="168"/>
    </row>
    <row r="72" spans="1:14" x14ac:dyDescent="0.2">
      <c r="A72">
        <v>2052015</v>
      </c>
      <c r="B72" t="s">
        <v>245</v>
      </c>
      <c r="C72" s="160">
        <v>19169</v>
      </c>
      <c r="D72" s="160">
        <v>649</v>
      </c>
      <c r="E72" s="170">
        <v>198.74</v>
      </c>
      <c r="F72" s="82">
        <f>VLOOKUP($A72,IRData!$A$3:$Q$142,17,FALSE)</f>
        <v>8663</v>
      </c>
      <c r="G72" s="82">
        <f>VLOOKUP($A72,IRData!$A$3:$W$142,23,FALSE)</f>
        <v>0</v>
      </c>
      <c r="H72" s="83">
        <f t="shared" si="5"/>
        <v>1721.6846200000002</v>
      </c>
      <c r="I72" s="83">
        <f t="shared" si="6"/>
        <v>0</v>
      </c>
      <c r="J72" s="82">
        <f>VLOOKUP($A72,IRData!$A$3:$M$142,13,FALSE)</f>
        <v>530</v>
      </c>
      <c r="K72" s="82">
        <f>VLOOKUP($A72,IRData!$A$3:$M$142,5,FALSE)</f>
        <v>0</v>
      </c>
      <c r="L72" s="84">
        <f t="shared" si="7"/>
        <v>20771.68462</v>
      </c>
      <c r="M72" s="161"/>
      <c r="N72" s="168"/>
    </row>
    <row r="73" spans="1:14" x14ac:dyDescent="0.2">
      <c r="A73">
        <v>2062015</v>
      </c>
      <c r="B73" t="s">
        <v>246</v>
      </c>
      <c r="C73" s="160">
        <v>23421</v>
      </c>
      <c r="D73" s="160">
        <v>0</v>
      </c>
      <c r="E73" s="170">
        <v>198.22</v>
      </c>
      <c r="F73" s="82">
        <f>VLOOKUP($A73,IRData!$A$3:$Q$142,17,FALSE)</f>
        <v>6329</v>
      </c>
      <c r="G73" s="82">
        <f>VLOOKUP($A73,IRData!$A$3:$W$142,23,FALSE)</f>
        <v>2860</v>
      </c>
      <c r="H73" s="83">
        <f t="shared" si="5"/>
        <v>1254.5343799999998</v>
      </c>
      <c r="I73" s="83">
        <f t="shared" si="6"/>
        <v>566.90919999999994</v>
      </c>
      <c r="J73" s="82">
        <f>VLOOKUP($A73,IRData!$A$3:$M$142,13,FALSE)</f>
        <v>2288</v>
      </c>
      <c r="K73" s="82">
        <f>VLOOKUP($A73,IRData!$A$3:$M$142,5,FALSE)</f>
        <v>0</v>
      </c>
      <c r="L73" s="84">
        <f t="shared" si="7"/>
        <v>27530.443579999999</v>
      </c>
      <c r="M73" s="161"/>
      <c r="N73" s="168"/>
    </row>
    <row r="74" spans="1:14" x14ac:dyDescent="0.2">
      <c r="A74">
        <v>2102015</v>
      </c>
      <c r="B74" t="s">
        <v>373</v>
      </c>
      <c r="C74" s="160">
        <v>70704</v>
      </c>
      <c r="D74" s="160">
        <v>1086</v>
      </c>
      <c r="E74" s="170">
        <v>197.77</v>
      </c>
      <c r="F74" s="82">
        <f>VLOOKUP($A74,IRData!$A$3:$Q$142,17,FALSE)</f>
        <v>13405</v>
      </c>
      <c r="G74" s="82">
        <f>VLOOKUP($A74,IRData!$A$3:$W$142,23,FALSE)</f>
        <v>33790</v>
      </c>
      <c r="H74" s="83">
        <f t="shared" si="5"/>
        <v>2651.1068500000001</v>
      </c>
      <c r="I74" s="83">
        <f t="shared" si="6"/>
        <v>6682.6483000000007</v>
      </c>
      <c r="J74" s="82">
        <f>VLOOKUP($A74,IRData!$A$3:$M$142,13,FALSE)</f>
        <v>23587</v>
      </c>
      <c r="K74" s="82">
        <f>VLOOKUP($A74,IRData!$A$3:$M$142,5,FALSE)</f>
        <v>194</v>
      </c>
      <c r="L74" s="84">
        <f t="shared" si="7"/>
        <v>102538.75515</v>
      </c>
      <c r="M74" s="161"/>
      <c r="N74" s="168"/>
    </row>
    <row r="75" spans="1:14" x14ac:dyDescent="0.2">
      <c r="A75">
        <v>2132015</v>
      </c>
      <c r="B75" t="s">
        <v>248</v>
      </c>
      <c r="C75" s="160">
        <v>12363</v>
      </c>
      <c r="D75" s="160">
        <v>1301</v>
      </c>
      <c r="E75" s="170">
        <v>209.99</v>
      </c>
      <c r="F75" s="82">
        <f>VLOOKUP($A75,IRData!$A$3:$Q$142,17,FALSE)</f>
        <v>6841</v>
      </c>
      <c r="G75" s="82">
        <f>VLOOKUP($A75,IRData!$A$3:$W$142,23,FALSE)</f>
        <v>0</v>
      </c>
      <c r="H75" s="83">
        <f t="shared" si="5"/>
        <v>1436.54159</v>
      </c>
      <c r="I75" s="83">
        <f t="shared" si="6"/>
        <v>0</v>
      </c>
      <c r="J75" s="82">
        <f>VLOOKUP($A75,IRData!$A$3:$M$142,13,FALSE)</f>
        <v>1198</v>
      </c>
      <c r="K75" s="82">
        <f>VLOOKUP($A75,IRData!$A$3:$M$142,5,FALSE)</f>
        <v>0</v>
      </c>
      <c r="L75" s="84">
        <f t="shared" si="7"/>
        <v>13696.541590000001</v>
      </c>
      <c r="M75" s="161"/>
      <c r="N75" s="168"/>
    </row>
    <row r="76" spans="1:14" x14ac:dyDescent="0.2">
      <c r="A76">
        <v>2142015</v>
      </c>
      <c r="B76" t="s">
        <v>249</v>
      </c>
      <c r="C76" s="160">
        <v>13448</v>
      </c>
      <c r="D76" s="160">
        <v>0</v>
      </c>
      <c r="E76" s="170">
        <v>198.74</v>
      </c>
      <c r="F76" s="82">
        <f>VLOOKUP($A76,IRData!$A$3:$Q$142,17,FALSE)</f>
        <v>5173</v>
      </c>
      <c r="G76" s="82">
        <f>VLOOKUP($A76,IRData!$A$3:$W$142,23,FALSE)</f>
        <v>0</v>
      </c>
      <c r="H76" s="83">
        <f t="shared" si="5"/>
        <v>1028.0820200000001</v>
      </c>
      <c r="I76" s="83">
        <f t="shared" si="6"/>
        <v>0</v>
      </c>
      <c r="J76" s="82">
        <f>VLOOKUP($A76,IRData!$A$3:$M$142,13,FALSE)</f>
        <v>517</v>
      </c>
      <c r="K76" s="82">
        <f>VLOOKUP($A76,IRData!$A$3:$M$142,5,FALSE)</f>
        <v>0</v>
      </c>
      <c r="L76" s="84">
        <f t="shared" si="7"/>
        <v>14993.08202</v>
      </c>
      <c r="M76" s="161"/>
      <c r="N76" s="168"/>
    </row>
    <row r="77" spans="1:14" x14ac:dyDescent="0.2">
      <c r="A77">
        <v>2152015</v>
      </c>
      <c r="B77" t="s">
        <v>250</v>
      </c>
      <c r="C77" s="160">
        <v>178049</v>
      </c>
      <c r="D77" s="160">
        <v>4834</v>
      </c>
      <c r="E77" s="170">
        <v>209.99</v>
      </c>
      <c r="F77" s="82">
        <f>VLOOKUP($A77,IRData!$A$3:$Q$142,17,FALSE)</f>
        <v>120929</v>
      </c>
      <c r="G77" s="82">
        <f>VLOOKUP($A77,IRData!$A$3:$W$142,23,FALSE)</f>
        <v>99516</v>
      </c>
      <c r="H77" s="83">
        <f t="shared" si="5"/>
        <v>25393.880710000001</v>
      </c>
      <c r="I77" s="83">
        <f t="shared" si="6"/>
        <v>20897.364839999998</v>
      </c>
      <c r="J77" s="82">
        <f>VLOOKUP($A77,IRData!$A$3:$M$142,13,FALSE)</f>
        <v>24063</v>
      </c>
      <c r="K77" s="82">
        <f>VLOOKUP($A77,IRData!$A$3:$M$142,5,FALSE)</f>
        <v>1544</v>
      </c>
      <c r="L77" s="84">
        <f t="shared" si="7"/>
        <v>243569.24554999999</v>
      </c>
      <c r="M77" s="161"/>
      <c r="N77" s="168"/>
    </row>
    <row r="78" spans="1:14" x14ac:dyDescent="0.2">
      <c r="A78">
        <v>2222015</v>
      </c>
      <c r="B78" t="s">
        <v>175</v>
      </c>
      <c r="C78" s="160">
        <v>564</v>
      </c>
      <c r="D78" s="160">
        <v>0</v>
      </c>
      <c r="E78" s="170">
        <v>198.22</v>
      </c>
      <c r="F78" s="82">
        <f>VLOOKUP($A78,IRData!$A$3:$Q$142,17,FALSE)</f>
        <v>268</v>
      </c>
      <c r="G78" s="82">
        <f>VLOOKUP($A78,IRData!$A$3:$W$142,23,FALSE)</f>
        <v>998</v>
      </c>
      <c r="H78" s="83">
        <f t="shared" si="5"/>
        <v>53.122959999999999</v>
      </c>
      <c r="I78" s="83">
        <f t="shared" si="6"/>
        <v>197.82355999999999</v>
      </c>
      <c r="J78" s="82">
        <f>VLOOKUP($A78,IRData!$A$3:$M$142,13,FALSE)</f>
        <v>0</v>
      </c>
      <c r="K78" s="82">
        <f>VLOOKUP($A78,IRData!$A$3:$M$142,5,FALSE)</f>
        <v>0</v>
      </c>
      <c r="L78" s="84">
        <f t="shared" si="7"/>
        <v>814.94651999999996</v>
      </c>
      <c r="M78" s="161"/>
      <c r="N78" s="168"/>
    </row>
    <row r="79" spans="1:14" x14ac:dyDescent="0.2">
      <c r="A79">
        <v>2232015</v>
      </c>
      <c r="B79" t="s">
        <v>251</v>
      </c>
      <c r="C79" s="160">
        <v>27251</v>
      </c>
      <c r="D79" s="160">
        <v>0</v>
      </c>
      <c r="E79" s="170">
        <v>198.22</v>
      </c>
      <c r="F79" s="82">
        <f>VLOOKUP($A79,IRData!$A$3:$Q$142,17,FALSE)</f>
        <v>17168</v>
      </c>
      <c r="G79" s="82">
        <f>VLOOKUP($A79,IRData!$A$3:$W$142,23,FALSE)</f>
        <v>0</v>
      </c>
      <c r="H79" s="83">
        <f t="shared" si="5"/>
        <v>3403.0409599999998</v>
      </c>
      <c r="I79" s="83">
        <f t="shared" si="6"/>
        <v>0</v>
      </c>
      <c r="J79" s="82">
        <f>VLOOKUP($A79,IRData!$A$3:$M$142,13,FALSE)</f>
        <v>1127</v>
      </c>
      <c r="K79" s="82">
        <f>VLOOKUP($A79,IRData!$A$3:$M$142,5,FALSE)</f>
        <v>0</v>
      </c>
      <c r="L79" s="84">
        <f t="shared" si="7"/>
        <v>31781.040959999998</v>
      </c>
      <c r="M79" s="161"/>
      <c r="N79" s="168"/>
    </row>
    <row r="80" spans="1:14" x14ac:dyDescent="0.2">
      <c r="A80">
        <v>2272015</v>
      </c>
      <c r="B80" t="s">
        <v>252</v>
      </c>
      <c r="C80" s="160">
        <v>219230</v>
      </c>
      <c r="D80" s="160">
        <v>5942</v>
      </c>
      <c r="E80" s="170">
        <v>202.82</v>
      </c>
      <c r="F80" s="82">
        <f>VLOOKUP($A80,IRData!$A$3:$Q$142,17,FALSE)</f>
        <v>85509</v>
      </c>
      <c r="G80" s="82">
        <f>VLOOKUP($A80,IRData!$A$3:$W$142,23,FALSE)</f>
        <v>71909</v>
      </c>
      <c r="H80" s="83">
        <f t="shared" si="5"/>
        <v>17342.935379999999</v>
      </c>
      <c r="I80" s="83">
        <f t="shared" si="6"/>
        <v>14584.583379999998</v>
      </c>
      <c r="J80" s="82">
        <f>VLOOKUP($A80,IRData!$A$3:$M$142,13,FALSE)</f>
        <v>34270</v>
      </c>
      <c r="K80" s="82">
        <f>VLOOKUP($A80,IRData!$A$3:$M$142,5,FALSE)</f>
        <v>1188</v>
      </c>
      <c r="L80" s="84">
        <f t="shared" si="7"/>
        <v>279485.51876000001</v>
      </c>
      <c r="M80" s="161"/>
      <c r="N80" s="168"/>
    </row>
    <row r="81" spans="1:22" x14ac:dyDescent="0.2">
      <c r="A81">
        <v>2312015</v>
      </c>
      <c r="B81" t="s">
        <v>253</v>
      </c>
      <c r="C81" s="160">
        <v>9452</v>
      </c>
      <c r="D81" s="160">
        <v>0</v>
      </c>
      <c r="E81" s="170">
        <v>198.74</v>
      </c>
      <c r="F81" s="82">
        <f>VLOOKUP($A81,IRData!$A$3:$Q$142,17,FALSE)</f>
        <v>6548</v>
      </c>
      <c r="G81" s="82">
        <f>VLOOKUP($A81,IRData!$A$3:$W$142,23,FALSE)</f>
        <v>0</v>
      </c>
      <c r="H81" s="83">
        <f t="shared" si="5"/>
        <v>1301.34952</v>
      </c>
      <c r="I81" s="83">
        <f t="shared" si="6"/>
        <v>0</v>
      </c>
      <c r="J81" s="82">
        <f>VLOOKUP($A81,IRData!$A$3:$M$142,13,FALSE)</f>
        <v>80</v>
      </c>
      <c r="K81" s="82">
        <f>VLOOKUP($A81,IRData!$A$3:$M$142,5,FALSE)</f>
        <v>0</v>
      </c>
      <c r="L81" s="84">
        <f t="shared" si="7"/>
        <v>10833.34952</v>
      </c>
      <c r="M81" s="161"/>
      <c r="N81" s="168"/>
    </row>
    <row r="82" spans="1:22" x14ac:dyDescent="0.2">
      <c r="A82">
        <v>2342015</v>
      </c>
      <c r="B82" t="s">
        <v>254</v>
      </c>
      <c r="C82" s="160">
        <v>16778</v>
      </c>
      <c r="D82" s="160">
        <v>0</v>
      </c>
      <c r="E82" s="170">
        <v>197.77</v>
      </c>
      <c r="F82" s="82">
        <f>VLOOKUP($A82,IRData!$A$3:$Q$142,17,FALSE)</f>
        <v>3487</v>
      </c>
      <c r="G82" s="82">
        <f>VLOOKUP($A82,IRData!$A$3:$W$142,23,FALSE)</f>
        <v>0</v>
      </c>
      <c r="H82" s="83">
        <f t="shared" si="5"/>
        <v>689.62398999999994</v>
      </c>
      <c r="I82" s="83">
        <f t="shared" si="6"/>
        <v>0</v>
      </c>
      <c r="J82" s="82">
        <f>VLOOKUP($A82,IRData!$A$3:$M$142,13,FALSE)</f>
        <v>1340</v>
      </c>
      <c r="K82" s="82">
        <f>VLOOKUP($A82,IRData!$A$3:$M$142,5,FALSE)</f>
        <v>0</v>
      </c>
      <c r="L82" s="84">
        <f t="shared" si="7"/>
        <v>18807.62399</v>
      </c>
      <c r="M82" s="161"/>
      <c r="N82" s="168"/>
    </row>
    <row r="83" spans="1:22" x14ac:dyDescent="0.2">
      <c r="A83">
        <v>2382015</v>
      </c>
      <c r="B83" t="s">
        <v>176</v>
      </c>
      <c r="C83" s="160">
        <v>36152</v>
      </c>
      <c r="D83" s="160">
        <v>0</v>
      </c>
      <c r="E83" s="170">
        <v>197.77</v>
      </c>
      <c r="F83" s="82">
        <f>VLOOKUP($A83,IRData!$A$3:$Q$142,17,FALSE)</f>
        <v>13383</v>
      </c>
      <c r="G83" s="82">
        <f>VLOOKUP($A83,IRData!$A$3:$W$142,23,FALSE)</f>
        <v>1487</v>
      </c>
      <c r="H83" s="83">
        <f t="shared" si="5"/>
        <v>2646.7559100000003</v>
      </c>
      <c r="I83" s="83">
        <f t="shared" si="6"/>
        <v>294.08398999999997</v>
      </c>
      <c r="J83" s="82">
        <f>VLOOKUP($A83,IRData!$A$3:$M$142,13,FALSE)</f>
        <v>3770</v>
      </c>
      <c r="K83" s="82">
        <f>VLOOKUP($A83,IRData!$A$3:$M$142,5,FALSE)</f>
        <v>0</v>
      </c>
      <c r="L83" s="84">
        <f t="shared" si="7"/>
        <v>42862.839899999999</v>
      </c>
      <c r="M83" s="161"/>
      <c r="N83" s="168"/>
    </row>
    <row r="84" spans="1:22" x14ac:dyDescent="0.2">
      <c r="A84">
        <v>2422015</v>
      </c>
      <c r="B84" t="s">
        <v>255</v>
      </c>
      <c r="C84" s="160">
        <v>7724</v>
      </c>
      <c r="D84" s="160">
        <v>0</v>
      </c>
      <c r="E84" s="170">
        <v>198.22</v>
      </c>
      <c r="F84" s="82">
        <f>VLOOKUP($A84,IRData!$A$3:$Q$142,17,FALSE)</f>
        <v>2192</v>
      </c>
      <c r="G84" s="82">
        <f>VLOOKUP($A84,IRData!$A$3:$W$142,23,FALSE)</f>
        <v>0</v>
      </c>
      <c r="H84" s="83">
        <f t="shared" si="5"/>
        <v>434.49824000000001</v>
      </c>
      <c r="I84" s="83">
        <f t="shared" si="6"/>
        <v>0</v>
      </c>
      <c r="J84" s="82">
        <f>VLOOKUP($A84,IRData!$A$3:$M$142,13,FALSE)</f>
        <v>150</v>
      </c>
      <c r="K84" s="82">
        <f>VLOOKUP($A84,IRData!$A$3:$M$142,5,FALSE)</f>
        <v>0</v>
      </c>
      <c r="L84" s="84">
        <f t="shared" si="7"/>
        <v>8308.4982400000008</v>
      </c>
      <c r="M84" s="161"/>
      <c r="N84" s="168"/>
    </row>
    <row r="85" spans="1:22" s="62" customFormat="1" x14ac:dyDescent="0.2">
      <c r="A85">
        <v>2482015</v>
      </c>
      <c r="B85" t="s">
        <v>256</v>
      </c>
      <c r="C85" s="160">
        <v>11598</v>
      </c>
      <c r="D85" s="160">
        <v>150</v>
      </c>
      <c r="E85" s="170">
        <v>198.74</v>
      </c>
      <c r="F85" s="82">
        <f>VLOOKUP($A85,IRData!$A$3:$Q$142,17,FALSE)</f>
        <v>2558</v>
      </c>
      <c r="G85" s="82">
        <f>VLOOKUP($A85,IRData!$A$3:$W$142,23,FALSE)</f>
        <v>0</v>
      </c>
      <c r="H85" s="83">
        <f t="shared" si="5"/>
        <v>508.37692000000004</v>
      </c>
      <c r="I85" s="83">
        <f t="shared" si="6"/>
        <v>0</v>
      </c>
      <c r="J85" s="82">
        <f>VLOOKUP($A85,IRData!$A$3:$M$142,13,FALSE)</f>
        <v>241</v>
      </c>
      <c r="K85" s="82">
        <f>VLOOKUP($A85,IRData!$A$3:$M$142,5,FALSE)</f>
        <v>0</v>
      </c>
      <c r="L85" s="84">
        <f t="shared" si="7"/>
        <v>12197.376920000001</v>
      </c>
      <c r="M85" s="161"/>
      <c r="N85" s="168"/>
      <c r="O85" s="60"/>
      <c r="P85" s="60"/>
      <c r="R85" s="60"/>
      <c r="V85" s="60"/>
    </row>
    <row r="86" spans="1:22" x14ac:dyDescent="0.2">
      <c r="A86">
        <v>2492015</v>
      </c>
      <c r="B86" t="s">
        <v>257</v>
      </c>
      <c r="C86" s="160">
        <v>50778</v>
      </c>
      <c r="D86" s="160">
        <v>135</v>
      </c>
      <c r="E86" s="170">
        <v>202.82</v>
      </c>
      <c r="F86" s="82">
        <f>VLOOKUP($A86,IRData!$A$3:$Q$142,17,FALSE)</f>
        <v>34911</v>
      </c>
      <c r="G86" s="82">
        <f>VLOOKUP($A86,IRData!$A$3:$W$142,23,FALSE)</f>
        <v>18088</v>
      </c>
      <c r="H86" s="83">
        <f t="shared" si="5"/>
        <v>7080.6490199999998</v>
      </c>
      <c r="I86" s="83">
        <f t="shared" si="6"/>
        <v>3668.6081599999998</v>
      </c>
      <c r="J86" s="82">
        <f>VLOOKUP($A86,IRData!$A$3:$M$142,13,FALSE)</f>
        <v>5116</v>
      </c>
      <c r="K86" s="82">
        <f>VLOOKUP($A86,IRData!$A$3:$M$142,5,FALSE)</f>
        <v>246</v>
      </c>
      <c r="L86" s="84">
        <f t="shared" si="7"/>
        <v>66508.257180000001</v>
      </c>
      <c r="M86" s="161"/>
      <c r="N86" s="168"/>
    </row>
    <row r="87" spans="1:22" x14ac:dyDescent="0.2">
      <c r="A87">
        <v>2512015</v>
      </c>
      <c r="B87" t="s">
        <v>258</v>
      </c>
      <c r="C87" s="160">
        <v>56420</v>
      </c>
      <c r="D87" s="160">
        <v>0</v>
      </c>
      <c r="E87" s="170">
        <v>198.22</v>
      </c>
      <c r="F87" s="82">
        <f>VLOOKUP($A87,IRData!$A$3:$Q$142,17,FALSE)</f>
        <v>18090</v>
      </c>
      <c r="G87" s="82">
        <f>VLOOKUP($A87,IRData!$A$3:$W$142,23,FALSE)</f>
        <v>16777</v>
      </c>
      <c r="H87" s="83">
        <f t="shared" si="5"/>
        <v>3585.7997999999998</v>
      </c>
      <c r="I87" s="83">
        <f t="shared" si="6"/>
        <v>3325.53694</v>
      </c>
      <c r="J87" s="82">
        <f>VLOOKUP($A87,IRData!$A$3:$M$142,13,FALSE)</f>
        <v>7131</v>
      </c>
      <c r="K87" s="82">
        <f>VLOOKUP($A87,IRData!$A$3:$M$142,5,FALSE)</f>
        <v>0</v>
      </c>
      <c r="L87" s="84">
        <f t="shared" si="7"/>
        <v>70462.336739999999</v>
      </c>
      <c r="M87" s="161"/>
      <c r="N87" s="168"/>
    </row>
    <row r="88" spans="1:22" x14ac:dyDescent="0.2">
      <c r="A88">
        <v>2572015</v>
      </c>
      <c r="B88" t="s">
        <v>374</v>
      </c>
      <c r="C88" s="160">
        <v>58480</v>
      </c>
      <c r="D88" s="160">
        <v>347</v>
      </c>
      <c r="E88" s="170">
        <v>198.22</v>
      </c>
      <c r="F88" s="82">
        <f>VLOOKUP($A88,IRData!$A$3:$Q$142,17,FALSE)</f>
        <v>19861</v>
      </c>
      <c r="G88" s="82">
        <f>VLOOKUP($A88,IRData!$A$3:$W$142,23,FALSE)</f>
        <v>3504</v>
      </c>
      <c r="H88" s="83">
        <f t="shared" si="5"/>
        <v>3936.8474200000001</v>
      </c>
      <c r="I88" s="83">
        <f t="shared" si="6"/>
        <v>694.56287999999995</v>
      </c>
      <c r="J88" s="82">
        <f>VLOOKUP($A88,IRData!$A$3:$M$142,13,FALSE)</f>
        <v>5530</v>
      </c>
      <c r="K88" s="82">
        <f>VLOOKUP($A88,IRData!$A$3:$M$142,5,FALSE)</f>
        <v>0</v>
      </c>
      <c r="L88" s="84">
        <f t="shared" si="7"/>
        <v>68294.410299999989</v>
      </c>
      <c r="M88" s="161"/>
      <c r="N88" s="168"/>
    </row>
    <row r="89" spans="1:22" x14ac:dyDescent="0.2">
      <c r="A89">
        <v>2642015</v>
      </c>
      <c r="B89" t="s">
        <v>260</v>
      </c>
      <c r="C89" s="160">
        <v>19629</v>
      </c>
      <c r="D89" s="160">
        <v>0</v>
      </c>
      <c r="E89" s="170">
        <v>198.74</v>
      </c>
      <c r="F89" s="82">
        <f>VLOOKUP($A89,IRData!$A$3:$Q$142,17,FALSE)</f>
        <v>15091</v>
      </c>
      <c r="G89" s="82">
        <f>VLOOKUP($A89,IRData!$A$3:$W$142,23,FALSE)</f>
        <v>0</v>
      </c>
      <c r="H89" s="83">
        <f t="shared" si="5"/>
        <v>2999.1853400000005</v>
      </c>
      <c r="I89" s="83">
        <f t="shared" si="6"/>
        <v>0</v>
      </c>
      <c r="J89" s="82">
        <f>VLOOKUP($A89,IRData!$A$3:$M$142,13,FALSE)</f>
        <v>709</v>
      </c>
      <c r="K89" s="82">
        <f>VLOOKUP($A89,IRData!$A$3:$M$142,5,FALSE)</f>
        <v>0</v>
      </c>
      <c r="L89" s="84">
        <f t="shared" si="7"/>
        <v>23337.18534</v>
      </c>
      <c r="M89" s="161"/>
      <c r="N89" s="168"/>
    </row>
    <row r="90" spans="1:22" x14ac:dyDescent="0.2">
      <c r="A90">
        <v>2672015</v>
      </c>
      <c r="B90" t="s">
        <v>261</v>
      </c>
      <c r="C90" s="160">
        <v>12281</v>
      </c>
      <c r="D90" s="160">
        <v>0</v>
      </c>
      <c r="E90" s="170">
        <v>198.74</v>
      </c>
      <c r="F90" s="82">
        <f>VLOOKUP($A90,IRData!$A$3:$Q$142,17,FALSE)</f>
        <v>5672</v>
      </c>
      <c r="G90" s="82">
        <f>VLOOKUP($A90,IRData!$A$3:$W$142,23,FALSE)</f>
        <v>0</v>
      </c>
      <c r="H90" s="83">
        <f t="shared" si="5"/>
        <v>1127.2532800000001</v>
      </c>
      <c r="I90" s="83">
        <f t="shared" si="6"/>
        <v>0</v>
      </c>
      <c r="J90" s="82">
        <f>VLOOKUP($A90,IRData!$A$3:$M$142,13,FALSE)</f>
        <v>354</v>
      </c>
      <c r="K90" s="82">
        <f>VLOOKUP($A90,IRData!$A$3:$M$142,5,FALSE)</f>
        <v>0</v>
      </c>
      <c r="L90" s="84">
        <f t="shared" si="7"/>
        <v>13762.253280000001</v>
      </c>
      <c r="M90" s="161"/>
      <c r="N90" s="168"/>
    </row>
    <row r="91" spans="1:22" x14ac:dyDescent="0.2">
      <c r="A91">
        <v>2692015</v>
      </c>
      <c r="B91" t="s">
        <v>262</v>
      </c>
      <c r="C91" s="160">
        <v>93749</v>
      </c>
      <c r="D91" s="160">
        <v>0</v>
      </c>
      <c r="E91" s="170">
        <v>198.2638815</v>
      </c>
      <c r="F91" s="82">
        <f>VLOOKUP($A91,IRData!$A$3:$Q$142,17,FALSE)</f>
        <v>40898</v>
      </c>
      <c r="G91" s="82">
        <f>VLOOKUP($A91,IRData!$A$3:$W$142,23,FALSE)</f>
        <v>24164</v>
      </c>
      <c r="H91" s="83">
        <f t="shared" si="5"/>
        <v>8108.5962255869999</v>
      </c>
      <c r="I91" s="83">
        <f t="shared" si="6"/>
        <v>4790.8484325660002</v>
      </c>
      <c r="J91" s="82">
        <f>VLOOKUP($A91,IRData!$A$3:$M$142,13,FALSE)</f>
        <v>12016</v>
      </c>
      <c r="K91" s="82">
        <f>VLOOKUP($A91,IRData!$A$3:$M$142,5,FALSE)</f>
        <v>1422</v>
      </c>
      <c r="L91" s="84">
        <f t="shared" si="7"/>
        <v>118664.44465815299</v>
      </c>
      <c r="M91" s="161"/>
      <c r="N91" s="168"/>
    </row>
    <row r="92" spans="1:22" x14ac:dyDescent="0.2">
      <c r="A92">
        <v>2712015</v>
      </c>
      <c r="B92" t="s">
        <v>263</v>
      </c>
      <c r="C92" s="160">
        <v>959</v>
      </c>
      <c r="D92" s="160">
        <v>0</v>
      </c>
      <c r="E92" s="170">
        <v>209.99</v>
      </c>
      <c r="F92" s="82">
        <f>VLOOKUP($A92,IRData!$A$3:$Q$142,17,FALSE)</f>
        <v>0</v>
      </c>
      <c r="G92" s="82">
        <f>VLOOKUP($A92,IRData!$A$3:$W$142,23,FALSE)</f>
        <v>5216</v>
      </c>
      <c r="H92" s="83">
        <f t="shared" si="5"/>
        <v>0</v>
      </c>
      <c r="I92" s="83">
        <f t="shared" si="6"/>
        <v>1095.3078400000002</v>
      </c>
      <c r="J92" s="82">
        <f>VLOOKUP($A92,IRData!$A$3:$M$142,13,FALSE)</f>
        <v>0</v>
      </c>
      <c r="K92" s="82">
        <f>VLOOKUP($A92,IRData!$A$3:$M$142,5,FALSE)</f>
        <v>0</v>
      </c>
      <c r="L92" s="84">
        <f t="shared" si="7"/>
        <v>2054.3078400000004</v>
      </c>
      <c r="M92" s="161"/>
      <c r="N92" s="168"/>
    </row>
    <row r="93" spans="1:22" x14ac:dyDescent="0.2">
      <c r="A93">
        <v>2742015</v>
      </c>
      <c r="B93" t="s">
        <v>177</v>
      </c>
      <c r="C93" s="160">
        <v>30071</v>
      </c>
      <c r="D93" s="160">
        <v>0</v>
      </c>
      <c r="E93" s="170">
        <v>209.99</v>
      </c>
      <c r="F93" s="82">
        <f>VLOOKUP($A93,IRData!$A$3:$Q$142,17,FALSE)</f>
        <v>12666</v>
      </c>
      <c r="G93" s="82">
        <f>VLOOKUP($A93,IRData!$A$3:$W$142,23,FALSE)</f>
        <v>2605</v>
      </c>
      <c r="H93" s="83">
        <f t="shared" si="5"/>
        <v>2659.7333400000002</v>
      </c>
      <c r="I93" s="83">
        <f t="shared" si="6"/>
        <v>547.02395000000001</v>
      </c>
      <c r="J93" s="82">
        <f>VLOOKUP($A93,IRData!$A$3:$M$142,13,FALSE)</f>
        <v>1683</v>
      </c>
      <c r="K93" s="82">
        <f>VLOOKUP($A93,IRData!$A$3:$M$142,5,FALSE)</f>
        <v>0</v>
      </c>
      <c r="L93" s="84">
        <f t="shared" si="7"/>
        <v>34960.757290000001</v>
      </c>
      <c r="M93" s="161"/>
      <c r="N93" s="168"/>
    </row>
    <row r="94" spans="1:22" x14ac:dyDescent="0.2">
      <c r="A94">
        <v>2752015</v>
      </c>
      <c r="B94" t="s">
        <v>264</v>
      </c>
      <c r="C94" s="160">
        <v>76264</v>
      </c>
      <c r="D94" s="160">
        <v>0</v>
      </c>
      <c r="E94" s="170">
        <v>197.77</v>
      </c>
      <c r="F94" s="82">
        <f>VLOOKUP($A94,IRData!$A$3:$Q$142,17,FALSE)</f>
        <v>36392</v>
      </c>
      <c r="G94" s="82">
        <f>VLOOKUP($A94,IRData!$A$3:$W$142,23,FALSE)</f>
        <v>4650</v>
      </c>
      <c r="H94" s="83">
        <f t="shared" si="5"/>
        <v>7197.2458400000005</v>
      </c>
      <c r="I94" s="83">
        <f t="shared" si="6"/>
        <v>919.63049999999998</v>
      </c>
      <c r="J94" s="82">
        <f>VLOOKUP($A94,IRData!$A$3:$M$142,13,FALSE)</f>
        <v>4266</v>
      </c>
      <c r="K94" s="82">
        <f>VLOOKUP($A94,IRData!$A$3:$M$142,5,FALSE)</f>
        <v>0</v>
      </c>
      <c r="L94" s="84">
        <f t="shared" si="7"/>
        <v>88646.876340000003</v>
      </c>
      <c r="M94" s="161"/>
      <c r="N94" s="168"/>
    </row>
    <row r="95" spans="1:22" x14ac:dyDescent="0.2">
      <c r="A95">
        <v>2872015</v>
      </c>
      <c r="B95" t="s">
        <v>178</v>
      </c>
      <c r="C95" s="160">
        <v>0</v>
      </c>
      <c r="D95" s="160">
        <v>0</v>
      </c>
      <c r="E95" s="170">
        <v>198.74</v>
      </c>
      <c r="F95" s="82">
        <f>VLOOKUP($A95,IRData!$A$3:$Q$142,17,FALSE)</f>
        <v>0</v>
      </c>
      <c r="G95" s="82">
        <f>VLOOKUP($A95,IRData!$A$3:$W$142,23,FALSE)</f>
        <v>0</v>
      </c>
      <c r="H95" s="83">
        <f t="shared" si="5"/>
        <v>0</v>
      </c>
      <c r="I95" s="83">
        <f t="shared" si="6"/>
        <v>0</v>
      </c>
      <c r="J95" s="82">
        <f>VLOOKUP($A95,IRData!$A$3:$M$142,13,FALSE)</f>
        <v>0</v>
      </c>
      <c r="K95" s="82">
        <f>VLOOKUP($A95,IRData!$A$3:$M$142,5,FALSE)</f>
        <v>0</v>
      </c>
      <c r="L95" s="84">
        <f t="shared" si="7"/>
        <v>0</v>
      </c>
      <c r="M95" s="161"/>
      <c r="N95" s="168"/>
    </row>
    <row r="96" spans="1:22" x14ac:dyDescent="0.2">
      <c r="A96">
        <v>2882015</v>
      </c>
      <c r="B96" t="s">
        <v>265</v>
      </c>
      <c r="C96" s="160">
        <v>1480</v>
      </c>
      <c r="D96" s="160">
        <v>0</v>
      </c>
      <c r="E96" s="170">
        <v>209.99</v>
      </c>
      <c r="F96" s="82">
        <f>VLOOKUP($A96,IRData!$A$3:$Q$142,17,FALSE)</f>
        <v>0</v>
      </c>
      <c r="G96" s="82">
        <f>VLOOKUP($A96,IRData!$A$3:$W$142,23,FALSE)</f>
        <v>7894</v>
      </c>
      <c r="H96" s="83">
        <f t="shared" si="5"/>
        <v>0</v>
      </c>
      <c r="I96" s="83">
        <f t="shared" si="6"/>
        <v>1657.6610600000001</v>
      </c>
      <c r="J96" s="82">
        <f>VLOOKUP($A96,IRData!$A$3:$M$142,13,FALSE)</f>
        <v>0</v>
      </c>
      <c r="K96" s="82">
        <f>VLOOKUP($A96,IRData!$A$3:$M$142,5,FALSE)</f>
        <v>0</v>
      </c>
      <c r="L96" s="84">
        <f t="shared" si="7"/>
        <v>3137.6610600000004</v>
      </c>
      <c r="M96" s="161"/>
      <c r="N96" s="168"/>
    </row>
    <row r="97" spans="1:14" x14ac:dyDescent="0.2">
      <c r="A97">
        <v>2942015</v>
      </c>
      <c r="B97" t="s">
        <v>266</v>
      </c>
      <c r="C97" s="160">
        <v>2275</v>
      </c>
      <c r="D97" s="160">
        <v>0</v>
      </c>
      <c r="E97" s="177">
        <v>204.92872509999998</v>
      </c>
      <c r="F97" s="82">
        <f>VLOOKUP($A97,IRData!$A$3:$Q$142,17,FALSE)</f>
        <v>4910</v>
      </c>
      <c r="G97" s="82">
        <f>VLOOKUP($A97,IRData!$A$3:$W$142,23,FALSE)</f>
        <v>0</v>
      </c>
      <c r="H97" s="83">
        <f t="shared" si="5"/>
        <v>1006.2000402409999</v>
      </c>
      <c r="I97" s="83">
        <f t="shared" si="6"/>
        <v>0</v>
      </c>
      <c r="J97" s="82">
        <f>VLOOKUP($A97,IRData!$A$3:$M$142,13,FALSE)</f>
        <v>492</v>
      </c>
      <c r="K97" s="82">
        <f>VLOOKUP($A97,IRData!$A$3:$M$142,5,FALSE)</f>
        <v>0</v>
      </c>
      <c r="L97" s="84">
        <f t="shared" si="7"/>
        <v>3773.2000402409999</v>
      </c>
      <c r="M97" s="161"/>
      <c r="N97" s="168"/>
    </row>
    <row r="98" spans="1:14" x14ac:dyDescent="0.2">
      <c r="A98">
        <v>2952015</v>
      </c>
      <c r="B98" t="s">
        <v>267</v>
      </c>
      <c r="C98" s="160">
        <v>68776</v>
      </c>
      <c r="D98" s="160">
        <v>7143</v>
      </c>
      <c r="E98" s="170">
        <v>198.74</v>
      </c>
      <c r="F98" s="82">
        <f>VLOOKUP($A98,IRData!$A$3:$Q$142,17,FALSE)</f>
        <v>23139</v>
      </c>
      <c r="G98" s="82">
        <f>VLOOKUP($A98,IRData!$A$3:$W$142,23,FALSE)</f>
        <v>6574</v>
      </c>
      <c r="H98" s="83">
        <f t="shared" si="5"/>
        <v>4598.6448600000003</v>
      </c>
      <c r="I98" s="83">
        <f t="shared" si="6"/>
        <v>1306.51676</v>
      </c>
      <c r="J98" s="82">
        <f>VLOOKUP($A98,IRData!$A$3:$M$142,13,FALSE)</f>
        <v>4458</v>
      </c>
      <c r="K98" s="82">
        <f>VLOOKUP($A98,IRData!$A$3:$M$142,5,FALSE)</f>
        <v>0</v>
      </c>
      <c r="L98" s="84">
        <f t="shared" si="7"/>
        <v>71996.161619999999</v>
      </c>
      <c r="M98" s="161"/>
      <c r="N98" s="168"/>
    </row>
    <row r="99" spans="1:14" x14ac:dyDescent="0.2">
      <c r="A99">
        <v>3062015</v>
      </c>
      <c r="B99" t="s">
        <v>268</v>
      </c>
      <c r="C99" s="160">
        <v>36565</v>
      </c>
      <c r="D99" s="160">
        <v>0</v>
      </c>
      <c r="E99" s="170">
        <v>198.74</v>
      </c>
      <c r="F99" s="82">
        <f>VLOOKUP($A99,IRData!$A$3:$Q$142,17,FALSE)</f>
        <v>16402</v>
      </c>
      <c r="G99" s="82">
        <f>VLOOKUP($A99,IRData!$A$3:$W$142,23,FALSE)</f>
        <v>0</v>
      </c>
      <c r="H99" s="83">
        <f t="shared" si="5"/>
        <v>3259.7334799999999</v>
      </c>
      <c r="I99" s="83">
        <f t="shared" si="6"/>
        <v>0</v>
      </c>
      <c r="J99" s="82">
        <f>VLOOKUP($A99,IRData!$A$3:$M$142,13,FALSE)</f>
        <v>2089</v>
      </c>
      <c r="K99" s="82">
        <f>VLOOKUP($A99,IRData!$A$3:$M$142,5,FALSE)</f>
        <v>0</v>
      </c>
      <c r="L99" s="84">
        <f t="shared" si="7"/>
        <v>41913.733480000003</v>
      </c>
      <c r="M99" s="161"/>
      <c r="N99" s="168"/>
    </row>
    <row r="100" spans="1:14" x14ac:dyDescent="0.2">
      <c r="A100">
        <v>3072015</v>
      </c>
      <c r="B100" t="s">
        <v>179</v>
      </c>
      <c r="C100" s="160">
        <v>381</v>
      </c>
      <c r="D100" s="160">
        <v>0</v>
      </c>
      <c r="E100" s="170">
        <v>198.74</v>
      </c>
      <c r="F100" s="82">
        <f>VLOOKUP($A100,IRData!$A$3:$Q$142,17,FALSE)</f>
        <v>0</v>
      </c>
      <c r="G100" s="82">
        <f>VLOOKUP($A100,IRData!$A$3:$W$142,23,FALSE)</f>
        <v>0</v>
      </c>
      <c r="H100" s="83">
        <f t="shared" si="5"/>
        <v>0</v>
      </c>
      <c r="I100" s="83">
        <f t="shared" si="6"/>
        <v>0</v>
      </c>
      <c r="J100" s="82">
        <f>VLOOKUP($A100,IRData!$A$3:$M$142,13,FALSE)</f>
        <v>0</v>
      </c>
      <c r="K100" s="82">
        <f>VLOOKUP($A100,IRData!$A$3:$M$142,5,FALSE)</f>
        <v>0</v>
      </c>
      <c r="L100" s="84">
        <f t="shared" si="7"/>
        <v>381</v>
      </c>
      <c r="M100" s="161"/>
      <c r="N100" s="168"/>
    </row>
    <row r="101" spans="1:14" x14ac:dyDescent="0.2">
      <c r="A101">
        <v>3112015</v>
      </c>
      <c r="B101" t="s">
        <v>269</v>
      </c>
      <c r="C101" s="160">
        <v>107714</v>
      </c>
      <c r="D101" s="160">
        <v>1134</v>
      </c>
      <c r="E101" s="170">
        <v>209.99</v>
      </c>
      <c r="F101" s="82">
        <f>VLOOKUP($A101,IRData!$A$3:$Q$142,17,FALSE)</f>
        <v>34507</v>
      </c>
      <c r="G101" s="82">
        <f>VLOOKUP($A101,IRData!$A$3:$W$142,23,FALSE)</f>
        <v>25115</v>
      </c>
      <c r="H101" s="83">
        <f t="shared" si="5"/>
        <v>7246.1249300000009</v>
      </c>
      <c r="I101" s="83">
        <f t="shared" si="6"/>
        <v>5273.8988500000005</v>
      </c>
      <c r="J101" s="82">
        <f>VLOOKUP($A101,IRData!$A$3:$M$142,13,FALSE)</f>
        <v>6178</v>
      </c>
      <c r="K101" s="82">
        <f>VLOOKUP($A101,IRData!$A$3:$M$142,5,FALSE)</f>
        <v>0</v>
      </c>
      <c r="L101" s="84">
        <f t="shared" si="7"/>
        <v>125278.02378</v>
      </c>
      <c r="M101" s="161"/>
      <c r="N101" s="168"/>
    </row>
    <row r="102" spans="1:14" x14ac:dyDescent="0.2">
      <c r="A102">
        <v>3432015</v>
      </c>
      <c r="B102" t="s">
        <v>180</v>
      </c>
      <c r="C102" s="160">
        <v>11909</v>
      </c>
      <c r="D102" s="160">
        <v>0</v>
      </c>
      <c r="E102" s="170">
        <v>198.74</v>
      </c>
      <c r="F102" s="82">
        <f>VLOOKUP($A102,IRData!$A$3:$Q$142,17,FALSE)</f>
        <v>4278</v>
      </c>
      <c r="G102" s="82">
        <f>VLOOKUP($A102,IRData!$A$3:$W$142,23,FALSE)</f>
        <v>550</v>
      </c>
      <c r="H102" s="83">
        <f t="shared" si="5"/>
        <v>850.20972000000006</v>
      </c>
      <c r="I102" s="83">
        <f t="shared" si="6"/>
        <v>109.307</v>
      </c>
      <c r="J102" s="82">
        <f>VLOOKUP($A102,IRData!$A$3:$M$142,13,FALSE)</f>
        <v>123</v>
      </c>
      <c r="K102" s="82">
        <f>VLOOKUP($A102,IRData!$A$3:$M$142,5,FALSE)</f>
        <v>0</v>
      </c>
      <c r="L102" s="84">
        <f t="shared" si="7"/>
        <v>12991.516720000001</v>
      </c>
      <c r="M102" s="161"/>
      <c r="N102" s="168"/>
    </row>
    <row r="103" spans="1:14" x14ac:dyDescent="0.2">
      <c r="A103">
        <v>3492015</v>
      </c>
      <c r="B103" t="s">
        <v>270</v>
      </c>
      <c r="C103" s="160">
        <v>25369</v>
      </c>
      <c r="D103" s="160">
        <v>0</v>
      </c>
      <c r="E103" s="170">
        <v>198.22</v>
      </c>
      <c r="F103" s="82">
        <f>VLOOKUP($A103,IRData!$A$3:$Q$142,17,FALSE)</f>
        <v>7500</v>
      </c>
      <c r="G103" s="82">
        <f>VLOOKUP($A103,IRData!$A$3:$W$142,23,FALSE)</f>
        <v>2500</v>
      </c>
      <c r="H103" s="83">
        <f t="shared" si="5"/>
        <v>1486.65</v>
      </c>
      <c r="I103" s="83">
        <f t="shared" si="6"/>
        <v>495.55</v>
      </c>
      <c r="J103" s="82">
        <f>VLOOKUP($A103,IRData!$A$3:$M$142,13,FALSE)</f>
        <v>654</v>
      </c>
      <c r="K103" s="82">
        <f>VLOOKUP($A103,IRData!$A$3:$M$142,5,FALSE)</f>
        <v>0</v>
      </c>
      <c r="L103" s="84">
        <f t="shared" si="7"/>
        <v>28005.200000000001</v>
      </c>
      <c r="M103" s="161"/>
      <c r="N103" s="168"/>
    </row>
    <row r="104" spans="1:14" x14ac:dyDescent="0.2">
      <c r="A104">
        <v>3542015</v>
      </c>
      <c r="B104" t="s">
        <v>271</v>
      </c>
      <c r="C104" s="160">
        <v>91969</v>
      </c>
      <c r="D104" s="160">
        <v>458</v>
      </c>
      <c r="E104" s="170">
        <v>202.82</v>
      </c>
      <c r="F104" s="82">
        <f>VLOOKUP($A104,IRData!$A$3:$Q$142,17,FALSE)</f>
        <v>28518</v>
      </c>
      <c r="G104" s="82">
        <f>VLOOKUP($A104,IRData!$A$3:$W$142,23,FALSE)</f>
        <v>14174</v>
      </c>
      <c r="H104" s="83">
        <f t="shared" si="5"/>
        <v>5784.0207599999994</v>
      </c>
      <c r="I104" s="83">
        <f t="shared" si="6"/>
        <v>2874.7706799999996</v>
      </c>
      <c r="J104" s="82">
        <f>VLOOKUP($A104,IRData!$A$3:$M$142,13,FALSE)</f>
        <v>34314</v>
      </c>
      <c r="K104" s="82">
        <f>VLOOKUP($A104,IRData!$A$3:$M$142,5,FALSE)</f>
        <v>0</v>
      </c>
      <c r="L104" s="84">
        <f t="shared" si="7"/>
        <v>134483.79144</v>
      </c>
      <c r="M104" s="161"/>
      <c r="N104" s="168"/>
    </row>
    <row r="105" spans="1:14" x14ac:dyDescent="0.2">
      <c r="A105">
        <v>3732015</v>
      </c>
      <c r="B105" t="s">
        <v>272</v>
      </c>
      <c r="C105" s="160">
        <v>9852</v>
      </c>
      <c r="D105" s="160">
        <v>18</v>
      </c>
      <c r="E105" s="170">
        <v>198.74</v>
      </c>
      <c r="F105" s="82">
        <f>VLOOKUP($A105,IRData!$A$3:$Q$142,17,FALSE)</f>
        <v>3213</v>
      </c>
      <c r="G105" s="82">
        <f>VLOOKUP($A105,IRData!$A$3:$W$142,23,FALSE)</f>
        <v>0</v>
      </c>
      <c r="H105" s="83">
        <f t="shared" si="5"/>
        <v>638.55161999999996</v>
      </c>
      <c r="I105" s="83">
        <f t="shared" si="6"/>
        <v>0</v>
      </c>
      <c r="J105" s="82">
        <f>VLOOKUP($A105,IRData!$A$3:$M$142,13,FALSE)</f>
        <v>138</v>
      </c>
      <c r="K105" s="82">
        <f>VLOOKUP($A105,IRData!$A$3:$M$142,5,FALSE)</f>
        <v>0</v>
      </c>
      <c r="L105" s="84">
        <f t="shared" si="7"/>
        <v>10610.55162</v>
      </c>
      <c r="M105" s="161"/>
      <c r="N105" s="168"/>
    </row>
    <row r="106" spans="1:14" x14ac:dyDescent="0.2">
      <c r="A106">
        <v>4182015</v>
      </c>
      <c r="B106" t="s">
        <v>273</v>
      </c>
      <c r="C106" s="160">
        <v>11369</v>
      </c>
      <c r="D106" s="160">
        <v>0</v>
      </c>
      <c r="E106" s="170">
        <v>197.77</v>
      </c>
      <c r="F106" s="82">
        <f>VLOOKUP($A106,IRData!$A$3:$Q$142,17,FALSE)</f>
        <v>2324</v>
      </c>
      <c r="G106" s="82">
        <f>VLOOKUP($A106,IRData!$A$3:$W$142,23,FALSE)</f>
        <v>0</v>
      </c>
      <c r="H106" s="83">
        <f t="shared" si="5"/>
        <v>459.61748000000006</v>
      </c>
      <c r="I106" s="83">
        <f t="shared" si="6"/>
        <v>0</v>
      </c>
      <c r="J106" s="82">
        <f>VLOOKUP($A106,IRData!$A$3:$M$142,13,FALSE)</f>
        <v>722</v>
      </c>
      <c r="K106" s="82">
        <f>VLOOKUP($A106,IRData!$A$3:$M$142,5,FALSE)</f>
        <v>0</v>
      </c>
      <c r="L106" s="84">
        <f t="shared" si="7"/>
        <v>12550.617480000001</v>
      </c>
      <c r="M106" s="161"/>
      <c r="N106" s="168"/>
    </row>
    <row r="107" spans="1:14" x14ac:dyDescent="0.2">
      <c r="A107">
        <v>4332015</v>
      </c>
      <c r="B107" t="s">
        <v>375</v>
      </c>
      <c r="C107" s="160">
        <v>67854</v>
      </c>
      <c r="D107" s="160">
        <v>0</v>
      </c>
      <c r="E107" s="170">
        <v>202.82</v>
      </c>
      <c r="F107" s="82">
        <f>VLOOKUP($A107,IRData!$A$3:$Q$142,17,FALSE)</f>
        <v>25206</v>
      </c>
      <c r="G107" s="82">
        <f>VLOOKUP($A107,IRData!$A$3:$W$142,23,FALSE)</f>
        <v>7529</v>
      </c>
      <c r="H107" s="83">
        <f t="shared" si="5"/>
        <v>5112.2809200000002</v>
      </c>
      <c r="I107" s="83">
        <f t="shared" si="6"/>
        <v>1527.03178</v>
      </c>
      <c r="J107" s="82">
        <f>VLOOKUP($A107,IRData!$A$3:$M$142,13,FALSE)</f>
        <v>8566</v>
      </c>
      <c r="K107" s="82">
        <f>VLOOKUP($A107,IRData!$A$3:$M$142,5,FALSE)</f>
        <v>403</v>
      </c>
      <c r="L107" s="84">
        <f t="shared" si="7"/>
        <v>83059.312700000009</v>
      </c>
      <c r="M107" s="161"/>
      <c r="N107" s="168"/>
    </row>
    <row r="108" spans="1:14" x14ac:dyDescent="0.2">
      <c r="A108">
        <v>4472015</v>
      </c>
      <c r="B108" t="s">
        <v>181</v>
      </c>
      <c r="C108" s="160">
        <v>23244</v>
      </c>
      <c r="D108" s="160">
        <v>0</v>
      </c>
      <c r="E108" s="170">
        <v>198.74</v>
      </c>
      <c r="F108" s="82">
        <f>VLOOKUP($A108,IRData!$A$3:$Q$142,17,FALSE)</f>
        <v>0</v>
      </c>
      <c r="G108" s="82">
        <f>VLOOKUP($A108,IRData!$A$3:$W$142,23,FALSE)</f>
        <v>2019</v>
      </c>
      <c r="H108" s="83">
        <f t="shared" si="5"/>
        <v>0</v>
      </c>
      <c r="I108" s="83">
        <f t="shared" si="6"/>
        <v>401.25605999999999</v>
      </c>
      <c r="J108" s="82">
        <f>VLOOKUP($A108,IRData!$A$3:$M$142,13,FALSE)</f>
        <v>0</v>
      </c>
      <c r="K108" s="82">
        <f>VLOOKUP($A108,IRData!$A$3:$M$142,5,FALSE)</f>
        <v>0</v>
      </c>
      <c r="L108" s="84">
        <f t="shared" si="7"/>
        <v>23645.25606</v>
      </c>
      <c r="M108" s="161"/>
      <c r="N108" s="168"/>
    </row>
    <row r="109" spans="1:14" x14ac:dyDescent="0.2">
      <c r="A109">
        <v>4602015</v>
      </c>
      <c r="B109" t="s">
        <v>140</v>
      </c>
      <c r="C109" s="160">
        <v>177107</v>
      </c>
      <c r="D109" s="160">
        <v>950</v>
      </c>
      <c r="E109" s="170">
        <v>209.99</v>
      </c>
      <c r="F109" s="82">
        <f>VLOOKUP($A109,IRData!$A$3:$Q$142,17,FALSE)</f>
        <v>86300</v>
      </c>
      <c r="G109" s="82">
        <f>VLOOKUP($A109,IRData!$A$3:$W$142,23,FALSE)</f>
        <v>54857</v>
      </c>
      <c r="H109" s="83">
        <f t="shared" si="5"/>
        <v>18122.136999999999</v>
      </c>
      <c r="I109" s="83">
        <f t="shared" si="6"/>
        <v>11519.42143</v>
      </c>
      <c r="J109" s="82">
        <f>VLOOKUP($A109,IRData!$A$3:$M$142,13,FALSE)</f>
        <v>16297</v>
      </c>
      <c r="K109" s="82">
        <f>VLOOKUP($A109,IRData!$A$3:$M$142,5,FALSE)</f>
        <v>367</v>
      </c>
      <c r="L109" s="84">
        <f t="shared" si="7"/>
        <v>222095.55842999998</v>
      </c>
      <c r="M109" s="161"/>
      <c r="N109" s="168"/>
    </row>
    <row r="110" spans="1:14" x14ac:dyDescent="0.2">
      <c r="A110">
        <v>4642015</v>
      </c>
      <c r="B110" t="s">
        <v>275</v>
      </c>
      <c r="C110" s="160">
        <v>63841</v>
      </c>
      <c r="D110" s="160">
        <v>0</v>
      </c>
      <c r="E110" s="170">
        <v>202.82</v>
      </c>
      <c r="F110" s="82">
        <f>VLOOKUP($A110,IRData!$A$3:$Q$142,17,FALSE)</f>
        <v>13846</v>
      </c>
      <c r="G110" s="82">
        <f>VLOOKUP($A110,IRData!$A$3:$W$142,23,FALSE)</f>
        <v>8900</v>
      </c>
      <c r="H110" s="83">
        <f t="shared" si="5"/>
        <v>2808.2457199999999</v>
      </c>
      <c r="I110" s="83">
        <f t="shared" si="6"/>
        <v>1805.098</v>
      </c>
      <c r="J110" s="82">
        <f>VLOOKUP($A110,IRData!$A$3:$M$142,13,FALSE)</f>
        <v>6901</v>
      </c>
      <c r="K110" s="82">
        <f>VLOOKUP($A110,IRData!$A$3:$M$142,5,FALSE)</f>
        <v>0</v>
      </c>
      <c r="L110" s="84">
        <f t="shared" si="7"/>
        <v>75355.343720000004</v>
      </c>
      <c r="M110" s="161"/>
      <c r="N110" s="168"/>
    </row>
    <row r="111" spans="1:14" x14ac:dyDescent="0.2">
      <c r="A111">
        <v>4842015</v>
      </c>
      <c r="B111" t="s">
        <v>182</v>
      </c>
      <c r="C111" s="160">
        <v>506</v>
      </c>
      <c r="D111" s="160">
        <v>0</v>
      </c>
      <c r="E111" s="170">
        <v>209.99</v>
      </c>
      <c r="F111" s="82">
        <f>VLOOKUP($A111,IRData!$A$3:$Q$142,17,FALSE)</f>
        <v>0</v>
      </c>
      <c r="G111" s="82">
        <f>VLOOKUP($A111,IRData!$A$3:$W$142,23,FALSE)</f>
        <v>4125</v>
      </c>
      <c r="H111" s="83">
        <f t="shared" si="5"/>
        <v>0</v>
      </c>
      <c r="I111" s="83">
        <f t="shared" si="6"/>
        <v>866.20875000000001</v>
      </c>
      <c r="J111" s="82">
        <f>VLOOKUP($A111,IRData!$A$3:$M$142,13,FALSE)</f>
        <v>0</v>
      </c>
      <c r="K111" s="82">
        <f>VLOOKUP($A111,IRData!$A$3:$M$142,5,FALSE)</f>
        <v>0</v>
      </c>
      <c r="L111" s="84">
        <f t="shared" si="7"/>
        <v>1372.20875</v>
      </c>
      <c r="M111" s="161"/>
      <c r="N111" s="168"/>
    </row>
    <row r="112" spans="1:14" x14ac:dyDescent="0.2">
      <c r="A112">
        <v>5032015</v>
      </c>
      <c r="B112" t="s">
        <v>376</v>
      </c>
      <c r="C112" s="160">
        <v>167218</v>
      </c>
      <c r="D112" s="160">
        <v>1232</v>
      </c>
      <c r="E112" s="170">
        <v>198.22</v>
      </c>
      <c r="F112" s="82">
        <f>VLOOKUP($A112,IRData!$A$3:$Q$142,17,FALSE)</f>
        <v>73934</v>
      </c>
      <c r="G112" s="82">
        <f>VLOOKUP($A112,IRData!$A$3:$W$142,23,FALSE)</f>
        <v>17398</v>
      </c>
      <c r="H112" s="83">
        <f t="shared" si="5"/>
        <v>14655.197480000001</v>
      </c>
      <c r="I112" s="83">
        <f t="shared" si="6"/>
        <v>3448.6315600000003</v>
      </c>
      <c r="J112" s="82">
        <f>VLOOKUP($A112,IRData!$A$3:$M$142,13,FALSE)</f>
        <v>24895</v>
      </c>
      <c r="K112" s="82">
        <f>VLOOKUP($A112,IRData!$A$3:$M$142,5,FALSE)</f>
        <v>0</v>
      </c>
      <c r="L112" s="84">
        <f t="shared" si="7"/>
        <v>208984.82904000001</v>
      </c>
      <c r="M112" s="161"/>
      <c r="N112" s="168"/>
    </row>
    <row r="113" spans="1:14" x14ac:dyDescent="0.2">
      <c r="A113">
        <v>5112015</v>
      </c>
      <c r="B113" t="s">
        <v>277</v>
      </c>
      <c r="C113" s="160">
        <v>320595</v>
      </c>
      <c r="D113" s="160">
        <v>17181</v>
      </c>
      <c r="E113" s="170">
        <v>198.22</v>
      </c>
      <c r="F113" s="82">
        <f>VLOOKUP($A113,IRData!$A$3:$Q$142,17,FALSE)</f>
        <v>198320</v>
      </c>
      <c r="G113" s="82">
        <f>VLOOKUP($A113,IRData!$A$3:$W$142,23,FALSE)</f>
        <v>75194</v>
      </c>
      <c r="H113" s="83">
        <f t="shared" si="5"/>
        <v>39310.990399999995</v>
      </c>
      <c r="I113" s="83">
        <f t="shared" si="6"/>
        <v>14904.954679999999</v>
      </c>
      <c r="J113" s="82">
        <f>VLOOKUP($A113,IRData!$A$3:$M$142,13,FALSE)</f>
        <v>28003</v>
      </c>
      <c r="K113" s="82">
        <f>VLOOKUP($A113,IRData!$A$3:$M$142,5,FALSE)</f>
        <v>675</v>
      </c>
      <c r="L113" s="84">
        <f t="shared" si="7"/>
        <v>385632.94508000003</v>
      </c>
      <c r="M113" s="161"/>
      <c r="N113" s="168"/>
    </row>
    <row r="114" spans="1:14" x14ac:dyDescent="0.2">
      <c r="A114">
        <v>5122015</v>
      </c>
      <c r="B114" t="s">
        <v>183</v>
      </c>
      <c r="C114" s="160">
        <v>1635</v>
      </c>
      <c r="D114" s="160">
        <v>0</v>
      </c>
      <c r="E114" s="170">
        <v>198.22</v>
      </c>
      <c r="F114" s="82">
        <f>VLOOKUP($A114,IRData!$A$3:$Q$142,17,FALSE)</f>
        <v>0</v>
      </c>
      <c r="G114" s="82">
        <f>VLOOKUP($A114,IRData!$A$3:$W$142,23,FALSE)</f>
        <v>0</v>
      </c>
      <c r="H114" s="83">
        <f t="shared" si="5"/>
        <v>0</v>
      </c>
      <c r="I114" s="83">
        <f t="shared" si="6"/>
        <v>0</v>
      </c>
      <c r="J114" s="82">
        <f>VLOOKUP($A114,IRData!$A$3:$M$142,13,FALSE)</f>
        <v>0</v>
      </c>
      <c r="K114" s="82">
        <f>VLOOKUP($A114,IRData!$A$3:$M$142,5,FALSE)</f>
        <v>0</v>
      </c>
      <c r="L114" s="84">
        <f t="shared" si="7"/>
        <v>1635</v>
      </c>
      <c r="M114" s="161"/>
      <c r="N114" s="168"/>
    </row>
    <row r="115" spans="1:14" x14ac:dyDescent="0.2">
      <c r="A115">
        <v>5422015</v>
      </c>
      <c r="B115" t="s">
        <v>278</v>
      </c>
      <c r="C115" s="160">
        <v>43222</v>
      </c>
      <c r="D115" s="160">
        <v>235</v>
      </c>
      <c r="E115" s="170">
        <v>198.74</v>
      </c>
      <c r="F115" s="82">
        <f>VLOOKUP($A115,IRData!$A$3:$Q$142,17,FALSE)</f>
        <v>19775</v>
      </c>
      <c r="G115" s="82">
        <f>VLOOKUP($A115,IRData!$A$3:$W$142,23,FALSE)</f>
        <v>0</v>
      </c>
      <c r="H115" s="83">
        <f t="shared" si="5"/>
        <v>3930.0835000000002</v>
      </c>
      <c r="I115" s="83">
        <f t="shared" si="6"/>
        <v>0</v>
      </c>
      <c r="J115" s="82">
        <f>VLOOKUP($A115,IRData!$A$3:$M$142,13,FALSE)</f>
        <v>2648</v>
      </c>
      <c r="K115" s="82">
        <f>VLOOKUP($A115,IRData!$A$3:$M$142,5,FALSE)</f>
        <v>0</v>
      </c>
      <c r="L115" s="84">
        <f t="shared" si="7"/>
        <v>49565.083500000001</v>
      </c>
      <c r="M115" s="161"/>
      <c r="N115" s="168"/>
    </row>
    <row r="116" spans="1:14" x14ac:dyDescent="0.2">
      <c r="A116">
        <v>5662015</v>
      </c>
      <c r="B116" t="s">
        <v>279</v>
      </c>
      <c r="C116" s="160">
        <v>290620</v>
      </c>
      <c r="D116" s="160">
        <v>48965</v>
      </c>
      <c r="E116" s="170">
        <v>197.77</v>
      </c>
      <c r="F116" s="82">
        <f>VLOOKUP($A116,IRData!$A$3:$Q$142,17,FALSE)</f>
        <v>234298</v>
      </c>
      <c r="G116" s="82">
        <f>VLOOKUP($A116,IRData!$A$3:$W$142,23,FALSE)</f>
        <v>136011</v>
      </c>
      <c r="H116" s="83">
        <f t="shared" si="5"/>
        <v>46337.115460000001</v>
      </c>
      <c r="I116" s="83">
        <f t="shared" si="6"/>
        <v>26898.895470000003</v>
      </c>
      <c r="J116" s="82">
        <f>VLOOKUP($A116,IRData!$A$3:$M$142,13,FALSE)</f>
        <v>96439</v>
      </c>
      <c r="K116" s="82">
        <f>VLOOKUP($A116,IRData!$A$3:$M$142,5,FALSE)</f>
        <v>2418</v>
      </c>
      <c r="L116" s="84">
        <f t="shared" si="7"/>
        <v>411330.01092999999</v>
      </c>
      <c r="M116" s="161"/>
      <c r="N116" s="168"/>
    </row>
    <row r="117" spans="1:14" x14ac:dyDescent="0.2">
      <c r="A117">
        <v>5742015</v>
      </c>
      <c r="B117" t="s">
        <v>280</v>
      </c>
      <c r="C117" s="160">
        <v>391421</v>
      </c>
      <c r="D117" s="160">
        <v>17858</v>
      </c>
      <c r="E117" s="170">
        <v>198.74</v>
      </c>
      <c r="F117" s="82">
        <f>VLOOKUP($A117,IRData!$A$3:$Q$142,17,FALSE)</f>
        <v>153611</v>
      </c>
      <c r="G117" s="82">
        <f>VLOOKUP($A117,IRData!$A$3:$W$142,23,FALSE)</f>
        <v>207904</v>
      </c>
      <c r="H117" s="83">
        <f t="shared" si="5"/>
        <v>30528.650140000002</v>
      </c>
      <c r="I117" s="83">
        <f t="shared" si="6"/>
        <v>41318.840960000001</v>
      </c>
      <c r="J117" s="82">
        <f>VLOOKUP($A117,IRData!$A$3:$M$142,13,FALSE)</f>
        <v>54453</v>
      </c>
      <c r="K117" s="82">
        <f>VLOOKUP($A117,IRData!$A$3:$M$142,5,FALSE)</f>
        <v>1197</v>
      </c>
      <c r="L117" s="84">
        <f t="shared" si="7"/>
        <v>499863.49109999998</v>
      </c>
      <c r="M117" s="161"/>
      <c r="N117" s="168"/>
    </row>
    <row r="118" spans="1:14" x14ac:dyDescent="0.2">
      <c r="A118">
        <v>5782015</v>
      </c>
      <c r="B118" t="s">
        <v>281</v>
      </c>
      <c r="C118" s="160">
        <v>11016</v>
      </c>
      <c r="D118" s="160">
        <v>0</v>
      </c>
      <c r="E118" s="170">
        <v>198.74</v>
      </c>
      <c r="F118" s="82">
        <f>VLOOKUP($A118,IRData!$A$3:$Q$142,17,FALSE)</f>
        <v>4456</v>
      </c>
      <c r="G118" s="82">
        <f>VLOOKUP($A118,IRData!$A$3:$W$142,23,FALSE)</f>
        <v>0</v>
      </c>
      <c r="H118" s="83">
        <f t="shared" si="5"/>
        <v>885.58544000000006</v>
      </c>
      <c r="I118" s="83">
        <f t="shared" si="6"/>
        <v>0</v>
      </c>
      <c r="J118" s="82">
        <f>VLOOKUP($A118,IRData!$A$3:$M$142,13,FALSE)</f>
        <v>289</v>
      </c>
      <c r="K118" s="82">
        <f>VLOOKUP($A118,IRData!$A$3:$M$142,5,FALSE)</f>
        <v>0</v>
      </c>
      <c r="L118" s="84">
        <f t="shared" si="7"/>
        <v>12190.585440000001</v>
      </c>
      <c r="M118" s="161"/>
      <c r="N118" s="168"/>
    </row>
    <row r="119" spans="1:14" x14ac:dyDescent="0.2">
      <c r="A119">
        <v>5912015</v>
      </c>
      <c r="B119" t="s">
        <v>348</v>
      </c>
      <c r="C119" s="160">
        <v>33476</v>
      </c>
      <c r="D119" s="160">
        <v>738</v>
      </c>
      <c r="E119" s="170">
        <v>198.74</v>
      </c>
      <c r="F119" s="82">
        <f>VLOOKUP($A119,IRData!$A$3:$Q$142,17,FALSE)</f>
        <v>17668</v>
      </c>
      <c r="G119" s="82">
        <f>VLOOKUP($A119,IRData!$A$3:$W$142,23,FALSE)</f>
        <v>1712</v>
      </c>
      <c r="H119" s="83">
        <f t="shared" si="5"/>
        <v>3511.3383200000003</v>
      </c>
      <c r="I119" s="83">
        <f t="shared" si="6"/>
        <v>340.24288000000001</v>
      </c>
      <c r="J119" s="82">
        <f>VLOOKUP($A119,IRData!$A$3:$M$142,13,FALSE)</f>
        <v>1289</v>
      </c>
      <c r="K119" s="82">
        <f>VLOOKUP($A119,IRData!$A$3:$M$142,5,FALSE)</f>
        <v>0</v>
      </c>
      <c r="L119" s="84">
        <f t="shared" si="7"/>
        <v>37878.581200000001</v>
      </c>
      <c r="M119" s="161"/>
      <c r="N119" s="168"/>
    </row>
    <row r="120" spans="1:14" x14ac:dyDescent="0.2">
      <c r="A120">
        <v>5932015</v>
      </c>
      <c r="B120" t="s">
        <v>283</v>
      </c>
      <c r="C120" s="160">
        <v>13232</v>
      </c>
      <c r="D120" s="160">
        <v>495</v>
      </c>
      <c r="E120" s="170">
        <v>209.99</v>
      </c>
      <c r="F120" s="82">
        <f>VLOOKUP($A120,IRData!$A$3:$Q$142,17,FALSE)</f>
        <v>3853</v>
      </c>
      <c r="G120" s="82">
        <f>VLOOKUP($A120,IRData!$A$3:$W$142,23,FALSE)</f>
        <v>0</v>
      </c>
      <c r="H120" s="83">
        <f t="shared" si="5"/>
        <v>809.09147000000007</v>
      </c>
      <c r="I120" s="83">
        <f t="shared" si="6"/>
        <v>0</v>
      </c>
      <c r="J120" s="82">
        <f>VLOOKUP($A120,IRData!$A$3:$M$142,13,FALSE)</f>
        <v>244</v>
      </c>
      <c r="K120" s="82">
        <f>VLOOKUP($A120,IRData!$A$3:$M$142,5,FALSE)</f>
        <v>0</v>
      </c>
      <c r="L120" s="84">
        <f t="shared" si="7"/>
        <v>13790.091469999999</v>
      </c>
      <c r="M120" s="161"/>
      <c r="N120" s="168"/>
    </row>
    <row r="121" spans="1:14" x14ac:dyDescent="0.2">
      <c r="A121">
        <v>5992015</v>
      </c>
      <c r="B121" t="s">
        <v>284</v>
      </c>
      <c r="C121" s="160">
        <v>19574</v>
      </c>
      <c r="D121" s="160">
        <v>0</v>
      </c>
      <c r="E121" s="170">
        <v>209.99</v>
      </c>
      <c r="F121" s="82">
        <f>VLOOKUP($A121,IRData!$A$3:$Q$142,17,FALSE)</f>
        <v>6194</v>
      </c>
      <c r="G121" s="82">
        <f>VLOOKUP($A121,IRData!$A$3:$W$142,23,FALSE)</f>
        <v>0</v>
      </c>
      <c r="H121" s="83">
        <f t="shared" si="5"/>
        <v>1300.67806</v>
      </c>
      <c r="I121" s="83">
        <f t="shared" si="6"/>
        <v>0</v>
      </c>
      <c r="J121" s="82">
        <f>VLOOKUP($A121,IRData!$A$3:$M$142,13,FALSE)</f>
        <v>989</v>
      </c>
      <c r="K121" s="82">
        <f>VLOOKUP($A121,IRData!$A$3:$M$142,5,FALSE)</f>
        <v>0</v>
      </c>
      <c r="L121" s="84">
        <f t="shared" si="7"/>
        <v>21863.678059999998</v>
      </c>
      <c r="M121" s="161"/>
      <c r="N121" s="168"/>
    </row>
    <row r="122" spans="1:14" x14ac:dyDescent="0.2">
      <c r="A122">
        <v>6112015</v>
      </c>
      <c r="B122" t="s">
        <v>285</v>
      </c>
      <c r="C122" s="160">
        <v>431154</v>
      </c>
      <c r="D122" s="160">
        <v>10825</v>
      </c>
      <c r="E122" s="170">
        <v>198.22</v>
      </c>
      <c r="F122" s="82">
        <f>VLOOKUP($A122,IRData!$A$3:$Q$142,17,FALSE)</f>
        <v>247293</v>
      </c>
      <c r="G122" s="82">
        <f>VLOOKUP($A122,IRData!$A$3:$W$142,23,FALSE)</f>
        <v>187985</v>
      </c>
      <c r="H122" s="83">
        <f t="shared" si="5"/>
        <v>49018.418460000001</v>
      </c>
      <c r="I122" s="83">
        <f t="shared" si="6"/>
        <v>37262.386700000003</v>
      </c>
      <c r="J122" s="82">
        <f>VLOOKUP($A122,IRData!$A$3:$M$142,13,FALSE)</f>
        <v>42363</v>
      </c>
      <c r="K122" s="82">
        <f>VLOOKUP($A122,IRData!$A$3:$M$142,5,FALSE)</f>
        <v>629</v>
      </c>
      <c r="L122" s="84">
        <f t="shared" si="7"/>
        <v>548972.80515999999</v>
      </c>
      <c r="M122" s="161"/>
      <c r="N122" s="168"/>
    </row>
    <row r="123" spans="1:14" x14ac:dyDescent="0.2">
      <c r="A123">
        <v>6132015</v>
      </c>
      <c r="B123" t="s">
        <v>286</v>
      </c>
      <c r="C123" s="160">
        <v>26835</v>
      </c>
      <c r="D123" s="160">
        <v>0</v>
      </c>
      <c r="E123" s="170">
        <v>209.99</v>
      </c>
      <c r="F123" s="82">
        <f>VLOOKUP($A123,IRData!$A$3:$Q$142,17,FALSE)</f>
        <v>22931</v>
      </c>
      <c r="G123" s="82">
        <f>VLOOKUP($A123,IRData!$A$3:$W$142,23,FALSE)</f>
        <v>0</v>
      </c>
      <c r="H123" s="83">
        <f t="shared" si="5"/>
        <v>4815.2806900000005</v>
      </c>
      <c r="I123" s="83">
        <f t="shared" si="6"/>
        <v>0</v>
      </c>
      <c r="J123" s="82">
        <f>VLOOKUP($A123,IRData!$A$3:$M$142,13,FALSE)</f>
        <v>2071</v>
      </c>
      <c r="K123" s="82">
        <f>VLOOKUP($A123,IRData!$A$3:$M$142,5,FALSE)</f>
        <v>0</v>
      </c>
      <c r="L123" s="84">
        <f t="shared" si="7"/>
        <v>33721.28069</v>
      </c>
      <c r="M123" s="161"/>
      <c r="N123" s="168"/>
    </row>
    <row r="124" spans="1:14" x14ac:dyDescent="0.2">
      <c r="A124">
        <v>6142015</v>
      </c>
      <c r="B124" t="s">
        <v>287</v>
      </c>
      <c r="C124" s="160">
        <v>49920</v>
      </c>
      <c r="D124" s="160">
        <v>0</v>
      </c>
      <c r="E124" s="170">
        <v>198.74</v>
      </c>
      <c r="F124" s="82">
        <f>VLOOKUP($A124,IRData!$A$3:$Q$142,17,FALSE)</f>
        <v>57573</v>
      </c>
      <c r="G124" s="82">
        <f>VLOOKUP($A124,IRData!$A$3:$W$142,23,FALSE)</f>
        <v>0</v>
      </c>
      <c r="H124" s="83">
        <f t="shared" si="5"/>
        <v>11442.058020000002</v>
      </c>
      <c r="I124" s="83">
        <f t="shared" si="6"/>
        <v>0</v>
      </c>
      <c r="J124" s="82">
        <f>VLOOKUP($A124,IRData!$A$3:$M$142,13,FALSE)</f>
        <v>3497</v>
      </c>
      <c r="K124" s="82">
        <f>VLOOKUP($A124,IRData!$A$3:$M$142,5,FALSE)</f>
        <v>0</v>
      </c>
      <c r="L124" s="84">
        <f t="shared" si="7"/>
        <v>64859.058020000004</v>
      </c>
      <c r="M124" s="161"/>
      <c r="N124" s="168"/>
    </row>
    <row r="125" spans="1:14" x14ac:dyDescent="0.2">
      <c r="A125">
        <v>6152015</v>
      </c>
      <c r="B125" t="s">
        <v>347</v>
      </c>
      <c r="C125" s="160">
        <v>118104</v>
      </c>
      <c r="D125" s="160">
        <v>4729</v>
      </c>
      <c r="E125" s="170">
        <v>198.7030317</v>
      </c>
      <c r="F125" s="82">
        <f>VLOOKUP($A125,IRData!$A$3:$Q$142,17,FALSE)</f>
        <v>84127</v>
      </c>
      <c r="G125" s="82">
        <f>VLOOKUP($A125,IRData!$A$3:$W$142,23,FALSE)</f>
        <v>99206</v>
      </c>
      <c r="H125" s="83">
        <f t="shared" si="5"/>
        <v>16716.289947825899</v>
      </c>
      <c r="I125" s="83">
        <f t="shared" si="6"/>
        <v>19712.532962830202</v>
      </c>
      <c r="J125" s="82">
        <f>VLOOKUP($A125,IRData!$A$3:$M$142,13,FALSE)</f>
        <v>11433</v>
      </c>
      <c r="K125" s="82">
        <f>VLOOKUP($A125,IRData!$A$3:$M$142,5,FALSE)</f>
        <v>495</v>
      </c>
      <c r="L125" s="84">
        <f t="shared" si="7"/>
        <v>161236.8229106561</v>
      </c>
      <c r="M125" s="161"/>
      <c r="N125" s="168"/>
    </row>
    <row r="126" spans="1:14" x14ac:dyDescent="0.2">
      <c r="A126">
        <v>6242015</v>
      </c>
      <c r="B126" t="s">
        <v>289</v>
      </c>
      <c r="C126" s="160">
        <v>313691</v>
      </c>
      <c r="D126" s="160">
        <v>6178</v>
      </c>
      <c r="E126" s="170">
        <v>198.22</v>
      </c>
      <c r="F126" s="82">
        <f>VLOOKUP($A126,IRData!$A$3:$Q$142,17,FALSE)</f>
        <v>203838</v>
      </c>
      <c r="G126" s="82">
        <f>VLOOKUP($A126,IRData!$A$3:$W$142,23,FALSE)</f>
        <v>187433</v>
      </c>
      <c r="H126" s="83">
        <f t="shared" si="5"/>
        <v>40404.768360000002</v>
      </c>
      <c r="I126" s="83">
        <f t="shared" si="6"/>
        <v>37152.969259999998</v>
      </c>
      <c r="J126" s="82">
        <f>VLOOKUP($A126,IRData!$A$3:$M$142,13,FALSE)</f>
        <v>60022</v>
      </c>
      <c r="K126" s="82">
        <f>VLOOKUP($A126,IRData!$A$3:$M$142,5,FALSE)</f>
        <v>1227</v>
      </c>
      <c r="L126" s="84">
        <f t="shared" si="7"/>
        <v>445092.73761999997</v>
      </c>
      <c r="M126" s="161"/>
      <c r="N126" s="168"/>
    </row>
    <row r="127" spans="1:14" x14ac:dyDescent="0.2">
      <c r="A127">
        <v>6252015</v>
      </c>
      <c r="B127" t="s">
        <v>377</v>
      </c>
      <c r="C127" s="160">
        <v>40511</v>
      </c>
      <c r="D127" s="160">
        <v>3116</v>
      </c>
      <c r="E127" s="170">
        <v>197.77</v>
      </c>
      <c r="F127" s="82">
        <f>VLOOKUP($A127,IRData!$A$3:$Q$142,17,FALSE)</f>
        <v>20035</v>
      </c>
      <c r="G127" s="82">
        <f>VLOOKUP($A127,IRData!$A$3:$W$142,23,FALSE)</f>
        <v>5805</v>
      </c>
      <c r="H127" s="83">
        <f t="shared" si="5"/>
        <v>3962.32195</v>
      </c>
      <c r="I127" s="83">
        <f t="shared" si="6"/>
        <v>1148.05485</v>
      </c>
      <c r="J127" s="82">
        <f>VLOOKUP($A127,IRData!$A$3:$M$142,13,FALSE)</f>
        <v>3290</v>
      </c>
      <c r="K127" s="82">
        <f>VLOOKUP($A127,IRData!$A$3:$M$142,5,FALSE)</f>
        <v>0</v>
      </c>
      <c r="L127" s="84">
        <f t="shared" si="7"/>
        <v>45795.376799999998</v>
      </c>
      <c r="M127" s="161"/>
      <c r="N127" s="168"/>
    </row>
    <row r="128" spans="1:14" x14ac:dyDescent="0.2">
      <c r="A128">
        <v>6372015</v>
      </c>
      <c r="B128" t="s">
        <v>291</v>
      </c>
      <c r="C128" s="160">
        <v>33427</v>
      </c>
      <c r="D128" s="160">
        <v>2002</v>
      </c>
      <c r="E128" s="170">
        <v>202.82</v>
      </c>
      <c r="F128" s="82">
        <f>VLOOKUP($A128,IRData!$A$3:$Q$142,17,FALSE)</f>
        <v>22550</v>
      </c>
      <c r="G128" s="82">
        <f>VLOOKUP($A128,IRData!$A$3:$W$142,23,FALSE)</f>
        <v>5821</v>
      </c>
      <c r="H128" s="83">
        <f t="shared" si="5"/>
        <v>4573.5910000000003</v>
      </c>
      <c r="I128" s="83">
        <f t="shared" si="6"/>
        <v>1180.6152199999999</v>
      </c>
      <c r="J128" s="82">
        <f>VLOOKUP($A128,IRData!$A$3:$M$142,13,FALSE)</f>
        <v>3427</v>
      </c>
      <c r="K128" s="82">
        <f>VLOOKUP($A128,IRData!$A$3:$M$142,5,FALSE)</f>
        <v>0</v>
      </c>
      <c r="L128" s="84">
        <f t="shared" si="7"/>
        <v>40606.20622</v>
      </c>
      <c r="M128" s="161"/>
      <c r="N128" s="168"/>
    </row>
    <row r="129" spans="1:14" x14ac:dyDescent="0.2">
      <c r="A129">
        <v>6522015</v>
      </c>
      <c r="B129" t="s">
        <v>292</v>
      </c>
      <c r="C129" s="160">
        <v>455</v>
      </c>
      <c r="D129" s="160">
        <v>0</v>
      </c>
      <c r="E129" s="170">
        <v>209.99</v>
      </c>
      <c r="F129" s="82">
        <f>VLOOKUP($A129,IRData!$A$3:$Q$142,17,FALSE)</f>
        <v>0</v>
      </c>
      <c r="G129" s="82">
        <f>VLOOKUP($A129,IRData!$A$3:$W$142,23,FALSE)</f>
        <v>0</v>
      </c>
      <c r="H129" s="83">
        <f t="shared" si="5"/>
        <v>0</v>
      </c>
      <c r="I129" s="83">
        <f t="shared" si="6"/>
        <v>0</v>
      </c>
      <c r="J129" s="82">
        <f>VLOOKUP($A129,IRData!$A$3:$M$142,13,FALSE)</f>
        <v>0</v>
      </c>
      <c r="K129" s="82">
        <f>VLOOKUP($A129,IRData!$A$3:$M$142,5,FALSE)</f>
        <v>0</v>
      </c>
      <c r="L129" s="84">
        <f t="shared" si="7"/>
        <v>455</v>
      </c>
      <c r="M129" s="161"/>
      <c r="N129" s="168"/>
    </row>
    <row r="130" spans="1:14" x14ac:dyDescent="0.2">
      <c r="A130">
        <v>6592015</v>
      </c>
      <c r="B130" t="s">
        <v>184</v>
      </c>
      <c r="C130" s="160">
        <v>12634</v>
      </c>
      <c r="D130" s="160">
        <v>0</v>
      </c>
      <c r="E130" s="170">
        <v>198.22</v>
      </c>
      <c r="F130" s="82">
        <f>VLOOKUP($A130,IRData!$A$3:$Q$142,17,FALSE)</f>
        <v>16731</v>
      </c>
      <c r="G130" s="82">
        <f>VLOOKUP($A130,IRData!$A$3:$W$142,23,FALSE)</f>
        <v>1217</v>
      </c>
      <c r="H130" s="83">
        <f t="shared" si="5"/>
        <v>3316.4188199999999</v>
      </c>
      <c r="I130" s="83">
        <f t="shared" si="6"/>
        <v>241.23373999999998</v>
      </c>
      <c r="J130" s="82">
        <f>VLOOKUP($A130,IRData!$A$3:$M$142,13,FALSE)</f>
        <v>948</v>
      </c>
      <c r="K130" s="82">
        <f>VLOOKUP($A130,IRData!$A$3:$M$142,5,FALSE)</f>
        <v>0</v>
      </c>
      <c r="L130" s="84">
        <f t="shared" si="7"/>
        <v>17139.652559999999</v>
      </c>
      <c r="M130" s="161"/>
      <c r="N130" s="168"/>
    </row>
    <row r="131" spans="1:14" x14ac:dyDescent="0.2">
      <c r="A131">
        <v>6692015</v>
      </c>
      <c r="B131" t="s">
        <v>293</v>
      </c>
      <c r="C131" s="160">
        <v>34718</v>
      </c>
      <c r="D131" s="160">
        <v>2503</v>
      </c>
      <c r="E131" s="170">
        <v>198.74</v>
      </c>
      <c r="F131" s="82">
        <f>VLOOKUP($A131,IRData!$A$3:$Q$142,17,FALSE)</f>
        <v>13594</v>
      </c>
      <c r="G131" s="82">
        <f>VLOOKUP($A131,IRData!$A$3:$W$142,23,FALSE)</f>
        <v>1014</v>
      </c>
      <c r="H131" s="83">
        <f t="shared" si="5"/>
        <v>2701.6715600000002</v>
      </c>
      <c r="I131" s="83">
        <f t="shared" si="6"/>
        <v>201.52236000000002</v>
      </c>
      <c r="J131" s="82">
        <f>VLOOKUP($A131,IRData!$A$3:$M$142,13,FALSE)</f>
        <v>1037</v>
      </c>
      <c r="K131" s="82">
        <f>VLOOKUP($A131,IRData!$A$3:$M$142,5,FALSE)</f>
        <v>0</v>
      </c>
      <c r="L131" s="84">
        <f t="shared" si="7"/>
        <v>36155.193920000005</v>
      </c>
      <c r="M131" s="161"/>
      <c r="N131" s="168"/>
    </row>
    <row r="132" spans="1:14" x14ac:dyDescent="0.2">
      <c r="A132">
        <v>6752015</v>
      </c>
      <c r="B132" t="s">
        <v>294</v>
      </c>
      <c r="C132" s="160">
        <v>1250040</v>
      </c>
      <c r="D132" s="160">
        <v>29128</v>
      </c>
      <c r="E132" s="170">
        <v>198.74</v>
      </c>
      <c r="F132" s="82">
        <f>VLOOKUP($A132,IRData!$A$3:$Q$142,17,FALSE)</f>
        <v>644847</v>
      </c>
      <c r="G132" s="82">
        <f>VLOOKUP($A132,IRData!$A$3:$W$142,23,FALSE)</f>
        <v>356374</v>
      </c>
      <c r="H132" s="83">
        <f t="shared" ref="H132:H142" si="8">E132*F132/1000</f>
        <v>128156.89277999999</v>
      </c>
      <c r="I132" s="83">
        <f t="shared" ref="I132:I142" si="9">E132*G132/1000</f>
        <v>70825.768760000006</v>
      </c>
      <c r="J132" s="82">
        <f>VLOOKUP($A132,IRData!$A$3:$M$142,13,FALSE)</f>
        <v>72056</v>
      </c>
      <c r="K132" s="82">
        <f>VLOOKUP($A132,IRData!$A$3:$M$142,5,FALSE)</f>
        <v>3428</v>
      </c>
      <c r="L132" s="84">
        <f t="shared" ref="L132:L142" si="10">C132+H132+I132+J132-D132</f>
        <v>1491950.6615399998</v>
      </c>
      <c r="M132" s="161"/>
      <c r="N132" s="168"/>
    </row>
    <row r="133" spans="1:14" x14ac:dyDescent="0.2">
      <c r="A133">
        <v>6852015</v>
      </c>
      <c r="B133" t="s">
        <v>295</v>
      </c>
      <c r="C133" s="160">
        <v>0</v>
      </c>
      <c r="D133" s="160">
        <v>0</v>
      </c>
      <c r="E133" s="170">
        <v>202.82</v>
      </c>
      <c r="F133" s="82">
        <f>VLOOKUP($A133,IRData!$A$3:$Q$142,17,FALSE)</f>
        <v>0</v>
      </c>
      <c r="G133" s="82">
        <f>VLOOKUP($A133,IRData!$A$3:$W$142,23,FALSE)</f>
        <v>1445</v>
      </c>
      <c r="H133" s="83">
        <f t="shared" si="8"/>
        <v>0</v>
      </c>
      <c r="I133" s="83">
        <f t="shared" si="9"/>
        <v>293.07489999999996</v>
      </c>
      <c r="J133" s="82">
        <f>VLOOKUP($A133,IRData!$A$3:$M$142,13,FALSE)</f>
        <v>0</v>
      </c>
      <c r="K133" s="82">
        <f>VLOOKUP($A133,IRData!$A$3:$M$142,5,FALSE)</f>
        <v>0</v>
      </c>
      <c r="L133" s="84">
        <f t="shared" si="10"/>
        <v>293.07489999999996</v>
      </c>
      <c r="M133" s="161"/>
      <c r="N133" s="168"/>
    </row>
    <row r="134" spans="1:14" x14ac:dyDescent="0.2">
      <c r="A134">
        <v>6862015</v>
      </c>
      <c r="B134" t="s">
        <v>185</v>
      </c>
      <c r="C134" s="160">
        <v>11019</v>
      </c>
      <c r="D134" s="160">
        <v>0</v>
      </c>
      <c r="E134" s="170">
        <v>202.82</v>
      </c>
      <c r="F134" s="82">
        <f>VLOOKUP($A134,IRData!$A$3:$Q$142,17,FALSE)</f>
        <v>3306</v>
      </c>
      <c r="G134" s="82">
        <f>VLOOKUP($A134,IRData!$A$3:$W$142,23,FALSE)</f>
        <v>0</v>
      </c>
      <c r="H134" s="83">
        <f t="shared" si="8"/>
        <v>670.52291999999989</v>
      </c>
      <c r="I134" s="83">
        <f t="shared" si="9"/>
        <v>0</v>
      </c>
      <c r="J134" s="82">
        <f>VLOOKUP($A134,IRData!$A$3:$M$142,13,FALSE)</f>
        <v>0</v>
      </c>
      <c r="K134" s="82">
        <f>VLOOKUP($A134,IRData!$A$3:$M$142,5,FALSE)</f>
        <v>0</v>
      </c>
      <c r="L134" s="84">
        <f t="shared" si="10"/>
        <v>11689.522919999999</v>
      </c>
      <c r="M134" s="161"/>
      <c r="N134" s="168"/>
    </row>
    <row r="135" spans="1:14" x14ac:dyDescent="0.2">
      <c r="A135">
        <v>6932015</v>
      </c>
      <c r="B135" t="s">
        <v>296</v>
      </c>
      <c r="C135" s="160">
        <v>52757</v>
      </c>
      <c r="D135" s="160">
        <v>2018</v>
      </c>
      <c r="E135" s="170">
        <v>198.74</v>
      </c>
      <c r="F135" s="82">
        <f>VLOOKUP($A135,IRData!$A$3:$Q$142,17,FALSE)</f>
        <v>43826</v>
      </c>
      <c r="G135" s="82">
        <f>VLOOKUP($A135,IRData!$A$3:$W$142,23,FALSE)</f>
        <v>0</v>
      </c>
      <c r="H135" s="83">
        <f t="shared" si="8"/>
        <v>8709.9792400000006</v>
      </c>
      <c r="I135" s="83">
        <f t="shared" si="9"/>
        <v>0</v>
      </c>
      <c r="J135" s="82">
        <f>VLOOKUP($A135,IRData!$A$3:$M$142,13,FALSE)</f>
        <v>3799</v>
      </c>
      <c r="K135" s="82">
        <f>VLOOKUP($A135,IRData!$A$3:$M$142,5,FALSE)</f>
        <v>0</v>
      </c>
      <c r="L135" s="84">
        <f t="shared" si="10"/>
        <v>63247.979240000001</v>
      </c>
      <c r="M135" s="161"/>
      <c r="N135" s="168"/>
    </row>
    <row r="136" spans="1:14" x14ac:dyDescent="0.2">
      <c r="A136">
        <v>6992015</v>
      </c>
      <c r="B136" t="s">
        <v>297</v>
      </c>
      <c r="C136" s="160">
        <v>250684</v>
      </c>
      <c r="D136" s="160">
        <v>4380</v>
      </c>
      <c r="E136" s="170">
        <v>209.3508032</v>
      </c>
      <c r="F136" s="82">
        <f>VLOOKUP($A136,IRData!$A$3:$Q$142,17,FALSE)</f>
        <v>85231</v>
      </c>
      <c r="G136" s="82">
        <f>VLOOKUP($A136,IRData!$A$3:$W$142,23,FALSE)</f>
        <v>69847</v>
      </c>
      <c r="H136" s="83">
        <f t="shared" si="8"/>
        <v>17843.178307539198</v>
      </c>
      <c r="I136" s="83">
        <f t="shared" si="9"/>
        <v>14622.525551110401</v>
      </c>
      <c r="J136" s="82">
        <f>VLOOKUP($A136,IRData!$A$3:$M$142,13,FALSE)</f>
        <v>23852</v>
      </c>
      <c r="K136" s="82">
        <f>VLOOKUP($A136,IRData!$A$3:$M$142,5,FALSE)</f>
        <v>1369</v>
      </c>
      <c r="L136" s="84">
        <f t="shared" si="10"/>
        <v>302621.70385864959</v>
      </c>
      <c r="M136" s="161"/>
      <c r="N136" s="168"/>
    </row>
    <row r="137" spans="1:14" x14ac:dyDescent="0.2">
      <c r="A137">
        <v>7262015</v>
      </c>
      <c r="B137" t="s">
        <v>298</v>
      </c>
      <c r="C137" s="160">
        <v>113806</v>
      </c>
      <c r="D137" s="160">
        <v>1321</v>
      </c>
      <c r="E137" s="170">
        <v>202.82</v>
      </c>
      <c r="F137" s="82">
        <f>VLOOKUP($A137,IRData!$A$3:$Q$142,17,FALSE)</f>
        <v>45794</v>
      </c>
      <c r="G137" s="82">
        <f>VLOOKUP($A137,IRData!$A$3:$W$142,23,FALSE)</f>
        <v>57878</v>
      </c>
      <c r="H137" s="83">
        <f t="shared" si="8"/>
        <v>9287.9390800000001</v>
      </c>
      <c r="I137" s="83">
        <f t="shared" si="9"/>
        <v>11738.81596</v>
      </c>
      <c r="J137" s="82">
        <f>VLOOKUP($A137,IRData!$A$3:$M$142,13,FALSE)</f>
        <v>7112</v>
      </c>
      <c r="K137" s="82">
        <f>VLOOKUP($A137,IRData!$A$3:$M$142,5,FALSE)</f>
        <v>404</v>
      </c>
      <c r="L137" s="84">
        <f t="shared" si="10"/>
        <v>140623.75503999999</v>
      </c>
      <c r="M137" s="161"/>
      <c r="N137" s="168"/>
    </row>
    <row r="138" spans="1:14" x14ac:dyDescent="0.2">
      <c r="A138">
        <v>7432015</v>
      </c>
      <c r="B138" t="s">
        <v>186</v>
      </c>
      <c r="C138" s="160">
        <v>26864</v>
      </c>
      <c r="D138" s="160">
        <v>0</v>
      </c>
      <c r="E138" s="170">
        <v>202.82</v>
      </c>
      <c r="F138" s="82">
        <f>VLOOKUP($A138,IRData!$A$3:$Q$142,17,FALSE)</f>
        <v>250</v>
      </c>
      <c r="G138" s="82">
        <f>VLOOKUP($A138,IRData!$A$3:$W$142,23,FALSE)</f>
        <v>5949</v>
      </c>
      <c r="H138" s="83">
        <f t="shared" si="8"/>
        <v>50.704999999999998</v>
      </c>
      <c r="I138" s="83">
        <f t="shared" si="9"/>
        <v>1206.57618</v>
      </c>
      <c r="J138" s="82">
        <f>VLOOKUP($A138,IRData!$A$3:$M$142,13,FALSE)</f>
        <v>15727</v>
      </c>
      <c r="K138" s="82">
        <f>VLOOKUP($A138,IRData!$A$3:$M$142,5,FALSE)</f>
        <v>0</v>
      </c>
      <c r="L138" s="84">
        <f t="shared" si="10"/>
        <v>43848.281180000005</v>
      </c>
      <c r="M138" s="161"/>
      <c r="N138" s="168"/>
    </row>
    <row r="139" spans="1:14" ht="12.75" customHeight="1" x14ac:dyDescent="0.2">
      <c r="A139">
        <v>7532015</v>
      </c>
      <c r="B139" t="s">
        <v>58</v>
      </c>
      <c r="C139" s="160">
        <v>34500</v>
      </c>
      <c r="D139" s="160">
        <v>0</v>
      </c>
      <c r="E139" s="170">
        <v>198.22</v>
      </c>
      <c r="F139" s="82">
        <f>VLOOKUP($A139,IRData!$A$3:$Q$142,17,FALSE)</f>
        <v>0</v>
      </c>
      <c r="G139" s="82">
        <f>VLOOKUP($A139,IRData!$A$3:$W$142,23,FALSE)</f>
        <v>14894</v>
      </c>
      <c r="H139" s="83">
        <f t="shared" si="8"/>
        <v>0</v>
      </c>
      <c r="I139" s="83">
        <f t="shared" si="9"/>
        <v>2952.2886800000001</v>
      </c>
      <c r="J139" s="82">
        <f>VLOOKUP($A139,IRData!$A$3:$M$142,13,FALSE)</f>
        <v>0</v>
      </c>
      <c r="K139" s="82">
        <f>VLOOKUP($A139,IRData!$A$3:$M$142,5,FALSE)</f>
        <v>0</v>
      </c>
      <c r="L139" s="84">
        <f t="shared" si="10"/>
        <v>37452.288679999998</v>
      </c>
      <c r="M139" s="161"/>
      <c r="N139" s="168"/>
    </row>
    <row r="140" spans="1:14" ht="13.5" customHeight="1" x14ac:dyDescent="0.2">
      <c r="A140">
        <v>8522015</v>
      </c>
      <c r="B140" t="s">
        <v>299</v>
      </c>
      <c r="C140" s="160">
        <v>36410</v>
      </c>
      <c r="D140" s="160">
        <v>0</v>
      </c>
      <c r="E140" s="170">
        <v>198.22</v>
      </c>
      <c r="F140" s="82">
        <f>VLOOKUP($A140,IRData!$A$3:$Q$142,17,FALSE)</f>
        <v>6686</v>
      </c>
      <c r="G140" s="82">
        <f>VLOOKUP($A140,IRData!$A$3:$W$142,23,FALSE)</f>
        <v>6267</v>
      </c>
      <c r="H140" s="83">
        <f t="shared" si="8"/>
        <v>1325.29892</v>
      </c>
      <c r="I140" s="83">
        <f t="shared" si="9"/>
        <v>1242.2447400000001</v>
      </c>
      <c r="J140" s="82">
        <f>VLOOKUP($A140,IRData!$A$3:$M$142,13,FALSE)</f>
        <v>726</v>
      </c>
      <c r="K140" s="82">
        <f>VLOOKUP($A140,IRData!$A$3:$M$142,5,FALSE)</f>
        <v>0</v>
      </c>
      <c r="L140" s="84">
        <f t="shared" si="10"/>
        <v>39703.543660000003</v>
      </c>
      <c r="M140" s="161"/>
      <c r="N140" s="168"/>
    </row>
    <row r="141" spans="1:14" x14ac:dyDescent="0.2">
      <c r="A141">
        <v>8722015</v>
      </c>
      <c r="B141" t="s">
        <v>378</v>
      </c>
      <c r="C141" s="160">
        <v>120913</v>
      </c>
      <c r="D141" s="160">
        <v>0</v>
      </c>
      <c r="E141" s="170">
        <v>198.22</v>
      </c>
      <c r="F141" s="82">
        <f>VLOOKUP($A141,IRData!$A$3:$Q$142,17,FALSE)</f>
        <v>0</v>
      </c>
      <c r="G141" s="82">
        <f>VLOOKUP($A141,IRData!$A$3:$W$142,23,FALSE)</f>
        <v>0</v>
      </c>
      <c r="H141" s="83">
        <f t="shared" si="8"/>
        <v>0</v>
      </c>
      <c r="I141" s="83">
        <f t="shared" si="9"/>
        <v>0</v>
      </c>
      <c r="J141" s="82">
        <f>VLOOKUP($A141,IRData!$A$3:$M$142,13,FALSE)</f>
        <v>0</v>
      </c>
      <c r="K141" s="82">
        <f>VLOOKUP($A141,IRData!$A$3:$M$142,5,FALSE)</f>
        <v>0</v>
      </c>
      <c r="L141" s="84">
        <f t="shared" si="10"/>
        <v>120913</v>
      </c>
      <c r="M141" s="161"/>
      <c r="N141" s="168"/>
    </row>
    <row r="142" spans="1:14" x14ac:dyDescent="0.2">
      <c r="A142">
        <v>9002015</v>
      </c>
      <c r="B142" t="s">
        <v>142</v>
      </c>
      <c r="C142" s="160">
        <v>1255</v>
      </c>
      <c r="D142" s="160">
        <v>0</v>
      </c>
      <c r="E142" s="170">
        <v>0</v>
      </c>
      <c r="F142" s="82">
        <f>VLOOKUP($A142,IRData!$A$3:$Q$142,17,FALSE)</f>
        <v>0</v>
      </c>
      <c r="G142" s="82">
        <f>VLOOKUP($A142,IRData!$A$3:$W$142,23,FALSE)</f>
        <v>0</v>
      </c>
      <c r="H142" s="83">
        <f t="shared" si="8"/>
        <v>0</v>
      </c>
      <c r="I142" s="83">
        <f t="shared" si="9"/>
        <v>0</v>
      </c>
      <c r="J142" s="82">
        <f>VLOOKUP($A142,IRData!$A$3:$M$142,13,FALSE)</f>
        <v>0</v>
      </c>
      <c r="K142" s="82">
        <f>VLOOKUP($A142,IRData!$A$3:$M$142,5,FALSE)</f>
        <v>0</v>
      </c>
      <c r="L142" s="84">
        <f t="shared" si="10"/>
        <v>1255</v>
      </c>
      <c r="M142" s="161"/>
      <c r="N142" s="168"/>
    </row>
    <row r="143" spans="1:14" x14ac:dyDescent="0.2">
      <c r="A143" s="171"/>
      <c r="B143" s="171"/>
      <c r="C143" s="189">
        <f>SUM(C3:C142)</f>
        <v>7562857</v>
      </c>
      <c r="D143" s="189">
        <f>SUM(D3:D142)</f>
        <v>194117</v>
      </c>
      <c r="E143" s="189"/>
      <c r="F143" s="189">
        <f t="shared" ref="F143:K143" si="11">SUM(F3:F142)</f>
        <v>3663384</v>
      </c>
      <c r="G143" s="189">
        <f t="shared" si="11"/>
        <v>2076732</v>
      </c>
      <c r="H143" s="189">
        <f t="shared" si="11"/>
        <v>734597.78025591245</v>
      </c>
      <c r="I143" s="189">
        <f t="shared" si="11"/>
        <v>416695.12681650656</v>
      </c>
      <c r="J143" s="189">
        <f t="shared" si="11"/>
        <v>817054</v>
      </c>
      <c r="K143" s="189">
        <f t="shared" si="11"/>
        <v>17518</v>
      </c>
      <c r="L143" s="189">
        <f>SUM(L3:L142)</f>
        <v>9337086.9070724193</v>
      </c>
      <c r="M143" s="208"/>
      <c r="N143" s="168"/>
    </row>
    <row r="144" spans="1:14" ht="13.5" thickBot="1" x14ac:dyDescent="0.25">
      <c r="I144" s="68"/>
      <c r="J144" s="68"/>
      <c r="K144" s="68"/>
      <c r="L144" s="68"/>
      <c r="M144" s="68"/>
      <c r="N144" s="111"/>
    </row>
    <row r="145" spans="9:15" x14ac:dyDescent="0.2">
      <c r="I145" s="266" t="s">
        <v>38</v>
      </c>
      <c r="J145" s="269" t="s">
        <v>39</v>
      </c>
      <c r="K145" s="270"/>
      <c r="L145" s="271"/>
      <c r="M145" s="71">
        <v>10526034</v>
      </c>
      <c r="N145" s="167"/>
    </row>
    <row r="146" spans="9:15" x14ac:dyDescent="0.2">
      <c r="I146" s="267"/>
      <c r="J146" s="272" t="s">
        <v>49</v>
      </c>
      <c r="K146" s="273"/>
      <c r="L146" s="274"/>
      <c r="M146" s="71">
        <f>L143</f>
        <v>9337086.9070724193</v>
      </c>
      <c r="O146" s="67"/>
    </row>
    <row r="147" spans="9:15" x14ac:dyDescent="0.2">
      <c r="I147" s="267"/>
      <c r="J147" s="272" t="s">
        <v>50</v>
      </c>
      <c r="K147" s="273"/>
      <c r="L147" s="274"/>
      <c r="M147" s="71">
        <f>M145-M146</f>
        <v>1188947.0929275807</v>
      </c>
    </row>
    <row r="148" spans="9:15" ht="13.5" thickBot="1" x14ac:dyDescent="0.25">
      <c r="I148" s="268"/>
      <c r="J148" s="275"/>
      <c r="K148" s="276"/>
      <c r="L148" s="277"/>
      <c r="M148" s="72"/>
      <c r="N148" s="68"/>
    </row>
    <row r="149" spans="9:15" x14ac:dyDescent="0.2">
      <c r="J149" s="68"/>
      <c r="K149" s="68"/>
      <c r="L149" s="68"/>
      <c r="M149" s="68"/>
      <c r="N149" s="68"/>
    </row>
    <row r="150" spans="9:15" x14ac:dyDescent="0.2">
      <c r="I150" s="66"/>
      <c r="J150" s="68"/>
      <c r="K150" s="68"/>
      <c r="L150" s="68"/>
      <c r="M150" s="68"/>
      <c r="N150" s="68"/>
    </row>
    <row r="151" spans="9:15" x14ac:dyDescent="0.2">
      <c r="I151" s="66"/>
      <c r="J151" s="68"/>
      <c r="K151" s="68"/>
      <c r="L151" s="68"/>
      <c r="M151" s="68"/>
      <c r="N151" s="68"/>
    </row>
    <row r="152" spans="9:15" x14ac:dyDescent="0.2">
      <c r="I152" s="66"/>
      <c r="J152" s="66"/>
      <c r="K152" s="68"/>
      <c r="L152" s="68"/>
      <c r="M152" s="68"/>
    </row>
    <row r="153" spans="9:15" x14ac:dyDescent="0.2">
      <c r="L153" s="119"/>
      <c r="M153" s="97"/>
    </row>
    <row r="154" spans="9:15" x14ac:dyDescent="0.2">
      <c r="L154" s="109"/>
    </row>
  </sheetData>
  <sortState ref="A3:K152">
    <sortCondition ref="A3"/>
  </sortState>
  <mergeCells count="7">
    <mergeCell ref="A1:B1"/>
    <mergeCell ref="I145:I148"/>
    <mergeCell ref="J145:L145"/>
    <mergeCell ref="J146:L146"/>
    <mergeCell ref="J147:L147"/>
    <mergeCell ref="J148:L148"/>
    <mergeCell ref="C1:N1"/>
  </mergeCells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O149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H11" sqref="AH11"/>
    </sheetView>
  </sheetViews>
  <sheetFormatPr baseColWidth="10" defaultColWidth="10.85546875" defaultRowHeight="0" customHeight="1" zeroHeight="1" x14ac:dyDescent="0.2"/>
  <cols>
    <col min="1" max="1" width="8" style="60" bestFit="1" customWidth="1"/>
    <col min="2" max="2" width="40" style="60" customWidth="1"/>
    <col min="3" max="3" width="5" style="60" bestFit="1" customWidth="1"/>
    <col min="4" max="4" width="10" style="60" customWidth="1"/>
    <col min="5" max="5" width="11.7109375" style="60" customWidth="1"/>
    <col min="6" max="6" width="12.7109375" style="60" customWidth="1"/>
    <col min="7" max="7" width="12.85546875" style="60" bestFit="1" customWidth="1"/>
    <col min="8" max="9" width="13.85546875" style="60" bestFit="1" customWidth="1"/>
    <col min="10" max="11" width="12.85546875" style="60" bestFit="1" customWidth="1"/>
    <col min="12" max="12" width="7.42578125" style="60" customWidth="1"/>
    <col min="13" max="13" width="11.28515625" style="60" bestFit="1" customWidth="1"/>
    <col min="14" max="16" width="11.5703125" style="60" customWidth="1"/>
    <col min="17" max="18" width="11.5703125" style="63" customWidth="1"/>
    <col min="19" max="19" width="11.5703125" style="60" customWidth="1"/>
    <col min="20" max="20" width="13.140625" style="60" bestFit="1" customWidth="1"/>
    <col min="21" max="21" width="9.42578125" style="60" customWidth="1"/>
    <col min="22" max="22" width="12" style="60" customWidth="1"/>
    <col min="23" max="23" width="11.42578125" style="60" customWidth="1"/>
    <col min="24" max="29" width="11.140625" style="63" customWidth="1"/>
    <col min="30" max="30" width="7.85546875" style="60" customWidth="1"/>
    <col min="31" max="31" width="12.85546875" style="60" bestFit="1" customWidth="1"/>
    <col min="32" max="32" width="12.5703125" style="60" bestFit="1" customWidth="1"/>
    <col min="33" max="33" width="9.140625" style="60" customWidth="1"/>
    <col min="34" max="35" width="13.85546875" style="60" bestFit="1" customWidth="1"/>
    <col min="36" max="36" width="15.85546875" style="64" customWidth="1"/>
    <col min="37" max="37" width="10.140625" style="60" customWidth="1"/>
    <col min="38" max="38" width="12.85546875" style="60" bestFit="1" customWidth="1"/>
    <col min="39" max="39" width="16" style="60" customWidth="1"/>
    <col min="40" max="40" width="13.42578125" style="60" customWidth="1"/>
    <col min="41" max="41" width="15.140625" style="60" bestFit="1" customWidth="1"/>
    <col min="42" max="16384" width="10.85546875" style="60"/>
  </cols>
  <sheetData>
    <row r="1" spans="1:40" s="54" customFormat="1" ht="36.75" customHeight="1" thickBot="1" x14ac:dyDescent="0.25">
      <c r="A1" s="50"/>
      <c r="B1" s="51" t="s">
        <v>300</v>
      </c>
      <c r="C1" s="52"/>
      <c r="D1" s="282" t="s">
        <v>130</v>
      </c>
      <c r="E1" s="285"/>
      <c r="F1" s="285"/>
      <c r="G1" s="285"/>
      <c r="H1" s="285"/>
      <c r="I1" s="285"/>
      <c r="J1" s="285"/>
      <c r="K1" s="285"/>
      <c r="L1" s="285"/>
      <c r="M1" s="285"/>
      <c r="N1" s="282" t="s">
        <v>103</v>
      </c>
      <c r="O1" s="285"/>
      <c r="P1" s="285"/>
      <c r="Q1" s="285"/>
      <c r="R1" s="285"/>
      <c r="S1" s="286"/>
      <c r="T1" s="282" t="s">
        <v>131</v>
      </c>
      <c r="U1" s="285"/>
      <c r="V1" s="285"/>
      <c r="W1" s="285"/>
      <c r="X1" s="286"/>
      <c r="Y1" s="287" t="s">
        <v>132</v>
      </c>
      <c r="Z1" s="288"/>
      <c r="AA1" s="288"/>
      <c r="AB1" s="288"/>
      <c r="AC1" s="289"/>
      <c r="AD1" s="53"/>
      <c r="AE1" s="282" t="s">
        <v>37</v>
      </c>
      <c r="AF1" s="285"/>
      <c r="AG1" s="285"/>
      <c r="AH1" s="285"/>
      <c r="AI1" s="285"/>
      <c r="AJ1" s="282" t="s">
        <v>131</v>
      </c>
      <c r="AK1" s="283"/>
      <c r="AL1" s="283"/>
      <c r="AM1" s="284"/>
      <c r="AN1" s="130" t="s">
        <v>132</v>
      </c>
    </row>
    <row r="2" spans="1:40" ht="77.25" thickBot="1" x14ac:dyDescent="0.25">
      <c r="A2" s="147" t="s">
        <v>53</v>
      </c>
      <c r="B2" s="148" t="s">
        <v>54</v>
      </c>
      <c r="C2" s="149" t="s">
        <v>119</v>
      </c>
      <c r="D2" s="124" t="s">
        <v>46</v>
      </c>
      <c r="E2" s="125" t="s">
        <v>97</v>
      </c>
      <c r="F2" s="203" t="s">
        <v>98</v>
      </c>
      <c r="G2" s="126" t="s">
        <v>52</v>
      </c>
      <c r="H2" s="126" t="s">
        <v>61</v>
      </c>
      <c r="I2" s="126" t="s">
        <v>101</v>
      </c>
      <c r="J2" s="126" t="s">
        <v>102</v>
      </c>
      <c r="K2" s="127" t="s">
        <v>134</v>
      </c>
      <c r="L2" s="128" t="s">
        <v>135</v>
      </c>
      <c r="M2" s="129" t="s">
        <v>57</v>
      </c>
      <c r="N2" s="55" t="s">
        <v>55</v>
      </c>
      <c r="O2" s="150" t="s">
        <v>52</v>
      </c>
      <c r="P2" s="56" t="s">
        <v>43</v>
      </c>
      <c r="Q2" s="56" t="s">
        <v>56</v>
      </c>
      <c r="R2" s="151" t="s">
        <v>57</v>
      </c>
      <c r="S2" s="152" t="s">
        <v>35</v>
      </c>
      <c r="T2" s="58" t="s">
        <v>55</v>
      </c>
      <c r="U2" s="59" t="s">
        <v>52</v>
      </c>
      <c r="V2" s="59" t="s">
        <v>43</v>
      </c>
      <c r="W2" s="59" t="s">
        <v>56</v>
      </c>
      <c r="X2" s="59" t="s">
        <v>57</v>
      </c>
      <c r="Y2" s="153" t="s">
        <v>55</v>
      </c>
      <c r="Z2" s="153" t="s">
        <v>52</v>
      </c>
      <c r="AA2" s="153" t="s">
        <v>43</v>
      </c>
      <c r="AB2" s="153" t="s">
        <v>56</v>
      </c>
      <c r="AC2" s="153" t="s">
        <v>57</v>
      </c>
      <c r="AD2" s="154" t="s">
        <v>321</v>
      </c>
      <c r="AE2" s="155" t="s">
        <v>146</v>
      </c>
      <c r="AF2" s="56" t="s">
        <v>69</v>
      </c>
      <c r="AG2" s="100" t="s">
        <v>1</v>
      </c>
      <c r="AH2" s="56" t="s">
        <v>86</v>
      </c>
      <c r="AI2" s="57" t="s">
        <v>32</v>
      </c>
      <c r="AJ2" s="156" t="s">
        <v>146</v>
      </c>
      <c r="AK2" s="59" t="s">
        <v>69</v>
      </c>
      <c r="AL2" s="59" t="s">
        <v>86</v>
      </c>
      <c r="AM2" s="157" t="s">
        <v>136</v>
      </c>
      <c r="AN2" s="131" t="s">
        <v>145</v>
      </c>
    </row>
    <row r="3" spans="1:40" ht="12.75" x14ac:dyDescent="0.2">
      <c r="A3">
        <v>72015</v>
      </c>
      <c r="B3" t="s">
        <v>193</v>
      </c>
      <c r="C3" s="170">
        <v>2015</v>
      </c>
      <c r="D3" s="145">
        <f>F3+E3</f>
        <v>39005.040669955706</v>
      </c>
      <c r="E3" s="146">
        <v>0</v>
      </c>
      <c r="F3" s="41">
        <f>N3+T3+Y3</f>
        <v>39005.040669955706</v>
      </c>
      <c r="G3" s="145">
        <f>O3+U3+Z3</f>
        <v>14636</v>
      </c>
      <c r="H3" s="145">
        <f t="shared" ref="H3:H34" si="0">ROUND(I3/1.01,0)</f>
        <v>221421</v>
      </c>
      <c r="I3" s="145">
        <f t="shared" ref="I3:I34" si="1">P3+V3+AA3</f>
        <v>223635.21</v>
      </c>
      <c r="J3" s="21">
        <f t="shared" ref="J3:J34" si="2">Q3</f>
        <v>19067</v>
      </c>
      <c r="K3" s="21">
        <f t="shared" ref="K3:K34" si="3">W3</f>
        <v>8708</v>
      </c>
      <c r="L3" s="21">
        <f t="shared" ref="L3:L34" si="4">AB3</f>
        <v>0</v>
      </c>
      <c r="M3" s="145">
        <f t="shared" ref="M3:M34" si="5">R3+X3+AC3</f>
        <v>1755</v>
      </c>
      <c r="N3" s="162">
        <v>37023.914239412697</v>
      </c>
      <c r="O3" s="162">
        <v>13620</v>
      </c>
      <c r="P3" s="162">
        <v>209896.18</v>
      </c>
      <c r="Q3" s="162">
        <v>19067</v>
      </c>
      <c r="R3" s="162">
        <v>1755</v>
      </c>
      <c r="S3" s="162">
        <v>0</v>
      </c>
      <c r="T3" s="162">
        <v>1981.12643054301</v>
      </c>
      <c r="U3" s="162">
        <v>1016</v>
      </c>
      <c r="V3" s="162">
        <v>13739.03</v>
      </c>
      <c r="W3" s="162">
        <v>8708</v>
      </c>
      <c r="X3" s="162">
        <v>0</v>
      </c>
      <c r="Y3" s="162">
        <v>0</v>
      </c>
      <c r="Z3" s="162">
        <v>0</v>
      </c>
      <c r="AA3" s="162">
        <v>0</v>
      </c>
      <c r="AB3" s="162">
        <v>0</v>
      </c>
      <c r="AC3" s="162">
        <v>0</v>
      </c>
      <c r="AD3" s="176">
        <v>257.06098230000003</v>
      </c>
      <c r="AE3" s="164">
        <f>N3*Forutsetninger!$C$30</f>
        <v>39171.301265298636</v>
      </c>
      <c r="AF3" s="164">
        <f t="shared" ref="AF3:AF34" si="6">(Q3*AD3)/1000</f>
        <v>4901.3817495141011</v>
      </c>
      <c r="AG3" s="164">
        <f>S3*Forutsetninger!$C$24</f>
        <v>0</v>
      </c>
      <c r="AH3" s="164">
        <f>AE3+O3+AF3+R3*Forutsetninger!$C$24-AG3</f>
        <v>59544.208014812735</v>
      </c>
      <c r="AI3" s="164">
        <f>AH3+P3*Forutsetninger!$B$6</f>
        <v>72389.854230812736</v>
      </c>
      <c r="AJ3" s="164">
        <f>T3*Forutsetninger!$C$30</f>
        <v>2096.0317635145047</v>
      </c>
      <c r="AK3" s="164">
        <f t="shared" ref="AK3:AK34" si="7">(W3*AD3)/1000</f>
        <v>2238.4870338684004</v>
      </c>
      <c r="AL3" s="164">
        <f>AJ3+U3+AK3+X3*Forutsetninger!$C$24</f>
        <v>5350.5187973829052</v>
      </c>
      <c r="AM3" s="164">
        <f>(T3)*Forutsetninger!$C$30+X3*Forutsetninger!$C$24+U3+V3*Forutsetninger!$B$6</f>
        <v>3952.8603995145049</v>
      </c>
      <c r="AN3" s="164">
        <f>Y3*Forutsetninger!$C$30+Z3+AA3*Forutsetninger!$B$6+AC3*Forutsetninger!$C$24</f>
        <v>0</v>
      </c>
    </row>
    <row r="4" spans="1:40" ht="12.75" x14ac:dyDescent="0.2">
      <c r="A4">
        <v>92015</v>
      </c>
      <c r="B4" t="s">
        <v>194</v>
      </c>
      <c r="C4" s="170">
        <v>2015</v>
      </c>
      <c r="D4" s="145">
        <f t="shared" ref="D4:D67" si="8">F4+E4</f>
        <v>17791.234706519532</v>
      </c>
      <c r="E4" s="146">
        <v>0</v>
      </c>
      <c r="F4" s="41">
        <f t="shared" ref="F4:F67" si="9">N4+T4+Y4</f>
        <v>17791.234706519532</v>
      </c>
      <c r="G4" s="42">
        <f t="shared" ref="G4:G35" si="10">O4+U4+Z4</f>
        <v>8921</v>
      </c>
      <c r="H4" s="42">
        <f t="shared" si="0"/>
        <v>116688</v>
      </c>
      <c r="I4" s="42">
        <f t="shared" si="1"/>
        <v>117854.88</v>
      </c>
      <c r="J4" s="41">
        <f t="shared" si="2"/>
        <v>4250</v>
      </c>
      <c r="K4" s="41">
        <f t="shared" si="3"/>
        <v>2833</v>
      </c>
      <c r="L4" s="41">
        <f t="shared" si="4"/>
        <v>0</v>
      </c>
      <c r="M4" s="42">
        <f t="shared" si="5"/>
        <v>3181</v>
      </c>
      <c r="N4" s="162">
        <v>14628.7440665062</v>
      </c>
      <c r="O4" s="162">
        <v>5743</v>
      </c>
      <c r="P4" s="162">
        <v>59047.63</v>
      </c>
      <c r="Q4" s="162">
        <v>4250</v>
      </c>
      <c r="R4" s="162">
        <v>2077</v>
      </c>
      <c r="S4" s="162">
        <v>0</v>
      </c>
      <c r="T4" s="162">
        <v>3162.49064001333</v>
      </c>
      <c r="U4" s="162">
        <v>3178</v>
      </c>
      <c r="V4" s="162">
        <v>58807.25</v>
      </c>
      <c r="W4" s="162">
        <v>2833</v>
      </c>
      <c r="X4" s="162">
        <v>1104</v>
      </c>
      <c r="Y4" s="162">
        <v>0</v>
      </c>
      <c r="Z4" s="162">
        <v>0</v>
      </c>
      <c r="AA4" s="162">
        <v>0</v>
      </c>
      <c r="AB4" s="162">
        <v>0</v>
      </c>
      <c r="AC4" s="162">
        <v>0</v>
      </c>
      <c r="AD4" s="176">
        <v>257.06098230000003</v>
      </c>
      <c r="AE4" s="165">
        <f>N4*Forutsetninger!$C$30</f>
        <v>15477.211222363561</v>
      </c>
      <c r="AF4" s="165">
        <f t="shared" si="6"/>
        <v>1092.5091747750002</v>
      </c>
      <c r="AG4" s="165">
        <f>S4*Forutsetninger!$C$24</f>
        <v>0</v>
      </c>
      <c r="AH4" s="165">
        <f>AE4+O4+AF4+R4*Forutsetninger!$C$24-AG4</f>
        <v>24503.955397138565</v>
      </c>
      <c r="AI4" s="165">
        <f>AH4+P4*Forutsetninger!$B$6</f>
        <v>28117.670353138565</v>
      </c>
      <c r="AJ4" s="165">
        <f>T4*Forutsetninger!$C$30</f>
        <v>3345.9150971341032</v>
      </c>
      <c r="AK4" s="165">
        <f t="shared" si="7"/>
        <v>728.25376285590005</v>
      </c>
      <c r="AL4" s="165">
        <f>AJ4+U4+AK4+X4*Forutsetninger!$C$24</f>
        <v>8416.8888599900038</v>
      </c>
      <c r="AM4" s="164">
        <f>(T4)*Forutsetninger!$C$30+X4*Forutsetninger!$C$24+U4+V4*Forutsetninger!$B$6</f>
        <v>11287.638797134103</v>
      </c>
      <c r="AN4" s="164">
        <f>Y4*Forutsetninger!$C$30+Z4+AA4*Forutsetninger!$B$6+AC4*Forutsetninger!$C$24</f>
        <v>0</v>
      </c>
    </row>
    <row r="5" spans="1:40" ht="12.75" x14ac:dyDescent="0.2">
      <c r="A5">
        <v>102015</v>
      </c>
      <c r="B5" t="s">
        <v>160</v>
      </c>
      <c r="C5" s="170">
        <v>2015</v>
      </c>
      <c r="D5" s="145">
        <f t="shared" si="8"/>
        <v>437.16581009114248</v>
      </c>
      <c r="E5" s="146">
        <v>0</v>
      </c>
      <c r="F5" s="41">
        <f t="shared" si="9"/>
        <v>437.16581009114248</v>
      </c>
      <c r="G5" s="42">
        <f t="shared" si="10"/>
        <v>598</v>
      </c>
      <c r="H5" s="42">
        <f t="shared" si="0"/>
        <v>3380</v>
      </c>
      <c r="I5" s="42">
        <f t="shared" si="1"/>
        <v>3413.8</v>
      </c>
      <c r="J5" s="41">
        <f t="shared" si="2"/>
        <v>431</v>
      </c>
      <c r="K5" s="41">
        <f t="shared" si="3"/>
        <v>3885</v>
      </c>
      <c r="L5" s="41">
        <f t="shared" si="4"/>
        <v>0</v>
      </c>
      <c r="M5" s="42">
        <f t="shared" si="5"/>
        <v>0</v>
      </c>
      <c r="N5" s="162">
        <v>12.0303878318995</v>
      </c>
      <c r="O5" s="162">
        <v>18</v>
      </c>
      <c r="P5" s="162">
        <v>15.15</v>
      </c>
      <c r="Q5" s="162">
        <v>431</v>
      </c>
      <c r="R5" s="162">
        <v>0</v>
      </c>
      <c r="S5" s="162">
        <v>0</v>
      </c>
      <c r="T5" s="162">
        <v>425.135422259243</v>
      </c>
      <c r="U5" s="162">
        <v>580</v>
      </c>
      <c r="V5" s="162">
        <v>3398.65</v>
      </c>
      <c r="W5" s="162">
        <v>3885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76">
        <v>284.7804931</v>
      </c>
      <c r="AE5" s="165">
        <f>N5*Forutsetninger!$C$30</f>
        <v>12.728150326149672</v>
      </c>
      <c r="AF5" s="165">
        <f t="shared" si="6"/>
        <v>122.7403925261</v>
      </c>
      <c r="AG5" s="165">
        <f>S5*Forutsetninger!$C$24</f>
        <v>0</v>
      </c>
      <c r="AH5" s="165">
        <f>AE5+O5+AF5+R5*Forutsetninger!$C$24-AG5</f>
        <v>153.46854285224967</v>
      </c>
      <c r="AI5" s="165">
        <f>AH5+P5*Forutsetninger!$B$6</f>
        <v>154.39572285224966</v>
      </c>
      <c r="AJ5" s="165">
        <f>T5*Forutsetninger!$C$30</f>
        <v>449.79327675027912</v>
      </c>
      <c r="AK5" s="165">
        <f t="shared" si="7"/>
        <v>1106.3722156934998</v>
      </c>
      <c r="AL5" s="165">
        <f>AJ5+U5+AK5+X5*Forutsetninger!$C$24</f>
        <v>2136.1654924437789</v>
      </c>
      <c r="AM5" s="164">
        <f>(T5)*Forutsetninger!$C$30+X5*Forutsetninger!$C$24+U5+V5*Forutsetninger!$B$6</f>
        <v>1237.7906567502791</v>
      </c>
      <c r="AN5" s="164">
        <f>Y5*Forutsetninger!$C$30+Z5+AA5*Forutsetninger!$B$6+AC5*Forutsetninger!$C$24</f>
        <v>0</v>
      </c>
    </row>
    <row r="6" spans="1:40" ht="12.75" x14ac:dyDescent="0.2">
      <c r="A6">
        <v>142015</v>
      </c>
      <c r="B6" t="s">
        <v>195</v>
      </c>
      <c r="C6" s="170">
        <v>2015</v>
      </c>
      <c r="D6" s="145">
        <f t="shared" si="8"/>
        <v>22869.529609738969</v>
      </c>
      <c r="E6" s="146">
        <v>0</v>
      </c>
      <c r="F6" s="41">
        <f t="shared" si="9"/>
        <v>22869.529609738969</v>
      </c>
      <c r="G6" s="42">
        <f t="shared" si="10"/>
        <v>9652</v>
      </c>
      <c r="H6" s="42">
        <f t="shared" si="0"/>
        <v>166549</v>
      </c>
      <c r="I6" s="42">
        <f t="shared" si="1"/>
        <v>168214.49000000002</v>
      </c>
      <c r="J6" s="41">
        <f t="shared" si="2"/>
        <v>17024</v>
      </c>
      <c r="K6" s="41">
        <f t="shared" si="3"/>
        <v>3993</v>
      </c>
      <c r="L6" s="41">
        <f t="shared" si="4"/>
        <v>0</v>
      </c>
      <c r="M6" s="42">
        <f t="shared" si="5"/>
        <v>4099</v>
      </c>
      <c r="N6" s="162">
        <v>15261.965894450899</v>
      </c>
      <c r="O6" s="162">
        <v>7745</v>
      </c>
      <c r="P6" s="162">
        <v>134659.26</v>
      </c>
      <c r="Q6" s="162">
        <v>17024</v>
      </c>
      <c r="R6" s="162">
        <v>4099</v>
      </c>
      <c r="S6" s="162">
        <v>0</v>
      </c>
      <c r="T6" s="162">
        <v>7607.5637152880699</v>
      </c>
      <c r="U6" s="162">
        <v>1907</v>
      </c>
      <c r="V6" s="162">
        <v>33555.230000000003</v>
      </c>
      <c r="W6" s="162">
        <v>3993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76">
        <v>284.74774189999999</v>
      </c>
      <c r="AE6" s="165">
        <f>N6*Forutsetninger!$C$30</f>
        <v>16147.159916329052</v>
      </c>
      <c r="AF6" s="165">
        <f t="shared" si="6"/>
        <v>4847.5455581056003</v>
      </c>
      <c r="AG6" s="165">
        <f>S6*Forutsetninger!$C$24</f>
        <v>0</v>
      </c>
      <c r="AH6" s="165">
        <f>AE6+O6+AF6+R6*Forutsetninger!$C$24-AG6</f>
        <v>33064.150474434653</v>
      </c>
      <c r="AI6" s="165">
        <f>AH6+P6*Forutsetninger!$B$6</f>
        <v>41305.297186434655</v>
      </c>
      <c r="AJ6" s="165">
        <f>T6*Forutsetninger!$C$30</f>
        <v>8048.8024107747788</v>
      </c>
      <c r="AK6" s="165">
        <f t="shared" si="7"/>
        <v>1136.9977334067</v>
      </c>
      <c r="AL6" s="165">
        <f>AJ6+U6+AK6+X6*Forutsetninger!$C$24</f>
        <v>11092.800144181479</v>
      </c>
      <c r="AM6" s="164">
        <f>(T6)*Forutsetninger!$C$30+X6*Forutsetninger!$C$24+U6+V6*Forutsetninger!$B$6</f>
        <v>12009.382486774779</v>
      </c>
      <c r="AN6" s="164">
        <f>Y6*Forutsetninger!$C$30+Z6+AA6*Forutsetninger!$B$6+AC6*Forutsetninger!$C$24</f>
        <v>0</v>
      </c>
    </row>
    <row r="7" spans="1:40" ht="12.75" x14ac:dyDescent="0.2">
      <c r="A7">
        <v>162015</v>
      </c>
      <c r="B7" t="s">
        <v>196</v>
      </c>
      <c r="C7" s="170">
        <v>2015</v>
      </c>
      <c r="D7" s="145">
        <f t="shared" si="8"/>
        <v>18686.8429250716</v>
      </c>
      <c r="E7" s="146">
        <v>0</v>
      </c>
      <c r="F7" s="41">
        <f t="shared" si="9"/>
        <v>18686.8429250716</v>
      </c>
      <c r="G7" s="42">
        <f t="shared" si="10"/>
        <v>4126</v>
      </c>
      <c r="H7" s="41">
        <f t="shared" si="0"/>
        <v>57921</v>
      </c>
      <c r="I7" s="42">
        <f t="shared" si="1"/>
        <v>58500.21</v>
      </c>
      <c r="J7" s="41">
        <f t="shared" si="2"/>
        <v>9406</v>
      </c>
      <c r="K7" s="41">
        <f t="shared" si="3"/>
        <v>0</v>
      </c>
      <c r="L7" s="41">
        <f t="shared" si="4"/>
        <v>0</v>
      </c>
      <c r="M7" s="42">
        <f t="shared" si="5"/>
        <v>479</v>
      </c>
      <c r="N7" s="162">
        <v>18686.8429250716</v>
      </c>
      <c r="O7" s="162">
        <v>4126</v>
      </c>
      <c r="P7" s="162">
        <v>58500.21</v>
      </c>
      <c r="Q7" s="162">
        <v>9406</v>
      </c>
      <c r="R7" s="162">
        <v>479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76">
        <v>284.7804931</v>
      </c>
      <c r="AE7" s="165">
        <f>N7*Forutsetninger!$C$30</f>
        <v>19770.679814725754</v>
      </c>
      <c r="AF7" s="165">
        <f t="shared" si="6"/>
        <v>2678.6453180986</v>
      </c>
      <c r="AG7" s="165">
        <f>S7*Forutsetninger!$C$24</f>
        <v>0</v>
      </c>
      <c r="AH7" s="165">
        <f>AE7+O7+AF7+R7*Forutsetninger!$C$24-AG7</f>
        <v>27080.670132824354</v>
      </c>
      <c r="AI7" s="165">
        <f>AH7+P7*Forutsetninger!$B$6</f>
        <v>30660.882984824355</v>
      </c>
      <c r="AJ7" s="165">
        <f>T7*Forutsetninger!$C$30</f>
        <v>0</v>
      </c>
      <c r="AK7" s="165">
        <f t="shared" si="7"/>
        <v>0</v>
      </c>
      <c r="AL7" s="165">
        <f>AJ7+U7+AK7+X7*Forutsetninger!$C$24</f>
        <v>0</v>
      </c>
      <c r="AM7" s="164">
        <f>(T7)*Forutsetninger!$C$30+X7*Forutsetninger!$C$24+U7+V7*Forutsetninger!$B$6</f>
        <v>0</v>
      </c>
      <c r="AN7" s="164">
        <f>Y7*Forutsetninger!$C$30+Z7+AA7*Forutsetninger!$B$6+AC7*Forutsetninger!$C$24</f>
        <v>0</v>
      </c>
    </row>
    <row r="8" spans="1:40" ht="12.75" x14ac:dyDescent="0.2">
      <c r="A8">
        <v>182015</v>
      </c>
      <c r="B8" t="s">
        <v>161</v>
      </c>
      <c r="C8" s="170">
        <v>2015</v>
      </c>
      <c r="D8" s="145">
        <f t="shared" si="8"/>
        <v>10824.58511112027</v>
      </c>
      <c r="E8" s="146">
        <v>0</v>
      </c>
      <c r="F8" s="41">
        <f t="shared" si="9"/>
        <v>10824.58511112027</v>
      </c>
      <c r="G8" s="42">
        <f t="shared" si="10"/>
        <v>5375</v>
      </c>
      <c r="H8" s="41">
        <f t="shared" si="0"/>
        <v>55087</v>
      </c>
      <c r="I8" s="42">
        <f t="shared" si="1"/>
        <v>55637.87</v>
      </c>
      <c r="J8" s="41">
        <f t="shared" si="2"/>
        <v>3900</v>
      </c>
      <c r="K8" s="41">
        <f t="shared" si="3"/>
        <v>48</v>
      </c>
      <c r="L8" s="41">
        <f t="shared" si="4"/>
        <v>0</v>
      </c>
      <c r="M8" s="42">
        <f t="shared" si="5"/>
        <v>578</v>
      </c>
      <c r="N8" s="162">
        <v>10206.7862908236</v>
      </c>
      <c r="O8" s="162">
        <v>5236</v>
      </c>
      <c r="P8" s="162">
        <v>54595.55</v>
      </c>
      <c r="Q8" s="162">
        <v>3900</v>
      </c>
      <c r="R8" s="162">
        <v>578</v>
      </c>
      <c r="S8" s="162">
        <v>197.42</v>
      </c>
      <c r="T8" s="162">
        <v>617.79882029666999</v>
      </c>
      <c r="U8" s="162">
        <v>139</v>
      </c>
      <c r="V8" s="162">
        <v>1042.32</v>
      </c>
      <c r="W8" s="162">
        <v>48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76">
        <v>257.06098230000003</v>
      </c>
      <c r="AE8" s="165">
        <f>N8*Forutsetninger!$C$30</f>
        <v>10798.77989569137</v>
      </c>
      <c r="AF8" s="165">
        <f t="shared" si="6"/>
        <v>1002.5378309700001</v>
      </c>
      <c r="AG8" s="165">
        <f>S8*Forutsetninger!$C$24</f>
        <v>208.27809999999997</v>
      </c>
      <c r="AH8" s="165">
        <f>AE8+O8+AF8+R8*Forutsetninger!$C$24-AG8</f>
        <v>17438.829626661372</v>
      </c>
      <c r="AI8" s="165">
        <f>AH8+P8*Forutsetninger!$B$6</f>
        <v>20780.077286661373</v>
      </c>
      <c r="AJ8" s="165">
        <f>T8*Forutsetninger!$C$30</f>
        <v>653.63115187387689</v>
      </c>
      <c r="AK8" s="165">
        <f t="shared" si="7"/>
        <v>12.338927150400002</v>
      </c>
      <c r="AL8" s="165">
        <f>AJ8+U8+AK8+X8*Forutsetninger!$C$24</f>
        <v>804.97007902427686</v>
      </c>
      <c r="AM8" s="164">
        <f>(T8)*Forutsetninger!$C$30+X8*Forutsetninger!$C$24+U8+V8*Forutsetninger!$B$6</f>
        <v>856.42113587387689</v>
      </c>
      <c r="AN8" s="164">
        <f>Y8*Forutsetninger!$C$30+Z8+AA8*Forutsetninger!$B$6+AC8*Forutsetninger!$C$24</f>
        <v>0</v>
      </c>
    </row>
    <row r="9" spans="1:40" ht="12.75" x14ac:dyDescent="0.2">
      <c r="A9">
        <v>222015</v>
      </c>
      <c r="B9" t="s">
        <v>197</v>
      </c>
      <c r="C9" s="170">
        <v>2015</v>
      </c>
      <c r="D9" s="145">
        <f t="shared" si="8"/>
        <v>5516.9263256782697</v>
      </c>
      <c r="E9" s="146">
        <v>0</v>
      </c>
      <c r="F9" s="41">
        <f t="shared" si="9"/>
        <v>5516.9263256782697</v>
      </c>
      <c r="G9" s="42">
        <f t="shared" si="10"/>
        <v>1456</v>
      </c>
      <c r="H9" s="41">
        <f t="shared" si="0"/>
        <v>28433</v>
      </c>
      <c r="I9" s="42">
        <f t="shared" si="1"/>
        <v>28717.33</v>
      </c>
      <c r="J9" s="41">
        <f t="shared" si="2"/>
        <v>1896</v>
      </c>
      <c r="K9" s="41">
        <f t="shared" si="3"/>
        <v>0</v>
      </c>
      <c r="L9" s="41">
        <f t="shared" si="4"/>
        <v>0</v>
      </c>
      <c r="M9" s="42">
        <f t="shared" si="5"/>
        <v>350</v>
      </c>
      <c r="N9" s="162">
        <v>5516.9263256782697</v>
      </c>
      <c r="O9" s="162">
        <v>1456</v>
      </c>
      <c r="P9" s="162">
        <v>28717.33</v>
      </c>
      <c r="Q9" s="162">
        <v>1896</v>
      </c>
      <c r="R9" s="162">
        <v>350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76">
        <v>257.06098230000003</v>
      </c>
      <c r="AE9" s="165">
        <f>N9*Forutsetninger!$C$30</f>
        <v>5836.90805256761</v>
      </c>
      <c r="AF9" s="165">
        <f t="shared" si="6"/>
        <v>487.38762244080004</v>
      </c>
      <c r="AG9" s="165">
        <f>S9*Forutsetninger!$C$24</f>
        <v>0</v>
      </c>
      <c r="AH9" s="165">
        <f>AE9+O9+AF9+R9*Forutsetninger!$C$24-AG9</f>
        <v>8149.5456750084104</v>
      </c>
      <c r="AI9" s="165">
        <f>AH9+P9*Forutsetninger!$B$6</f>
        <v>9907.0462710084103</v>
      </c>
      <c r="AJ9" s="165">
        <f>T9*Forutsetninger!$C$30</f>
        <v>0</v>
      </c>
      <c r="AK9" s="165">
        <f t="shared" si="7"/>
        <v>0</v>
      </c>
      <c r="AL9" s="165">
        <f>AJ9+U9+AK9+X9*Forutsetninger!$C$24</f>
        <v>0</v>
      </c>
      <c r="AM9" s="164">
        <f>(T9)*Forutsetninger!$C$30+X9*Forutsetninger!$C$24+U9+V9*Forutsetninger!$B$6</f>
        <v>0</v>
      </c>
      <c r="AN9" s="164">
        <f>Y9*Forutsetninger!$C$30+Z9+AA9*Forutsetninger!$B$6+AC9*Forutsetninger!$C$24</f>
        <v>0</v>
      </c>
    </row>
    <row r="10" spans="1:40" ht="12" customHeight="1" x14ac:dyDescent="0.2">
      <c r="A10">
        <v>322015</v>
      </c>
      <c r="B10" t="s">
        <v>198</v>
      </c>
      <c r="C10" s="170">
        <v>2015</v>
      </c>
      <c r="D10" s="145">
        <f t="shared" si="8"/>
        <v>60584.258831840401</v>
      </c>
      <c r="E10" s="146">
        <v>0</v>
      </c>
      <c r="F10" s="41">
        <f t="shared" si="9"/>
        <v>60584.258831840401</v>
      </c>
      <c r="G10" s="42">
        <f t="shared" si="10"/>
        <v>32593</v>
      </c>
      <c r="H10" s="41">
        <f t="shared" si="0"/>
        <v>462078</v>
      </c>
      <c r="I10" s="42">
        <f t="shared" si="1"/>
        <v>466698.78</v>
      </c>
      <c r="J10" s="41">
        <f t="shared" si="2"/>
        <v>60279</v>
      </c>
      <c r="K10" s="41">
        <f t="shared" si="3"/>
        <v>0</v>
      </c>
      <c r="L10" s="41">
        <f t="shared" si="4"/>
        <v>0</v>
      </c>
      <c r="M10" s="42">
        <f t="shared" si="5"/>
        <v>2815</v>
      </c>
      <c r="N10" s="162">
        <v>60584.258831840401</v>
      </c>
      <c r="O10" s="162">
        <v>32593</v>
      </c>
      <c r="P10" s="162">
        <v>466698.78</v>
      </c>
      <c r="Q10" s="162">
        <v>60279</v>
      </c>
      <c r="R10" s="162">
        <v>2815</v>
      </c>
      <c r="S10" s="162">
        <v>8390.56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76">
        <v>286.91705400000001</v>
      </c>
      <c r="AE10" s="165">
        <f>N10*Forutsetninger!$C$30</f>
        <v>64098.14584408715</v>
      </c>
      <c r="AF10" s="165">
        <f t="shared" si="6"/>
        <v>17295.073098066001</v>
      </c>
      <c r="AG10" s="165">
        <f>S10*Forutsetninger!$C$24</f>
        <v>8852.0407999999989</v>
      </c>
      <c r="AH10" s="165">
        <f>AE10+O10+AF10+R10*Forutsetninger!$C$24-AG10</f>
        <v>108104.00314215315</v>
      </c>
      <c r="AI10" s="165">
        <f>AH10+P10*Forutsetninger!$B$6</f>
        <v>136665.96847815314</v>
      </c>
      <c r="AJ10" s="165">
        <f>T10*Forutsetninger!$C$30</f>
        <v>0</v>
      </c>
      <c r="AK10" s="165">
        <f t="shared" si="7"/>
        <v>0</v>
      </c>
      <c r="AL10" s="165">
        <f>AJ10+U10+AK10+X10*Forutsetninger!$C$24</f>
        <v>0</v>
      </c>
      <c r="AM10" s="164">
        <f>(T10)*Forutsetninger!$C$30+X10*Forutsetninger!$C$24+U10+V10*Forutsetninger!$B$6</f>
        <v>0</v>
      </c>
      <c r="AN10" s="164">
        <f>Y10*Forutsetninger!$C$30+Z10+AA10*Forutsetninger!$B$6+AC10*Forutsetninger!$C$24</f>
        <v>0</v>
      </c>
    </row>
    <row r="11" spans="1:40" ht="12.75" x14ac:dyDescent="0.2">
      <c r="A11">
        <v>352015</v>
      </c>
      <c r="B11" t="s">
        <v>162</v>
      </c>
      <c r="C11" s="170">
        <v>2015</v>
      </c>
      <c r="D11" s="145">
        <f t="shared" si="8"/>
        <v>12301.5016433686</v>
      </c>
      <c r="E11" s="146">
        <v>0</v>
      </c>
      <c r="F11" s="41">
        <f t="shared" si="9"/>
        <v>12301.5016433686</v>
      </c>
      <c r="G11" s="42">
        <f t="shared" si="10"/>
        <v>4079</v>
      </c>
      <c r="H11" s="41">
        <f t="shared" si="0"/>
        <v>64856</v>
      </c>
      <c r="I11" s="42">
        <f t="shared" si="1"/>
        <v>65504.56</v>
      </c>
      <c r="J11" s="41">
        <f t="shared" si="2"/>
        <v>5276</v>
      </c>
      <c r="K11" s="41">
        <f t="shared" si="3"/>
        <v>0</v>
      </c>
      <c r="L11" s="41">
        <f t="shared" si="4"/>
        <v>0</v>
      </c>
      <c r="M11" s="42">
        <f t="shared" si="5"/>
        <v>811</v>
      </c>
      <c r="N11" s="162">
        <v>12301.5016433686</v>
      </c>
      <c r="O11" s="162">
        <v>4079</v>
      </c>
      <c r="P11" s="162">
        <v>65504.56</v>
      </c>
      <c r="Q11" s="162">
        <v>5276</v>
      </c>
      <c r="R11" s="162">
        <v>811</v>
      </c>
      <c r="S11" s="162">
        <v>493.56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76">
        <v>284.7804931</v>
      </c>
      <c r="AE11" s="165">
        <f>N11*Forutsetninger!$C$30</f>
        <v>13014.988738683978</v>
      </c>
      <c r="AF11" s="165">
        <f t="shared" si="6"/>
        <v>1502.5018815956</v>
      </c>
      <c r="AG11" s="165">
        <f>S11*Forutsetninger!$C$24</f>
        <v>520.70579999999995</v>
      </c>
      <c r="AH11" s="165">
        <f>AE11+O11+AF11+R11*Forutsetninger!$C$24-AG11</f>
        <v>18931.389820279575</v>
      </c>
      <c r="AI11" s="165">
        <f>AH11+P11*Forutsetninger!$B$6</f>
        <v>22940.268892279575</v>
      </c>
      <c r="AJ11" s="165">
        <f>T11*Forutsetninger!$C$30</f>
        <v>0</v>
      </c>
      <c r="AK11" s="165">
        <f t="shared" si="7"/>
        <v>0</v>
      </c>
      <c r="AL11" s="165">
        <f>AJ11+U11+AK11+X11*Forutsetninger!$C$24</f>
        <v>0</v>
      </c>
      <c r="AM11" s="164">
        <f>(T11)*Forutsetninger!$C$30+X11*Forutsetninger!$C$24+U11+V11*Forutsetninger!$B$6</f>
        <v>0</v>
      </c>
      <c r="AN11" s="164">
        <f>Y11*Forutsetninger!$C$30+Z11+AA11*Forutsetninger!$B$6+AC11*Forutsetninger!$C$24</f>
        <v>0</v>
      </c>
    </row>
    <row r="12" spans="1:40" ht="12.75" x14ac:dyDescent="0.2">
      <c r="A12">
        <v>372015</v>
      </c>
      <c r="B12" t="s">
        <v>199</v>
      </c>
      <c r="C12" s="170">
        <v>2015</v>
      </c>
      <c r="D12" s="145">
        <f t="shared" si="8"/>
        <v>35793.933683046635</v>
      </c>
      <c r="E12" s="146">
        <v>0</v>
      </c>
      <c r="F12" s="41">
        <f t="shared" si="9"/>
        <v>35793.933683046635</v>
      </c>
      <c r="G12" s="42">
        <f t="shared" si="10"/>
        <v>17552</v>
      </c>
      <c r="H12" s="42">
        <f t="shared" si="0"/>
        <v>246112</v>
      </c>
      <c r="I12" s="42">
        <f t="shared" si="1"/>
        <v>248573.12</v>
      </c>
      <c r="J12" s="41">
        <f t="shared" si="2"/>
        <v>19164</v>
      </c>
      <c r="K12" s="41">
        <f t="shared" si="3"/>
        <v>19099</v>
      </c>
      <c r="L12" s="41">
        <f t="shared" si="4"/>
        <v>0</v>
      </c>
      <c r="M12" s="42">
        <f t="shared" si="5"/>
        <v>1301</v>
      </c>
      <c r="N12" s="162">
        <v>26999.524539258899</v>
      </c>
      <c r="O12" s="162">
        <v>13515</v>
      </c>
      <c r="P12" s="162">
        <v>192279.76</v>
      </c>
      <c r="Q12" s="162">
        <v>19164</v>
      </c>
      <c r="R12" s="162">
        <v>1301</v>
      </c>
      <c r="S12" s="162">
        <v>0</v>
      </c>
      <c r="T12" s="162">
        <v>8794.4091437877396</v>
      </c>
      <c r="U12" s="162">
        <v>4037</v>
      </c>
      <c r="V12" s="162">
        <v>56293.36</v>
      </c>
      <c r="W12" s="162">
        <v>19099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76">
        <v>290.33327359999998</v>
      </c>
      <c r="AE12" s="165">
        <f>N12*Forutsetninger!$C$30</f>
        <v>28565.496962535915</v>
      </c>
      <c r="AF12" s="165">
        <f t="shared" si="6"/>
        <v>5563.9468552703993</v>
      </c>
      <c r="AG12" s="165">
        <f>S12*Forutsetninger!$C$24</f>
        <v>0</v>
      </c>
      <c r="AH12" s="165">
        <f>AE12+O12+AF12+R12*Forutsetninger!$C$24-AG12</f>
        <v>49016.998817806314</v>
      </c>
      <c r="AI12" s="165">
        <f>AH12+P12*Forutsetninger!$B$6</f>
        <v>60784.520129806318</v>
      </c>
      <c r="AJ12" s="165">
        <f>T12*Forutsetninger!$C$30</f>
        <v>9304.4848741274291</v>
      </c>
      <c r="AK12" s="165">
        <f t="shared" si="7"/>
        <v>5545.0751924863998</v>
      </c>
      <c r="AL12" s="165">
        <f>AJ12+U12+AK12+X12*Forutsetninger!$C$24</f>
        <v>18886.560066613827</v>
      </c>
      <c r="AM12" s="164">
        <f>(T12)*Forutsetninger!$C$30+X12*Forutsetninger!$C$24+U12+V12*Forutsetninger!$B$6</f>
        <v>16786.63850612743</v>
      </c>
      <c r="AN12" s="164">
        <f>Y12*Forutsetninger!$C$30+Z12+AA12*Forutsetninger!$B$6+AC12*Forutsetninger!$C$24</f>
        <v>0</v>
      </c>
    </row>
    <row r="13" spans="1:40" ht="12.75" x14ac:dyDescent="0.2">
      <c r="A13">
        <v>412015</v>
      </c>
      <c r="B13" t="s">
        <v>163</v>
      </c>
      <c r="C13" s="170">
        <v>2015</v>
      </c>
      <c r="D13" s="145">
        <f t="shared" si="8"/>
        <v>9373.2017031236046</v>
      </c>
      <c r="E13" s="146">
        <v>0</v>
      </c>
      <c r="F13" s="41">
        <f t="shared" si="9"/>
        <v>9373.2017031236046</v>
      </c>
      <c r="G13" s="42">
        <f t="shared" si="10"/>
        <v>2397</v>
      </c>
      <c r="H13" s="41">
        <f t="shared" si="0"/>
        <v>30446</v>
      </c>
      <c r="I13" s="42">
        <f t="shared" si="1"/>
        <v>30750.46</v>
      </c>
      <c r="J13" s="41">
        <f t="shared" si="2"/>
        <v>3674</v>
      </c>
      <c r="K13" s="41">
        <f t="shared" si="3"/>
        <v>0</v>
      </c>
      <c r="L13" s="41">
        <f t="shared" si="4"/>
        <v>0</v>
      </c>
      <c r="M13" s="42">
        <f t="shared" si="5"/>
        <v>694</v>
      </c>
      <c r="N13" s="162">
        <v>9364.2781084458402</v>
      </c>
      <c r="O13" s="162">
        <v>2381</v>
      </c>
      <c r="P13" s="162">
        <v>30552.5</v>
      </c>
      <c r="Q13" s="162">
        <v>3674</v>
      </c>
      <c r="R13" s="162">
        <v>694</v>
      </c>
      <c r="S13" s="162">
        <v>493.56</v>
      </c>
      <c r="T13" s="162">
        <v>8.9235946777651698</v>
      </c>
      <c r="U13" s="162">
        <v>16</v>
      </c>
      <c r="V13" s="162">
        <v>197.96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76">
        <v>284.7804931</v>
      </c>
      <c r="AE13" s="165">
        <f>N13*Forutsetninger!$C$30</f>
        <v>9907.4062387356989</v>
      </c>
      <c r="AF13" s="165">
        <f t="shared" si="6"/>
        <v>1046.2835316493999</v>
      </c>
      <c r="AG13" s="165">
        <f>S13*Forutsetninger!$C$24</f>
        <v>520.70579999999995</v>
      </c>
      <c r="AH13" s="165">
        <f>AE13+O13+AF13+R13*Forutsetninger!$C$24-AG13</f>
        <v>13546.153970385099</v>
      </c>
      <c r="AI13" s="165">
        <f>AH13+P13*Forutsetninger!$B$6</f>
        <v>15415.9669703851</v>
      </c>
      <c r="AJ13" s="165">
        <f>T13*Forutsetninger!$C$30</f>
        <v>9.4411631690755495</v>
      </c>
      <c r="AK13" s="165">
        <f t="shared" si="7"/>
        <v>0</v>
      </c>
      <c r="AL13" s="165">
        <f>AJ13+U13+AK13+X13*Forutsetninger!$C$24</f>
        <v>25.441163169075551</v>
      </c>
      <c r="AM13" s="164">
        <f>(T13)*Forutsetninger!$C$30+X13*Forutsetninger!$C$24+U13+V13*Forutsetninger!$B$6</f>
        <v>37.556315169075553</v>
      </c>
      <c r="AN13" s="164">
        <f>Y13*Forutsetninger!$C$30+Z13+AA13*Forutsetninger!$B$6+AC13*Forutsetninger!$C$24</f>
        <v>0</v>
      </c>
    </row>
    <row r="14" spans="1:40" ht="12.75" x14ac:dyDescent="0.2">
      <c r="A14">
        <v>422015</v>
      </c>
      <c r="B14" t="s">
        <v>200</v>
      </c>
      <c r="C14" s="170">
        <v>2015</v>
      </c>
      <c r="D14" s="145">
        <f t="shared" si="8"/>
        <v>28429.574833290499</v>
      </c>
      <c r="E14" s="146">
        <v>0</v>
      </c>
      <c r="F14" s="41">
        <f t="shared" si="9"/>
        <v>28429.574833290499</v>
      </c>
      <c r="G14" s="42">
        <f t="shared" si="10"/>
        <v>8343</v>
      </c>
      <c r="H14" s="41">
        <f t="shared" si="0"/>
        <v>127370</v>
      </c>
      <c r="I14" s="42">
        <f t="shared" si="1"/>
        <v>128643.7</v>
      </c>
      <c r="J14" s="41">
        <f t="shared" si="2"/>
        <v>11292</v>
      </c>
      <c r="K14" s="41">
        <f t="shared" si="3"/>
        <v>0</v>
      </c>
      <c r="L14" s="41">
        <f t="shared" si="4"/>
        <v>0</v>
      </c>
      <c r="M14" s="42">
        <f t="shared" si="5"/>
        <v>1243</v>
      </c>
      <c r="N14" s="162">
        <v>28429.574833290499</v>
      </c>
      <c r="O14" s="162">
        <v>8343</v>
      </c>
      <c r="P14" s="162">
        <v>128643.7</v>
      </c>
      <c r="Q14" s="162">
        <v>11292</v>
      </c>
      <c r="R14" s="162">
        <v>1243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76">
        <v>257.06098230000003</v>
      </c>
      <c r="AE14" s="165">
        <f>N14*Forutsetninger!$C$30</f>
        <v>30078.490173621351</v>
      </c>
      <c r="AF14" s="165">
        <f t="shared" si="6"/>
        <v>2902.7326121316005</v>
      </c>
      <c r="AG14" s="165">
        <f>S14*Forutsetninger!$C$24</f>
        <v>0</v>
      </c>
      <c r="AH14" s="165">
        <f>AE14+O14+AF14+R14*Forutsetninger!$C$24-AG14</f>
        <v>42635.587785752949</v>
      </c>
      <c r="AI14" s="165">
        <f>AH14+P14*Forutsetninger!$B$6</f>
        <v>50508.582225752951</v>
      </c>
      <c r="AJ14" s="165">
        <f>T14*Forutsetninger!$C$30</f>
        <v>0</v>
      </c>
      <c r="AK14" s="165">
        <f t="shared" si="7"/>
        <v>0</v>
      </c>
      <c r="AL14" s="165">
        <f>AJ14+U14+AK14+X14*Forutsetninger!$C$24</f>
        <v>0</v>
      </c>
      <c r="AM14" s="164">
        <f>(T14)*Forutsetninger!$C$30+X14*Forutsetninger!$C$24+U14+V14*Forutsetninger!$B$6</f>
        <v>0</v>
      </c>
      <c r="AN14" s="164">
        <f>Y14*Forutsetninger!$C$30+Z14+AA14*Forutsetninger!$B$6+AC14*Forutsetninger!$C$24</f>
        <v>0</v>
      </c>
    </row>
    <row r="15" spans="1:40" ht="12.75" x14ac:dyDescent="0.2">
      <c r="A15">
        <v>432015</v>
      </c>
      <c r="B15" t="s">
        <v>201</v>
      </c>
      <c r="C15" s="170">
        <v>2015</v>
      </c>
      <c r="D15" s="145">
        <f t="shared" si="8"/>
        <v>23176.347276021199</v>
      </c>
      <c r="E15" s="146">
        <v>0</v>
      </c>
      <c r="F15" s="41">
        <f t="shared" si="9"/>
        <v>23176.347276021199</v>
      </c>
      <c r="G15" s="42">
        <f t="shared" si="10"/>
        <v>10216</v>
      </c>
      <c r="H15" s="41">
        <f t="shared" si="0"/>
        <v>175696</v>
      </c>
      <c r="I15" s="42">
        <f t="shared" si="1"/>
        <v>177452.96</v>
      </c>
      <c r="J15" s="41">
        <f t="shared" si="2"/>
        <v>9610</v>
      </c>
      <c r="K15" s="41">
        <f t="shared" si="3"/>
        <v>0</v>
      </c>
      <c r="L15" s="41">
        <f t="shared" si="4"/>
        <v>0</v>
      </c>
      <c r="M15" s="42">
        <f t="shared" si="5"/>
        <v>811</v>
      </c>
      <c r="N15" s="162">
        <v>23176.347276021199</v>
      </c>
      <c r="O15" s="162">
        <v>10216</v>
      </c>
      <c r="P15" s="162">
        <v>177452.96</v>
      </c>
      <c r="Q15" s="162">
        <v>9610</v>
      </c>
      <c r="R15" s="162">
        <v>811</v>
      </c>
      <c r="S15" s="162">
        <v>263.23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76">
        <v>284.7804931</v>
      </c>
      <c r="AE15" s="165">
        <f>N15*Forutsetninger!$C$30</f>
        <v>24520.575418030428</v>
      </c>
      <c r="AF15" s="165">
        <f t="shared" si="6"/>
        <v>2736.740538691</v>
      </c>
      <c r="AG15" s="165">
        <f>S15*Forutsetninger!$C$24</f>
        <v>277.70765</v>
      </c>
      <c r="AH15" s="165">
        <f>AE15+O15+AF15+R15*Forutsetninger!$C$24-AG15</f>
        <v>38051.213306721438</v>
      </c>
      <c r="AI15" s="165">
        <f>AH15+P15*Forutsetninger!$B$6</f>
        <v>48911.334458721438</v>
      </c>
      <c r="AJ15" s="165">
        <f>T15*Forutsetninger!$C$30</f>
        <v>0</v>
      </c>
      <c r="AK15" s="165">
        <f t="shared" si="7"/>
        <v>0</v>
      </c>
      <c r="AL15" s="165">
        <f>AJ15+U15+AK15+X15*Forutsetninger!$C$24</f>
        <v>0</v>
      </c>
      <c r="AM15" s="164">
        <f>(T15)*Forutsetninger!$C$30+X15*Forutsetninger!$C$24+U15+V15*Forutsetninger!$B$6</f>
        <v>0</v>
      </c>
      <c r="AN15" s="164">
        <f>Y15*Forutsetninger!$C$30+Z15+AA15*Forutsetninger!$B$6+AC15*Forutsetninger!$C$24</f>
        <v>0</v>
      </c>
    </row>
    <row r="16" spans="1:40" ht="12.75" x14ac:dyDescent="0.2">
      <c r="A16">
        <v>452015</v>
      </c>
      <c r="B16" t="s">
        <v>202</v>
      </c>
      <c r="C16" s="170">
        <v>2015</v>
      </c>
      <c r="D16" s="145">
        <f t="shared" si="8"/>
        <v>14318.482798224401</v>
      </c>
      <c r="E16" s="146">
        <v>0</v>
      </c>
      <c r="F16" s="41">
        <f t="shared" si="9"/>
        <v>14318.482798224401</v>
      </c>
      <c r="G16" s="42">
        <f t="shared" si="10"/>
        <v>3005</v>
      </c>
      <c r="H16" s="42">
        <f t="shared" si="0"/>
        <v>47320</v>
      </c>
      <c r="I16" s="42">
        <f t="shared" si="1"/>
        <v>47793.2</v>
      </c>
      <c r="J16" s="41">
        <f t="shared" si="2"/>
        <v>5268</v>
      </c>
      <c r="K16" s="41">
        <f t="shared" si="3"/>
        <v>0</v>
      </c>
      <c r="L16" s="41">
        <f t="shared" si="4"/>
        <v>0</v>
      </c>
      <c r="M16" s="42">
        <f t="shared" si="5"/>
        <v>791</v>
      </c>
      <c r="N16" s="162">
        <v>14318.482798224401</v>
      </c>
      <c r="O16" s="162">
        <v>3005</v>
      </c>
      <c r="P16" s="162">
        <v>47793.2</v>
      </c>
      <c r="Q16" s="162">
        <v>5268</v>
      </c>
      <c r="R16" s="162">
        <v>791</v>
      </c>
      <c r="S16" s="162">
        <v>197.42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76">
        <v>284.7804931</v>
      </c>
      <c r="AE16" s="165">
        <f>N16*Forutsetninger!$C$30</f>
        <v>15148.954800521416</v>
      </c>
      <c r="AF16" s="165">
        <f t="shared" si="6"/>
        <v>1500.2236376507999</v>
      </c>
      <c r="AG16" s="165">
        <f>S16*Forutsetninger!$C$24</f>
        <v>208.27809999999997</v>
      </c>
      <c r="AH16" s="165">
        <f>AE16+O16+AF16+R16*Forutsetninger!$C$24-AG16</f>
        <v>20280.405338172219</v>
      </c>
      <c r="AI16" s="165">
        <f>AH16+P16*Forutsetninger!$B$6</f>
        <v>23205.349178172219</v>
      </c>
      <c r="AJ16" s="165">
        <f>T16*Forutsetninger!$C$30</f>
        <v>0</v>
      </c>
      <c r="AK16" s="165">
        <f t="shared" si="7"/>
        <v>0</v>
      </c>
      <c r="AL16" s="165">
        <f>AJ16+U16+AK16+X16*Forutsetninger!$C$24</f>
        <v>0</v>
      </c>
      <c r="AM16" s="164">
        <f>(T16)*Forutsetninger!$C$30+X16*Forutsetninger!$C$24+U16+V16*Forutsetninger!$B$6</f>
        <v>0</v>
      </c>
      <c r="AN16" s="164">
        <f>Y16*Forutsetninger!$C$30+Z16+AA16*Forutsetninger!$B$6+AC16*Forutsetninger!$C$24</f>
        <v>0</v>
      </c>
    </row>
    <row r="17" spans="1:40" ht="12.75" x14ac:dyDescent="0.2">
      <c r="A17">
        <v>462015</v>
      </c>
      <c r="B17" t="s">
        <v>203</v>
      </c>
      <c r="C17" s="170">
        <v>2015</v>
      </c>
      <c r="D17" s="145">
        <f t="shared" si="8"/>
        <v>8730.5851453639207</v>
      </c>
      <c r="E17" s="146">
        <v>0</v>
      </c>
      <c r="F17" s="41">
        <f t="shared" si="9"/>
        <v>8730.5851453639207</v>
      </c>
      <c r="G17" s="42">
        <f t="shared" si="10"/>
        <v>2035</v>
      </c>
      <c r="H17" s="42">
        <f t="shared" si="0"/>
        <v>29867</v>
      </c>
      <c r="I17" s="42">
        <f t="shared" si="1"/>
        <v>30165.67</v>
      </c>
      <c r="J17" s="41">
        <f t="shared" si="2"/>
        <v>2428</v>
      </c>
      <c r="K17" s="41">
        <f t="shared" si="3"/>
        <v>0</v>
      </c>
      <c r="L17" s="41">
        <f t="shared" si="4"/>
        <v>0</v>
      </c>
      <c r="M17" s="42">
        <f t="shared" si="5"/>
        <v>460</v>
      </c>
      <c r="N17" s="162">
        <v>8730.5851453639207</v>
      </c>
      <c r="O17" s="162">
        <v>2035</v>
      </c>
      <c r="P17" s="162">
        <v>30165.67</v>
      </c>
      <c r="Q17" s="162">
        <v>2428</v>
      </c>
      <c r="R17" s="162">
        <v>460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76">
        <v>284.7804931</v>
      </c>
      <c r="AE17" s="165">
        <f>N17*Forutsetninger!$C$30</f>
        <v>9236.9590837950291</v>
      </c>
      <c r="AF17" s="165">
        <f t="shared" si="6"/>
        <v>691.44703724680005</v>
      </c>
      <c r="AG17" s="165">
        <f>S17*Forutsetninger!$C$24</f>
        <v>0</v>
      </c>
      <c r="AH17" s="165">
        <f>AE17+O17+AF17+R17*Forutsetninger!$C$24-AG17</f>
        <v>12448.706121041829</v>
      </c>
      <c r="AI17" s="165">
        <f>AH17+P17*Forutsetninger!$B$6</f>
        <v>14294.845125041829</v>
      </c>
      <c r="AJ17" s="165">
        <f>T17*Forutsetninger!$C$30</f>
        <v>0</v>
      </c>
      <c r="AK17" s="165">
        <f t="shared" si="7"/>
        <v>0</v>
      </c>
      <c r="AL17" s="165">
        <f>AJ17+U17+AK17+X17*Forutsetninger!$C$24</f>
        <v>0</v>
      </c>
      <c r="AM17" s="164">
        <f>(T17)*Forutsetninger!$C$30+X17*Forutsetninger!$C$24+U17+V17*Forutsetninger!$B$6</f>
        <v>0</v>
      </c>
      <c r="AN17" s="164">
        <f>Y17*Forutsetninger!$C$30+Z17+AA17*Forutsetninger!$B$6+AC17*Forutsetninger!$C$24</f>
        <v>0</v>
      </c>
    </row>
    <row r="18" spans="1:40" ht="12.75" x14ac:dyDescent="0.2">
      <c r="A18">
        <v>522015</v>
      </c>
      <c r="B18" t="s">
        <v>204</v>
      </c>
      <c r="C18" s="170">
        <v>2015</v>
      </c>
      <c r="D18" s="145">
        <f t="shared" si="8"/>
        <v>6980.6529045575899</v>
      </c>
      <c r="E18" s="146">
        <v>0</v>
      </c>
      <c r="F18" s="41">
        <f t="shared" si="9"/>
        <v>6980.6529045575899</v>
      </c>
      <c r="G18" s="42">
        <f t="shared" si="10"/>
        <v>2129</v>
      </c>
      <c r="H18" s="41">
        <f t="shared" si="0"/>
        <v>33085</v>
      </c>
      <c r="I18" s="42">
        <f t="shared" si="1"/>
        <v>33415.85</v>
      </c>
      <c r="J18" s="41">
        <f t="shared" si="2"/>
        <v>2829</v>
      </c>
      <c r="K18" s="41">
        <f t="shared" si="3"/>
        <v>0</v>
      </c>
      <c r="L18" s="41">
        <f t="shared" si="4"/>
        <v>0</v>
      </c>
      <c r="M18" s="42">
        <f t="shared" si="5"/>
        <v>209</v>
      </c>
      <c r="N18" s="162">
        <v>6980.6529045575899</v>
      </c>
      <c r="O18" s="162">
        <v>2129</v>
      </c>
      <c r="P18" s="162">
        <v>33415.85</v>
      </c>
      <c r="Q18" s="162">
        <v>2829</v>
      </c>
      <c r="R18" s="162">
        <v>209</v>
      </c>
      <c r="S18" s="162">
        <v>463.14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76">
        <v>284.7804931</v>
      </c>
      <c r="AE18" s="165">
        <f>N18*Forutsetninger!$C$30</f>
        <v>7385.5307730219301</v>
      </c>
      <c r="AF18" s="165">
        <f t="shared" si="6"/>
        <v>805.64401497990002</v>
      </c>
      <c r="AG18" s="165">
        <f>S18*Forutsetninger!$C$24</f>
        <v>488.61269999999996</v>
      </c>
      <c r="AH18" s="165">
        <f>AE18+O18+AF18+R18*Forutsetninger!$C$24-AG18</f>
        <v>10052.057088001831</v>
      </c>
      <c r="AI18" s="165">
        <f>AH18+P18*Forutsetninger!$B$6</f>
        <v>12097.107108001832</v>
      </c>
      <c r="AJ18" s="165">
        <f>T18*Forutsetninger!$C$30</f>
        <v>0</v>
      </c>
      <c r="AK18" s="165">
        <f t="shared" si="7"/>
        <v>0</v>
      </c>
      <c r="AL18" s="165">
        <f>AJ18+U18+AK18+X18*Forutsetninger!$C$24</f>
        <v>0</v>
      </c>
      <c r="AM18" s="164">
        <f>(T18)*Forutsetninger!$C$30+X18*Forutsetninger!$C$24+U18+V18*Forutsetninger!$B$6</f>
        <v>0</v>
      </c>
      <c r="AN18" s="164">
        <f>Y18*Forutsetninger!$C$30+Z18+AA18*Forutsetninger!$B$6+AC18*Forutsetninger!$C$24</f>
        <v>0</v>
      </c>
    </row>
    <row r="19" spans="1:40" ht="12.75" x14ac:dyDescent="0.2">
      <c r="A19">
        <v>532015</v>
      </c>
      <c r="B19" t="s">
        <v>205</v>
      </c>
      <c r="C19" s="170">
        <v>2015</v>
      </c>
      <c r="D19" s="145">
        <f t="shared" si="8"/>
        <v>28728.653024252901</v>
      </c>
      <c r="E19" s="146">
        <v>0</v>
      </c>
      <c r="F19" s="41">
        <f t="shared" si="9"/>
        <v>28728.653024252901</v>
      </c>
      <c r="G19" s="42">
        <f t="shared" si="10"/>
        <v>13862</v>
      </c>
      <c r="H19" s="41">
        <f t="shared" si="0"/>
        <v>203246</v>
      </c>
      <c r="I19" s="42">
        <f t="shared" si="1"/>
        <v>205278.46</v>
      </c>
      <c r="J19" s="41">
        <f t="shared" si="2"/>
        <v>11598</v>
      </c>
      <c r="K19" s="41">
        <f t="shared" si="3"/>
        <v>0</v>
      </c>
      <c r="L19" s="41">
        <f t="shared" si="4"/>
        <v>0</v>
      </c>
      <c r="M19" s="42">
        <f t="shared" si="5"/>
        <v>2438</v>
      </c>
      <c r="N19" s="162">
        <v>28728.653024252901</v>
      </c>
      <c r="O19" s="162">
        <v>13862</v>
      </c>
      <c r="P19" s="162">
        <v>205278.46</v>
      </c>
      <c r="Q19" s="162">
        <v>11598</v>
      </c>
      <c r="R19" s="162">
        <v>2438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76">
        <v>290.33327359999998</v>
      </c>
      <c r="AE19" s="165">
        <f>N19*Forutsetninger!$C$30</f>
        <v>30394.914899659569</v>
      </c>
      <c r="AF19" s="165">
        <f t="shared" si="6"/>
        <v>3367.2853072127996</v>
      </c>
      <c r="AG19" s="165">
        <f>S19*Forutsetninger!$C$24</f>
        <v>0</v>
      </c>
      <c r="AH19" s="165">
        <f>AE19+O19+AF19+R19*Forutsetninger!$C$24-AG19</f>
        <v>50196.290206872363</v>
      </c>
      <c r="AI19" s="165">
        <f>AH19+P19*Forutsetninger!$B$6</f>
        <v>62759.331958872361</v>
      </c>
      <c r="AJ19" s="165">
        <f>T19*Forutsetninger!$C$30</f>
        <v>0</v>
      </c>
      <c r="AK19" s="165">
        <f t="shared" si="7"/>
        <v>0</v>
      </c>
      <c r="AL19" s="165">
        <f>AJ19+U19+AK19+X19*Forutsetninger!$C$24</f>
        <v>0</v>
      </c>
      <c r="AM19" s="164">
        <f>(T19)*Forutsetninger!$C$30+X19*Forutsetninger!$C$24+U19+V19*Forutsetninger!$B$6</f>
        <v>0</v>
      </c>
      <c r="AN19" s="164">
        <f>Y19*Forutsetninger!$C$30+Z19+AA19*Forutsetninger!$B$6+AC19*Forutsetninger!$C$24</f>
        <v>0</v>
      </c>
    </row>
    <row r="20" spans="1:40" ht="12.75" x14ac:dyDescent="0.2">
      <c r="A20">
        <v>552015</v>
      </c>
      <c r="B20" t="s">
        <v>206</v>
      </c>
      <c r="C20" s="170">
        <v>2015</v>
      </c>
      <c r="D20" s="145">
        <f t="shared" si="8"/>
        <v>17687.463170613901</v>
      </c>
      <c r="E20" s="146">
        <v>0</v>
      </c>
      <c r="F20" s="41">
        <f t="shared" si="9"/>
        <v>17687.463170613901</v>
      </c>
      <c r="G20" s="42">
        <f t="shared" si="10"/>
        <v>4501</v>
      </c>
      <c r="H20" s="42">
        <f t="shared" si="0"/>
        <v>76443</v>
      </c>
      <c r="I20" s="42">
        <f t="shared" si="1"/>
        <v>77207.429999999993</v>
      </c>
      <c r="J20" s="41">
        <f t="shared" si="2"/>
        <v>6580</v>
      </c>
      <c r="K20" s="41">
        <f t="shared" si="3"/>
        <v>0</v>
      </c>
      <c r="L20" s="41">
        <f t="shared" si="4"/>
        <v>0</v>
      </c>
      <c r="M20" s="42">
        <f t="shared" si="5"/>
        <v>697</v>
      </c>
      <c r="N20" s="162">
        <v>17687.463170613901</v>
      </c>
      <c r="O20" s="162">
        <v>4501</v>
      </c>
      <c r="P20" s="162">
        <v>77207.429999999993</v>
      </c>
      <c r="Q20" s="162">
        <v>6580</v>
      </c>
      <c r="R20" s="162">
        <v>697</v>
      </c>
      <c r="S20" s="162">
        <v>361.94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76">
        <v>284.7804931</v>
      </c>
      <c r="AE20" s="165">
        <f>N20*Forutsetninger!$C$30</f>
        <v>18713.336034509506</v>
      </c>
      <c r="AF20" s="165">
        <f t="shared" si="6"/>
        <v>1873.855644598</v>
      </c>
      <c r="AG20" s="165">
        <f>S20*Forutsetninger!$C$24</f>
        <v>381.8467</v>
      </c>
      <c r="AH20" s="165">
        <f>AE20+O20+AF20+R20*Forutsetninger!$C$24-AG20</f>
        <v>25441.679979107506</v>
      </c>
      <c r="AI20" s="165">
        <f>AH20+P20*Forutsetninger!$B$6</f>
        <v>30166.774695107506</v>
      </c>
      <c r="AJ20" s="165">
        <f>T20*Forutsetninger!$C$30</f>
        <v>0</v>
      </c>
      <c r="AK20" s="165">
        <f t="shared" si="7"/>
        <v>0</v>
      </c>
      <c r="AL20" s="165">
        <f>AJ20+U20+AK20+X20*Forutsetninger!$C$24</f>
        <v>0</v>
      </c>
      <c r="AM20" s="164">
        <f>(T20)*Forutsetninger!$C$30+X20*Forutsetninger!$C$24+U20+V20*Forutsetninger!$B$6</f>
        <v>0</v>
      </c>
      <c r="AN20" s="164">
        <f>Y20*Forutsetninger!$C$30+Z20+AA20*Forutsetninger!$B$6+AC20*Forutsetninger!$C$24</f>
        <v>0</v>
      </c>
    </row>
    <row r="21" spans="1:40" ht="12.75" x14ac:dyDescent="0.2">
      <c r="A21">
        <v>562015</v>
      </c>
      <c r="B21" t="s">
        <v>207</v>
      </c>
      <c r="C21" s="170">
        <v>2015</v>
      </c>
      <c r="D21" s="145">
        <f t="shared" si="8"/>
        <v>75568.049575486657</v>
      </c>
      <c r="E21" s="146">
        <v>0</v>
      </c>
      <c r="F21" s="41">
        <f t="shared" si="9"/>
        <v>75568.049575486657</v>
      </c>
      <c r="G21" s="42">
        <f t="shared" si="10"/>
        <v>30414</v>
      </c>
      <c r="H21" s="42">
        <f t="shared" si="0"/>
        <v>451411</v>
      </c>
      <c r="I21" s="42">
        <f t="shared" si="1"/>
        <v>455925.11</v>
      </c>
      <c r="J21" s="41">
        <f t="shared" si="2"/>
        <v>24411</v>
      </c>
      <c r="K21" s="41">
        <f t="shared" si="3"/>
        <v>14003</v>
      </c>
      <c r="L21" s="41">
        <f t="shared" si="4"/>
        <v>0</v>
      </c>
      <c r="M21" s="42">
        <f t="shared" si="5"/>
        <v>4899</v>
      </c>
      <c r="N21" s="162">
        <v>62027.350280358398</v>
      </c>
      <c r="O21" s="162">
        <v>23660</v>
      </c>
      <c r="P21" s="162">
        <v>334997.81</v>
      </c>
      <c r="Q21" s="162">
        <v>24411</v>
      </c>
      <c r="R21" s="162">
        <v>4451</v>
      </c>
      <c r="S21" s="162">
        <v>0</v>
      </c>
      <c r="T21" s="162">
        <v>12942.470963223999</v>
      </c>
      <c r="U21" s="162">
        <v>6469</v>
      </c>
      <c r="V21" s="162">
        <v>115587.43</v>
      </c>
      <c r="W21" s="162">
        <v>14003</v>
      </c>
      <c r="X21" s="162">
        <v>448</v>
      </c>
      <c r="Y21" s="162">
        <v>598.22833190426502</v>
      </c>
      <c r="Z21" s="162">
        <v>285</v>
      </c>
      <c r="AA21" s="162">
        <v>5339.87</v>
      </c>
      <c r="AB21" s="162">
        <v>0</v>
      </c>
      <c r="AC21" s="162">
        <v>0</v>
      </c>
      <c r="AD21" s="176">
        <v>290.33327359999998</v>
      </c>
      <c r="AE21" s="165">
        <f>N21*Forutsetninger!$C$30</f>
        <v>65624.936596619184</v>
      </c>
      <c r="AF21" s="165">
        <f t="shared" si="6"/>
        <v>7087.3255418495992</v>
      </c>
      <c r="AG21" s="165">
        <f>S21*Forutsetninger!$C$24</f>
        <v>0</v>
      </c>
      <c r="AH21" s="165">
        <f>AE21+O21+AF21+R21*Forutsetninger!$C$24-AG21</f>
        <v>101068.06713846877</v>
      </c>
      <c r="AI21" s="165">
        <f>AH21+P21*Forutsetninger!$B$6</f>
        <v>121569.93311046877</v>
      </c>
      <c r="AJ21" s="165">
        <f>T21*Forutsetninger!$C$30</f>
        <v>13693.134279090991</v>
      </c>
      <c r="AK21" s="165">
        <f t="shared" si="7"/>
        <v>4065.5368302207999</v>
      </c>
      <c r="AL21" s="165">
        <f>AJ21+U21+AK21+X21*Forutsetninger!$C$24</f>
        <v>24700.311109311791</v>
      </c>
      <c r="AM21" s="164">
        <f>(T21)*Forutsetninger!$C$30+X21*Forutsetninger!$C$24+U21+V21*Forutsetninger!$B$6</f>
        <v>27708.72499509099</v>
      </c>
      <c r="AN21" s="164">
        <f>Y21*Forutsetninger!$C$30+Z21+AA21*Forutsetninger!$B$6+AC21*Forutsetninger!$C$24</f>
        <v>1244.7256191547124</v>
      </c>
    </row>
    <row r="22" spans="1:40" ht="12.75" x14ac:dyDescent="0.2">
      <c r="A22">
        <v>622015</v>
      </c>
      <c r="B22" t="s">
        <v>208</v>
      </c>
      <c r="C22" s="170">
        <v>2015</v>
      </c>
      <c r="D22" s="145">
        <f t="shared" si="8"/>
        <v>46535.396911430398</v>
      </c>
      <c r="E22" s="146">
        <v>0</v>
      </c>
      <c r="F22" s="41">
        <f t="shared" si="9"/>
        <v>46535.396911430398</v>
      </c>
      <c r="G22" s="42">
        <f t="shared" si="10"/>
        <v>15688</v>
      </c>
      <c r="H22" s="42">
        <f t="shared" si="0"/>
        <v>263212</v>
      </c>
      <c r="I22" s="42">
        <f t="shared" si="1"/>
        <v>265844.12</v>
      </c>
      <c r="J22" s="41">
        <f t="shared" si="2"/>
        <v>23500</v>
      </c>
      <c r="K22" s="41">
        <f t="shared" si="3"/>
        <v>3135</v>
      </c>
      <c r="L22" s="41">
        <f t="shared" si="4"/>
        <v>0</v>
      </c>
      <c r="M22" s="42">
        <f t="shared" si="5"/>
        <v>1693</v>
      </c>
      <c r="N22" s="162">
        <v>44449.7969114304</v>
      </c>
      <c r="O22" s="162">
        <v>13679</v>
      </c>
      <c r="P22" s="162">
        <v>232629.26</v>
      </c>
      <c r="Q22" s="162">
        <v>23500</v>
      </c>
      <c r="R22" s="162">
        <v>1693</v>
      </c>
      <c r="S22" s="162">
        <v>0</v>
      </c>
      <c r="T22" s="162">
        <v>2085.6</v>
      </c>
      <c r="U22" s="162">
        <v>2009</v>
      </c>
      <c r="V22" s="162">
        <v>33214.86</v>
      </c>
      <c r="W22" s="162">
        <v>3135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76">
        <v>286.91705400000001</v>
      </c>
      <c r="AE22" s="165">
        <f>N22*Forutsetninger!$C$30</f>
        <v>47027.885132293362</v>
      </c>
      <c r="AF22" s="165">
        <f t="shared" si="6"/>
        <v>6742.5507690000004</v>
      </c>
      <c r="AG22" s="165">
        <f>S22*Forutsetninger!$C$24</f>
        <v>0</v>
      </c>
      <c r="AH22" s="165">
        <f>AE22+O22+AF22+R22*Forutsetninger!$C$24-AG22</f>
        <v>69235.550901293362</v>
      </c>
      <c r="AI22" s="165">
        <f>AH22+P22*Forutsetninger!$B$6</f>
        <v>83472.461613293359</v>
      </c>
      <c r="AJ22" s="165">
        <f>T22*Forutsetninger!$C$30</f>
        <v>2206.5648000000001</v>
      </c>
      <c r="AK22" s="165">
        <f t="shared" si="7"/>
        <v>899.48496428999999</v>
      </c>
      <c r="AL22" s="165">
        <f>AJ22+U22+AK22+X22*Forutsetninger!$C$24</f>
        <v>5115.04976429</v>
      </c>
      <c r="AM22" s="164">
        <f>(T22)*Forutsetninger!$C$30+X22*Forutsetninger!$C$24+U22+V22*Forutsetninger!$B$6</f>
        <v>6248.3142319999997</v>
      </c>
      <c r="AN22" s="164">
        <f>Y22*Forutsetninger!$C$30+Z22+AA22*Forutsetninger!$B$6+AC22*Forutsetninger!$C$24</f>
        <v>0</v>
      </c>
    </row>
    <row r="23" spans="1:40" ht="12.75" x14ac:dyDescent="0.2">
      <c r="A23">
        <v>632015</v>
      </c>
      <c r="B23" t="s">
        <v>369</v>
      </c>
      <c r="C23" s="170">
        <v>2015</v>
      </c>
      <c r="D23" s="145">
        <f t="shared" si="8"/>
        <v>26776.242785160608</v>
      </c>
      <c r="E23" s="146">
        <v>0</v>
      </c>
      <c r="F23" s="41">
        <f t="shared" si="9"/>
        <v>26776.242785160608</v>
      </c>
      <c r="G23" s="42">
        <f t="shared" si="10"/>
        <v>9533</v>
      </c>
      <c r="H23" s="42">
        <f t="shared" si="0"/>
        <v>112220</v>
      </c>
      <c r="I23" s="42">
        <f t="shared" si="1"/>
        <v>113342.2</v>
      </c>
      <c r="J23" s="41">
        <f t="shared" si="2"/>
        <v>8161</v>
      </c>
      <c r="K23" s="41">
        <f t="shared" si="3"/>
        <v>1014</v>
      </c>
      <c r="L23" s="41">
        <f t="shared" si="4"/>
        <v>0</v>
      </c>
      <c r="M23" s="42">
        <f t="shared" si="5"/>
        <v>2387</v>
      </c>
      <c r="N23" s="162">
        <v>21418.086066623298</v>
      </c>
      <c r="O23" s="162">
        <v>7867</v>
      </c>
      <c r="P23" s="162">
        <v>96621.65</v>
      </c>
      <c r="Q23" s="162">
        <v>8161</v>
      </c>
      <c r="R23" s="162">
        <v>1765</v>
      </c>
      <c r="S23" s="162">
        <v>263.23</v>
      </c>
      <c r="T23" s="162">
        <v>5358.1567185373096</v>
      </c>
      <c r="U23" s="162">
        <v>1666</v>
      </c>
      <c r="V23" s="162">
        <v>16720.55</v>
      </c>
      <c r="W23" s="162">
        <v>1014</v>
      </c>
      <c r="X23" s="162">
        <v>622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76">
        <v>257.06098230000003</v>
      </c>
      <c r="AE23" s="165">
        <f>N23*Forutsetninger!$C$30</f>
        <v>22660.33505848745</v>
      </c>
      <c r="AF23" s="165">
        <f t="shared" si="6"/>
        <v>2097.8746765503001</v>
      </c>
      <c r="AG23" s="165">
        <f>S23*Forutsetninger!$C$24</f>
        <v>277.70765</v>
      </c>
      <c r="AH23" s="165">
        <f>AE23+O23+AF23+R23*Forutsetninger!$C$24-AG23</f>
        <v>34209.577085037752</v>
      </c>
      <c r="AI23" s="165">
        <f>AH23+P23*Forutsetninger!$B$6</f>
        <v>40122.822065037748</v>
      </c>
      <c r="AJ23" s="165">
        <f>T23*Forutsetninger!$C$30</f>
        <v>5668.9298082124742</v>
      </c>
      <c r="AK23" s="165">
        <f t="shared" si="7"/>
        <v>260.65983605220003</v>
      </c>
      <c r="AL23" s="165">
        <f>AJ23+U23+AK23+X23*Forutsetninger!$C$24</f>
        <v>8251.7996442646745</v>
      </c>
      <c r="AM23" s="164">
        <f>(T23)*Forutsetninger!$C$30+X23*Forutsetninger!$C$24+U23+V23*Forutsetninger!$B$6</f>
        <v>9014.4374682124744</v>
      </c>
      <c r="AN23" s="164">
        <f>Y23*Forutsetninger!$C$30+Z23+AA23*Forutsetninger!$B$6+AC23*Forutsetninger!$C$24</f>
        <v>0</v>
      </c>
    </row>
    <row r="24" spans="1:40" ht="12.75" x14ac:dyDescent="0.2">
      <c r="A24">
        <v>652015</v>
      </c>
      <c r="B24" t="s">
        <v>210</v>
      </c>
      <c r="C24" s="170">
        <v>2015</v>
      </c>
      <c r="D24" s="145">
        <f t="shared" si="8"/>
        <v>42020.621093615366</v>
      </c>
      <c r="E24" s="146">
        <v>0</v>
      </c>
      <c r="F24" s="41">
        <f t="shared" si="9"/>
        <v>42020.621093615366</v>
      </c>
      <c r="G24" s="42">
        <f t="shared" si="10"/>
        <v>11673</v>
      </c>
      <c r="H24" s="42">
        <f t="shared" si="0"/>
        <v>199415</v>
      </c>
      <c r="I24" s="42">
        <f t="shared" si="1"/>
        <v>201409.15</v>
      </c>
      <c r="J24" s="41">
        <f t="shared" si="2"/>
        <v>13630</v>
      </c>
      <c r="K24" s="41">
        <f t="shared" si="3"/>
        <v>5369</v>
      </c>
      <c r="L24" s="41">
        <f t="shared" si="4"/>
        <v>0</v>
      </c>
      <c r="M24" s="42">
        <f t="shared" si="5"/>
        <v>3912</v>
      </c>
      <c r="N24" s="162">
        <v>32396.5831737103</v>
      </c>
      <c r="O24" s="162">
        <v>8487</v>
      </c>
      <c r="P24" s="162">
        <v>128463.92</v>
      </c>
      <c r="Q24" s="162">
        <v>13630</v>
      </c>
      <c r="R24" s="162">
        <v>2965</v>
      </c>
      <c r="S24" s="162">
        <v>0</v>
      </c>
      <c r="T24" s="162">
        <v>9624.0379199050694</v>
      </c>
      <c r="U24" s="162">
        <v>3186</v>
      </c>
      <c r="V24" s="162">
        <v>72945.23</v>
      </c>
      <c r="W24" s="162">
        <v>5369</v>
      </c>
      <c r="X24" s="162">
        <v>947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76">
        <v>257.06098230000003</v>
      </c>
      <c r="AE24" s="165">
        <f>N24*Forutsetninger!$C$30</f>
        <v>34275.584997785496</v>
      </c>
      <c r="AF24" s="165">
        <f t="shared" si="6"/>
        <v>3503.7411887490002</v>
      </c>
      <c r="AG24" s="165">
        <f>S24*Forutsetninger!$C$24</f>
        <v>0</v>
      </c>
      <c r="AH24" s="165">
        <f>AE24+O24+AF24+R24*Forutsetninger!$C$24-AG24</f>
        <v>49394.401186534495</v>
      </c>
      <c r="AI24" s="165">
        <f>AH24+P24*Forutsetninger!$B$6</f>
        <v>57256.393090534497</v>
      </c>
      <c r="AJ24" s="165">
        <f>T24*Forutsetninger!$C$30</f>
        <v>10182.232119259565</v>
      </c>
      <c r="AK24" s="165">
        <f t="shared" si="7"/>
        <v>1380.1604139687001</v>
      </c>
      <c r="AL24" s="165">
        <f>AJ24+U24+AK24+X24*Forutsetninger!$C$24</f>
        <v>15747.477533228264</v>
      </c>
      <c r="AM24" s="164">
        <f>(T24)*Forutsetninger!$C$30+X24*Forutsetninger!$C$24+U24+V24*Forutsetninger!$B$6</f>
        <v>18831.565195259565</v>
      </c>
      <c r="AN24" s="164">
        <f>Y24*Forutsetninger!$C$30+Z24+AA24*Forutsetninger!$B$6+AC24*Forutsetninger!$C$24</f>
        <v>0</v>
      </c>
    </row>
    <row r="25" spans="1:40" ht="12.75" x14ac:dyDescent="0.2">
      <c r="A25">
        <v>712015</v>
      </c>
      <c r="B25" t="s">
        <v>211</v>
      </c>
      <c r="C25" s="170">
        <v>2015</v>
      </c>
      <c r="D25" s="145">
        <f t="shared" si="8"/>
        <v>231903.02974480641</v>
      </c>
      <c r="E25" s="146">
        <v>72</v>
      </c>
      <c r="F25" s="41">
        <f t="shared" si="9"/>
        <v>231831.02974480641</v>
      </c>
      <c r="G25" s="42">
        <f t="shared" si="10"/>
        <v>87393</v>
      </c>
      <c r="H25" s="41">
        <f t="shared" si="0"/>
        <v>1520823</v>
      </c>
      <c r="I25" s="42">
        <f t="shared" si="1"/>
        <v>1536031.23</v>
      </c>
      <c r="J25" s="41">
        <f t="shared" si="2"/>
        <v>85535</v>
      </c>
      <c r="K25" s="41">
        <f t="shared" si="3"/>
        <v>62821</v>
      </c>
      <c r="L25" s="41">
        <f t="shared" si="4"/>
        <v>0</v>
      </c>
      <c r="M25" s="42">
        <f t="shared" si="5"/>
        <v>43416</v>
      </c>
      <c r="N25" s="162">
        <v>188783.99822912499</v>
      </c>
      <c r="O25" s="162">
        <v>61651</v>
      </c>
      <c r="P25" s="162">
        <v>879760.5</v>
      </c>
      <c r="Q25" s="162">
        <v>85535</v>
      </c>
      <c r="R25" s="162">
        <v>22568</v>
      </c>
      <c r="S25" s="162">
        <v>0</v>
      </c>
      <c r="T25" s="162">
        <v>43047.031515681403</v>
      </c>
      <c r="U25" s="162">
        <v>25742</v>
      </c>
      <c r="V25" s="162">
        <v>656270.73</v>
      </c>
      <c r="W25" s="162">
        <v>62821</v>
      </c>
      <c r="X25" s="162">
        <v>20848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76">
        <v>257.06098230000003</v>
      </c>
      <c r="AE25" s="165">
        <f>N25*Forutsetninger!$C$30</f>
        <v>199733.47012641426</v>
      </c>
      <c r="AF25" s="165">
        <f t="shared" si="6"/>
        <v>21987.711121030501</v>
      </c>
      <c r="AG25" s="165">
        <f>S25*Forutsetninger!$C$24</f>
        <v>0</v>
      </c>
      <c r="AH25" s="165">
        <f>AE25+O25+AF25+R25*Forutsetninger!$C$24-AG25</f>
        <v>307181.42124744476</v>
      </c>
      <c r="AI25" s="165">
        <f>AH25+P25*Forutsetninger!$B$6</f>
        <v>361022.76384744473</v>
      </c>
      <c r="AJ25" s="165">
        <f>T25*Forutsetninger!$C$30</f>
        <v>45543.759343590929</v>
      </c>
      <c r="AK25" s="165">
        <f t="shared" si="7"/>
        <v>16148.827969068301</v>
      </c>
      <c r="AL25" s="165">
        <f>AJ25+U25+AK25+X25*Forutsetninger!$C$24</f>
        <v>109429.22731265923</v>
      </c>
      <c r="AM25" s="164">
        <f>(T25)*Forutsetninger!$C$30+X25*Forutsetninger!$C$24+U25+V25*Forutsetninger!$B$6</f>
        <v>133444.16801959093</v>
      </c>
      <c r="AN25" s="164">
        <f>Y25*Forutsetninger!$C$30+Z25+AA25*Forutsetninger!$B$6+AC25*Forutsetninger!$C$24</f>
        <v>0</v>
      </c>
    </row>
    <row r="26" spans="1:40" ht="12.75" x14ac:dyDescent="0.2">
      <c r="A26">
        <v>722015</v>
      </c>
      <c r="B26" t="s">
        <v>351</v>
      </c>
      <c r="C26" s="170">
        <v>2015</v>
      </c>
      <c r="D26" s="145">
        <f t="shared" si="8"/>
        <v>19133.449385505399</v>
      </c>
      <c r="E26" s="146">
        <v>0</v>
      </c>
      <c r="F26" s="41">
        <f t="shared" si="9"/>
        <v>19133.449385505399</v>
      </c>
      <c r="G26" s="42">
        <f t="shared" si="10"/>
        <v>5274</v>
      </c>
      <c r="H26" s="42">
        <f t="shared" si="0"/>
        <v>59499</v>
      </c>
      <c r="I26" s="42">
        <f t="shared" si="1"/>
        <v>60093.99</v>
      </c>
      <c r="J26" s="41">
        <f t="shared" si="2"/>
        <v>6240</v>
      </c>
      <c r="K26" s="41">
        <f t="shared" si="3"/>
        <v>0</v>
      </c>
      <c r="L26" s="41">
        <f t="shared" si="4"/>
        <v>0</v>
      </c>
      <c r="M26" s="42">
        <f t="shared" si="5"/>
        <v>1767</v>
      </c>
      <c r="N26" s="162">
        <v>19133.449385505399</v>
      </c>
      <c r="O26" s="162">
        <v>5274</v>
      </c>
      <c r="P26" s="162">
        <v>60093.99</v>
      </c>
      <c r="Q26" s="162">
        <v>6240</v>
      </c>
      <c r="R26" s="162">
        <v>1767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76">
        <v>290.33327359999998</v>
      </c>
      <c r="AE26" s="165">
        <f>N26*Forutsetninger!$C$30</f>
        <v>20243.189449864713</v>
      </c>
      <c r="AF26" s="165">
        <f t="shared" si="6"/>
        <v>1811.6796272639999</v>
      </c>
      <c r="AG26" s="165">
        <f>S26*Forutsetninger!$C$24</f>
        <v>0</v>
      </c>
      <c r="AH26" s="165">
        <f>AE26+O26+AF26+R26*Forutsetninger!$C$24-AG26</f>
        <v>29193.054077128712</v>
      </c>
      <c r="AI26" s="165">
        <f>AH26+P26*Forutsetninger!$B$6</f>
        <v>32870.806265128711</v>
      </c>
      <c r="AJ26" s="165">
        <f>T26*Forutsetninger!$C$30</f>
        <v>0</v>
      </c>
      <c r="AK26" s="165">
        <f t="shared" si="7"/>
        <v>0</v>
      </c>
      <c r="AL26" s="165">
        <f>AJ26+U26+AK26+X26*Forutsetninger!$C$24</f>
        <v>0</v>
      </c>
      <c r="AM26" s="164">
        <f>(T26)*Forutsetninger!$C$30+X26*Forutsetninger!$C$24+U26+V26*Forutsetninger!$B$6</f>
        <v>0</v>
      </c>
      <c r="AN26" s="164">
        <f>Y26*Forutsetninger!$C$30+Z26+AA26*Forutsetninger!$B$6+AC26*Forutsetninger!$C$24</f>
        <v>0</v>
      </c>
    </row>
    <row r="27" spans="1:40" ht="12.75" x14ac:dyDescent="0.2">
      <c r="A27">
        <v>822015</v>
      </c>
      <c r="B27" t="s">
        <v>213</v>
      </c>
      <c r="C27" s="170">
        <v>2015</v>
      </c>
      <c r="D27" s="145">
        <f t="shared" si="8"/>
        <v>14159.995093297701</v>
      </c>
      <c r="E27" s="146">
        <v>0</v>
      </c>
      <c r="F27" s="41">
        <f t="shared" si="9"/>
        <v>14159.995093297701</v>
      </c>
      <c r="G27" s="42">
        <f t="shared" si="10"/>
        <v>7381</v>
      </c>
      <c r="H27" s="42">
        <f t="shared" si="0"/>
        <v>99643</v>
      </c>
      <c r="I27" s="42">
        <f t="shared" si="1"/>
        <v>100639.43</v>
      </c>
      <c r="J27" s="41">
        <f t="shared" si="2"/>
        <v>9404</v>
      </c>
      <c r="K27" s="41">
        <f t="shared" si="3"/>
        <v>0</v>
      </c>
      <c r="L27" s="41">
        <f t="shared" si="4"/>
        <v>0</v>
      </c>
      <c r="M27" s="42">
        <f t="shared" si="5"/>
        <v>694</v>
      </c>
      <c r="N27" s="162">
        <v>14159.995093297701</v>
      </c>
      <c r="O27" s="162">
        <v>7381</v>
      </c>
      <c r="P27" s="162">
        <v>100639.43</v>
      </c>
      <c r="Q27" s="162">
        <v>9404</v>
      </c>
      <c r="R27" s="162">
        <v>694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76">
        <v>286.91705400000001</v>
      </c>
      <c r="AE27" s="165">
        <f>N27*Forutsetninger!$C$30</f>
        <v>14981.274808708968</v>
      </c>
      <c r="AF27" s="165">
        <f t="shared" si="6"/>
        <v>2698.1679758160003</v>
      </c>
      <c r="AG27" s="165">
        <f>S27*Forutsetninger!$C$24</f>
        <v>0</v>
      </c>
      <c r="AH27" s="165">
        <f>AE27+O27+AF27+R27*Forutsetninger!$C$24-AG27</f>
        <v>25792.612784524965</v>
      </c>
      <c r="AI27" s="165">
        <f>AH27+P27*Forutsetninger!$B$6</f>
        <v>31951.745900524962</v>
      </c>
      <c r="AJ27" s="165">
        <f>T27*Forutsetninger!$C$30</f>
        <v>0</v>
      </c>
      <c r="AK27" s="165">
        <f t="shared" si="7"/>
        <v>0</v>
      </c>
      <c r="AL27" s="165">
        <f>AJ27+U27+AK27+X27*Forutsetninger!$C$24</f>
        <v>0</v>
      </c>
      <c r="AM27" s="164">
        <f>(T27)*Forutsetninger!$C$30+X27*Forutsetninger!$C$24+U27+V27*Forutsetninger!$B$6</f>
        <v>0</v>
      </c>
      <c r="AN27" s="164">
        <f>Y27*Forutsetninger!$C$30+Z27+AA27*Forutsetninger!$B$6+AC27*Forutsetninger!$C$24</f>
        <v>0</v>
      </c>
    </row>
    <row r="28" spans="1:40" ht="12.75" x14ac:dyDescent="0.2">
      <c r="A28">
        <v>842015</v>
      </c>
      <c r="B28" t="s">
        <v>214</v>
      </c>
      <c r="C28" s="170">
        <v>2015</v>
      </c>
      <c r="D28" s="145">
        <f t="shared" si="8"/>
        <v>12173.626226423399</v>
      </c>
      <c r="E28" s="146">
        <v>0</v>
      </c>
      <c r="F28" s="41">
        <f t="shared" si="9"/>
        <v>12173.626226423399</v>
      </c>
      <c r="G28" s="42">
        <f t="shared" si="10"/>
        <v>5302</v>
      </c>
      <c r="H28" s="41">
        <f t="shared" si="0"/>
        <v>78306</v>
      </c>
      <c r="I28" s="42">
        <f t="shared" si="1"/>
        <v>79089.06</v>
      </c>
      <c r="J28" s="41">
        <f t="shared" si="2"/>
        <v>11526</v>
      </c>
      <c r="K28" s="41">
        <f t="shared" si="3"/>
        <v>0</v>
      </c>
      <c r="L28" s="41">
        <f t="shared" si="4"/>
        <v>0</v>
      </c>
      <c r="M28" s="42">
        <f t="shared" si="5"/>
        <v>490</v>
      </c>
      <c r="N28" s="162">
        <v>12173.626226423399</v>
      </c>
      <c r="O28" s="162">
        <v>5302</v>
      </c>
      <c r="P28" s="162">
        <v>79089.06</v>
      </c>
      <c r="Q28" s="162">
        <v>11526</v>
      </c>
      <c r="R28" s="162">
        <v>490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76">
        <v>286.91705400000001</v>
      </c>
      <c r="AE28" s="165">
        <f>N28*Forutsetninger!$C$30</f>
        <v>12879.696547555957</v>
      </c>
      <c r="AF28" s="165">
        <f t="shared" si="6"/>
        <v>3307.0059644039998</v>
      </c>
      <c r="AG28" s="165">
        <f>S28*Forutsetninger!$C$24</f>
        <v>0</v>
      </c>
      <c r="AH28" s="165">
        <f>AE28+O28+AF28+R28*Forutsetninger!$C$24-AG28</f>
        <v>22005.652511959957</v>
      </c>
      <c r="AI28" s="165">
        <f>AH28+P28*Forutsetninger!$B$6</f>
        <v>26845.902983959957</v>
      </c>
      <c r="AJ28" s="165">
        <f>T28*Forutsetninger!$C$30</f>
        <v>0</v>
      </c>
      <c r="AK28" s="165">
        <f t="shared" si="7"/>
        <v>0</v>
      </c>
      <c r="AL28" s="165">
        <f>AJ28+U28+AK28+X28*Forutsetninger!$C$24</f>
        <v>0</v>
      </c>
      <c r="AM28" s="164">
        <f>(T28)*Forutsetninger!$C$30+X28*Forutsetninger!$C$24+U28+V28*Forutsetninger!$B$6</f>
        <v>0</v>
      </c>
      <c r="AN28" s="164">
        <f>Y28*Forutsetninger!$C$30+Z28+AA28*Forutsetninger!$B$6+AC28*Forutsetninger!$C$24</f>
        <v>0</v>
      </c>
    </row>
    <row r="29" spans="1:40" ht="12.75" x14ac:dyDescent="0.2">
      <c r="A29">
        <v>862015</v>
      </c>
      <c r="B29" t="s">
        <v>215</v>
      </c>
      <c r="C29" s="170">
        <v>2015</v>
      </c>
      <c r="D29" s="145">
        <f t="shared" si="8"/>
        <v>71861.64197815198</v>
      </c>
      <c r="E29" s="146">
        <v>240</v>
      </c>
      <c r="F29" s="41">
        <f t="shared" si="9"/>
        <v>71621.64197815198</v>
      </c>
      <c r="G29" s="42">
        <f t="shared" si="10"/>
        <v>32623</v>
      </c>
      <c r="H29" s="42">
        <f t="shared" si="0"/>
        <v>499456</v>
      </c>
      <c r="I29" s="42">
        <f t="shared" si="1"/>
        <v>504450.56</v>
      </c>
      <c r="J29" s="41">
        <f t="shared" si="2"/>
        <v>30417</v>
      </c>
      <c r="K29" s="41">
        <f t="shared" si="3"/>
        <v>14343</v>
      </c>
      <c r="L29" s="41">
        <f t="shared" si="4"/>
        <v>0</v>
      </c>
      <c r="M29" s="42">
        <f t="shared" si="5"/>
        <v>5780</v>
      </c>
      <c r="N29" s="162">
        <v>63891.382387186801</v>
      </c>
      <c r="O29" s="162">
        <v>27211</v>
      </c>
      <c r="P29" s="162">
        <v>428094.56</v>
      </c>
      <c r="Q29" s="162">
        <v>30417</v>
      </c>
      <c r="R29" s="162">
        <v>5780</v>
      </c>
      <c r="S29" s="162">
        <v>0</v>
      </c>
      <c r="T29" s="162">
        <v>7730.25959096518</v>
      </c>
      <c r="U29" s="162">
        <v>5412</v>
      </c>
      <c r="V29" s="162">
        <v>76356</v>
      </c>
      <c r="W29" s="162">
        <v>14343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76">
        <v>290.33327359999998</v>
      </c>
      <c r="AE29" s="165">
        <f>N29*Forutsetninger!$C$30</f>
        <v>67597.082565643635</v>
      </c>
      <c r="AF29" s="165">
        <f t="shared" si="6"/>
        <v>8831.0671830911997</v>
      </c>
      <c r="AG29" s="165">
        <f>S29*Forutsetninger!$C$24</f>
        <v>0</v>
      </c>
      <c r="AH29" s="165">
        <f>AE29+O29+AF29+R29*Forutsetninger!$C$24-AG29</f>
        <v>109737.04974873483</v>
      </c>
      <c r="AI29" s="165">
        <f>AH29+P29*Forutsetninger!$B$6</f>
        <v>135936.43682073482</v>
      </c>
      <c r="AJ29" s="165">
        <f>T29*Forutsetninger!$C$30</f>
        <v>8178.614647241161</v>
      </c>
      <c r="AK29" s="165">
        <f t="shared" si="7"/>
        <v>4164.2501432447998</v>
      </c>
      <c r="AL29" s="165">
        <f>AJ29+U29+AK29+X29*Forutsetninger!$C$24</f>
        <v>17754.864790485961</v>
      </c>
      <c r="AM29" s="164">
        <f>(T29)*Forutsetninger!$C$30+X29*Forutsetninger!$C$24+U29+V29*Forutsetninger!$B$6</f>
        <v>18263.60184724116</v>
      </c>
      <c r="AN29" s="164">
        <f>Y29*Forutsetninger!$C$30+Z29+AA29*Forutsetninger!$B$6+AC29*Forutsetninger!$C$24</f>
        <v>0</v>
      </c>
    </row>
    <row r="30" spans="1:40" ht="12.75" x14ac:dyDescent="0.2">
      <c r="A30">
        <v>882015</v>
      </c>
      <c r="B30" t="s">
        <v>164</v>
      </c>
      <c r="C30" s="170">
        <v>2015</v>
      </c>
      <c r="D30" s="145">
        <f t="shared" si="8"/>
        <v>20555.118834241359</v>
      </c>
      <c r="E30" s="146">
        <v>0</v>
      </c>
      <c r="F30" s="41">
        <f t="shared" si="9"/>
        <v>20555.118834241359</v>
      </c>
      <c r="G30" s="42">
        <f t="shared" si="10"/>
        <v>9130</v>
      </c>
      <c r="H30" s="41">
        <f t="shared" si="0"/>
        <v>147205</v>
      </c>
      <c r="I30" s="42">
        <f t="shared" si="1"/>
        <v>148677.04999999999</v>
      </c>
      <c r="J30" s="41">
        <f t="shared" si="2"/>
        <v>8885</v>
      </c>
      <c r="K30" s="41">
        <f t="shared" si="3"/>
        <v>1700</v>
      </c>
      <c r="L30" s="41">
        <f t="shared" si="4"/>
        <v>0</v>
      </c>
      <c r="M30" s="42">
        <f t="shared" si="5"/>
        <v>1999</v>
      </c>
      <c r="N30" s="162">
        <v>19938.330424699299</v>
      </c>
      <c r="O30" s="162">
        <v>7737</v>
      </c>
      <c r="P30" s="162">
        <v>125043.05</v>
      </c>
      <c r="Q30" s="162">
        <v>8885</v>
      </c>
      <c r="R30" s="162">
        <v>1999</v>
      </c>
      <c r="S30" s="162">
        <v>1020.02</v>
      </c>
      <c r="T30" s="162">
        <v>616.78840954205998</v>
      </c>
      <c r="U30" s="162">
        <v>1393</v>
      </c>
      <c r="V30" s="162">
        <v>23634</v>
      </c>
      <c r="W30" s="162">
        <v>1700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76">
        <v>284.7804931</v>
      </c>
      <c r="AE30" s="165">
        <f>N30*Forutsetninger!$C$30</f>
        <v>21094.75358933186</v>
      </c>
      <c r="AF30" s="165">
        <f t="shared" si="6"/>
        <v>2530.2746811934999</v>
      </c>
      <c r="AG30" s="165">
        <f>S30*Forutsetninger!$C$24</f>
        <v>1076.1210999999998</v>
      </c>
      <c r="AH30" s="165">
        <f>AE30+O30+AF30+R30*Forutsetninger!$C$24-AG30</f>
        <v>32394.852170525355</v>
      </c>
      <c r="AI30" s="165">
        <f>AH30+P30*Forutsetninger!$B$6</f>
        <v>40047.486830525355</v>
      </c>
      <c r="AJ30" s="165">
        <f>T30*Forutsetninger!$C$30</f>
        <v>652.5621372954995</v>
      </c>
      <c r="AK30" s="165">
        <f t="shared" si="7"/>
        <v>484.12683827000001</v>
      </c>
      <c r="AL30" s="165">
        <f>AJ30+U30+AK30+X30*Forutsetninger!$C$24</f>
        <v>2529.6889755654993</v>
      </c>
      <c r="AM30" s="164">
        <f>(T30)*Forutsetninger!$C$30+X30*Forutsetninger!$C$24+U30+V30*Forutsetninger!$B$6</f>
        <v>3491.9629372954996</v>
      </c>
      <c r="AN30" s="164">
        <f>Y30*Forutsetninger!$C$30+Z30+AA30*Forutsetninger!$B$6+AC30*Forutsetninger!$C$24</f>
        <v>0</v>
      </c>
    </row>
    <row r="31" spans="1:40" ht="12.75" x14ac:dyDescent="0.2">
      <c r="A31">
        <v>912015</v>
      </c>
      <c r="B31" t="s">
        <v>216</v>
      </c>
      <c r="C31" s="170">
        <v>2015</v>
      </c>
      <c r="D31" s="145">
        <f t="shared" si="8"/>
        <v>16120.1258411814</v>
      </c>
      <c r="E31" s="146">
        <v>0</v>
      </c>
      <c r="F31" s="41">
        <f t="shared" si="9"/>
        <v>16120.1258411814</v>
      </c>
      <c r="G31" s="42">
        <f t="shared" si="10"/>
        <v>9010</v>
      </c>
      <c r="H31" s="41">
        <f t="shared" si="0"/>
        <v>132159</v>
      </c>
      <c r="I31" s="42">
        <f t="shared" si="1"/>
        <v>133480.59</v>
      </c>
      <c r="J31" s="41">
        <f t="shared" si="2"/>
        <v>15211</v>
      </c>
      <c r="K31" s="41">
        <f t="shared" si="3"/>
        <v>0</v>
      </c>
      <c r="L31" s="41">
        <f t="shared" si="4"/>
        <v>0</v>
      </c>
      <c r="M31" s="42">
        <f t="shared" si="5"/>
        <v>567</v>
      </c>
      <c r="N31" s="162">
        <v>16120.1258411814</v>
      </c>
      <c r="O31" s="162">
        <v>9010</v>
      </c>
      <c r="P31" s="162">
        <v>133480.59</v>
      </c>
      <c r="Q31" s="162">
        <v>15211</v>
      </c>
      <c r="R31" s="162">
        <v>567</v>
      </c>
      <c r="S31" s="162">
        <v>3937.21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76">
        <v>284.7804931</v>
      </c>
      <c r="AE31" s="165">
        <f>N31*Forutsetninger!$C$30</f>
        <v>17055.093139969922</v>
      </c>
      <c r="AF31" s="165">
        <f t="shared" si="6"/>
        <v>4331.7960805440998</v>
      </c>
      <c r="AG31" s="165">
        <f>S31*Forutsetninger!$C$24</f>
        <v>4153.7565500000001</v>
      </c>
      <c r="AH31" s="165">
        <f>AE31+O31+AF31+R31*Forutsetninger!$C$24-AG31</f>
        <v>26841.317670514021</v>
      </c>
      <c r="AI31" s="165">
        <f>AH31+P31*Forutsetninger!$B$6</f>
        <v>35010.329778514024</v>
      </c>
      <c r="AJ31" s="165">
        <f>T31*Forutsetninger!$C$30</f>
        <v>0</v>
      </c>
      <c r="AK31" s="165">
        <f t="shared" si="7"/>
        <v>0</v>
      </c>
      <c r="AL31" s="165">
        <f>AJ31+U31+AK31+X31*Forutsetninger!$C$24</f>
        <v>0</v>
      </c>
      <c r="AM31" s="164">
        <f>(T31)*Forutsetninger!$C$30+X31*Forutsetninger!$C$24+U31+V31*Forutsetninger!$B$6</f>
        <v>0</v>
      </c>
      <c r="AN31" s="164">
        <f>Y31*Forutsetninger!$C$30+Z31+AA31*Forutsetninger!$B$6+AC31*Forutsetninger!$C$24</f>
        <v>0</v>
      </c>
    </row>
    <row r="32" spans="1:40" ht="12.75" x14ac:dyDescent="0.2">
      <c r="A32">
        <v>932015</v>
      </c>
      <c r="B32" t="s">
        <v>217</v>
      </c>
      <c r="C32" s="170">
        <v>2015</v>
      </c>
      <c r="D32" s="145">
        <f t="shared" si="8"/>
        <v>37194.886138139911</v>
      </c>
      <c r="E32" s="146">
        <v>0</v>
      </c>
      <c r="F32" s="41">
        <f t="shared" si="9"/>
        <v>37194.886138139911</v>
      </c>
      <c r="G32" s="42">
        <f t="shared" si="10"/>
        <v>8927</v>
      </c>
      <c r="H32" s="41">
        <f t="shared" si="0"/>
        <v>139445</v>
      </c>
      <c r="I32" s="42">
        <f t="shared" si="1"/>
        <v>140839.45000000001</v>
      </c>
      <c r="J32" s="41">
        <f t="shared" si="2"/>
        <v>9506</v>
      </c>
      <c r="K32" s="41">
        <f t="shared" si="3"/>
        <v>702</v>
      </c>
      <c r="L32" s="41">
        <f t="shared" si="4"/>
        <v>0</v>
      </c>
      <c r="M32" s="42">
        <f t="shared" si="5"/>
        <v>1434</v>
      </c>
      <c r="N32" s="162">
        <v>33182.435168776603</v>
      </c>
      <c r="O32" s="162">
        <v>7170</v>
      </c>
      <c r="P32" s="162">
        <v>121796.91</v>
      </c>
      <c r="Q32" s="162">
        <v>9506</v>
      </c>
      <c r="R32" s="162">
        <v>1434</v>
      </c>
      <c r="S32" s="162">
        <v>0</v>
      </c>
      <c r="T32" s="162">
        <v>4012.4509693633099</v>
      </c>
      <c r="U32" s="162">
        <v>1757</v>
      </c>
      <c r="V32" s="162">
        <v>19042.54</v>
      </c>
      <c r="W32" s="162">
        <v>702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76">
        <v>284.7804931</v>
      </c>
      <c r="AE32" s="165">
        <f>N32*Forutsetninger!$C$30</f>
        <v>35107.016408565651</v>
      </c>
      <c r="AF32" s="165">
        <f t="shared" si="6"/>
        <v>2707.1233674086002</v>
      </c>
      <c r="AG32" s="165">
        <f>S32*Forutsetninger!$C$24</f>
        <v>0</v>
      </c>
      <c r="AH32" s="165">
        <f>AE32+O32+AF32+R32*Forutsetninger!$C$24-AG32</f>
        <v>46497.009775974257</v>
      </c>
      <c r="AI32" s="165">
        <f>AH32+P32*Forutsetninger!$B$6</f>
        <v>53950.980667974254</v>
      </c>
      <c r="AJ32" s="165">
        <f>T32*Forutsetninger!$C$30</f>
        <v>4245.1731255863824</v>
      </c>
      <c r="AK32" s="165">
        <f t="shared" si="7"/>
        <v>199.91590615620001</v>
      </c>
      <c r="AL32" s="165">
        <f>AJ32+U32+AK32+X32*Forutsetninger!$C$24</f>
        <v>6202.0890317425828</v>
      </c>
      <c r="AM32" s="164">
        <f>(T32)*Forutsetninger!$C$30+X32*Forutsetninger!$C$24+U32+V32*Forutsetninger!$B$6</f>
        <v>7167.5765735863824</v>
      </c>
      <c r="AN32" s="164">
        <f>Y32*Forutsetninger!$C$30+Z32+AA32*Forutsetninger!$B$6+AC32*Forutsetninger!$C$24</f>
        <v>0</v>
      </c>
    </row>
    <row r="33" spans="1:40" ht="12.75" x14ac:dyDescent="0.2">
      <c r="A33">
        <v>952015</v>
      </c>
      <c r="B33" t="s">
        <v>218</v>
      </c>
      <c r="C33" s="170">
        <v>2015</v>
      </c>
      <c r="D33" s="145">
        <f t="shared" si="8"/>
        <v>7903.7638525159</v>
      </c>
      <c r="E33" s="146">
        <v>0</v>
      </c>
      <c r="F33" s="41">
        <f t="shared" si="9"/>
        <v>7903.7638525159</v>
      </c>
      <c r="G33" s="42">
        <f t="shared" si="10"/>
        <v>2038</v>
      </c>
      <c r="H33" s="42">
        <f t="shared" si="0"/>
        <v>27553</v>
      </c>
      <c r="I33" s="42">
        <f t="shared" si="1"/>
        <v>27828.53</v>
      </c>
      <c r="J33" s="41">
        <f t="shared" si="2"/>
        <v>3912</v>
      </c>
      <c r="K33" s="41">
        <f t="shared" si="3"/>
        <v>0</v>
      </c>
      <c r="L33" s="41">
        <f t="shared" si="4"/>
        <v>0</v>
      </c>
      <c r="M33" s="42">
        <f t="shared" si="5"/>
        <v>608</v>
      </c>
      <c r="N33" s="162">
        <v>7903.7638525159</v>
      </c>
      <c r="O33" s="162">
        <v>2038</v>
      </c>
      <c r="P33" s="162">
        <v>27828.53</v>
      </c>
      <c r="Q33" s="162">
        <v>3912</v>
      </c>
      <c r="R33" s="162">
        <v>608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76">
        <v>286.91705400000001</v>
      </c>
      <c r="AE33" s="165">
        <f>N33*Forutsetninger!$C$30</f>
        <v>8362.182155961822</v>
      </c>
      <c r="AF33" s="165">
        <f t="shared" si="6"/>
        <v>1122.4195152479999</v>
      </c>
      <c r="AG33" s="165">
        <f>S33*Forutsetninger!$C$24</f>
        <v>0</v>
      </c>
      <c r="AH33" s="165">
        <f>AE33+O33+AF33+R33*Forutsetninger!$C$24-AG33</f>
        <v>12164.041671209823</v>
      </c>
      <c r="AI33" s="165">
        <f>AH33+P33*Forutsetninger!$B$6</f>
        <v>13867.147707209822</v>
      </c>
      <c r="AJ33" s="165">
        <f>T33*Forutsetninger!$C$30</f>
        <v>0</v>
      </c>
      <c r="AK33" s="165">
        <f t="shared" si="7"/>
        <v>0</v>
      </c>
      <c r="AL33" s="165">
        <f>AJ33+U33+AK33+X33*Forutsetninger!$C$24</f>
        <v>0</v>
      </c>
      <c r="AM33" s="164">
        <f>(T33)*Forutsetninger!$C$30+X33*Forutsetninger!$C$24+U33+V33*Forutsetninger!$B$6</f>
        <v>0</v>
      </c>
      <c r="AN33" s="164">
        <f>Y33*Forutsetninger!$C$30+Z33+AA33*Forutsetninger!$B$6+AC33*Forutsetninger!$C$24</f>
        <v>0</v>
      </c>
    </row>
    <row r="34" spans="1:40" ht="12.75" x14ac:dyDescent="0.2">
      <c r="A34">
        <v>962015</v>
      </c>
      <c r="B34" t="s">
        <v>219</v>
      </c>
      <c r="C34" s="170">
        <v>2015</v>
      </c>
      <c r="D34" s="145">
        <f t="shared" si="8"/>
        <v>26661.599999999999</v>
      </c>
      <c r="E34" s="146">
        <v>0</v>
      </c>
      <c r="F34" s="41">
        <f t="shared" si="9"/>
        <v>26661.599999999999</v>
      </c>
      <c r="G34" s="42">
        <f t="shared" si="10"/>
        <v>7850</v>
      </c>
      <c r="H34" s="41">
        <f t="shared" si="0"/>
        <v>132041</v>
      </c>
      <c r="I34" s="42">
        <f t="shared" si="1"/>
        <v>133361.41</v>
      </c>
      <c r="J34" s="41">
        <f t="shared" si="2"/>
        <v>8631</v>
      </c>
      <c r="K34" s="41">
        <f t="shared" si="3"/>
        <v>0</v>
      </c>
      <c r="L34" s="41">
        <f t="shared" si="4"/>
        <v>0</v>
      </c>
      <c r="M34" s="42">
        <f t="shared" si="5"/>
        <v>935</v>
      </c>
      <c r="N34" s="162">
        <v>26661.599999999999</v>
      </c>
      <c r="O34" s="162">
        <v>7850</v>
      </c>
      <c r="P34" s="162">
        <v>133361.41</v>
      </c>
      <c r="Q34" s="162">
        <v>8631</v>
      </c>
      <c r="R34" s="162">
        <v>935</v>
      </c>
      <c r="S34" s="162">
        <v>131.61000000000001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76">
        <v>284.7804931</v>
      </c>
      <c r="AE34" s="165">
        <f>N34*Forutsetninger!$C$30</f>
        <v>28207.9728</v>
      </c>
      <c r="AF34" s="165">
        <f t="shared" si="6"/>
        <v>2457.9404359461</v>
      </c>
      <c r="AG34" s="165">
        <f>S34*Forutsetninger!$C$24</f>
        <v>138.84855000000002</v>
      </c>
      <c r="AH34" s="165">
        <f>AE34+O34+AF34+R34*Forutsetninger!$C$24-AG34</f>
        <v>39363.489685946101</v>
      </c>
      <c r="AI34" s="165">
        <f>AH34+P34*Forutsetninger!$B$6</f>
        <v>47525.207977946098</v>
      </c>
      <c r="AJ34" s="165">
        <f>T34*Forutsetninger!$C$30</f>
        <v>0</v>
      </c>
      <c r="AK34" s="165">
        <f t="shared" si="7"/>
        <v>0</v>
      </c>
      <c r="AL34" s="165">
        <f>AJ34+U34+AK34+X34*Forutsetninger!$C$24</f>
        <v>0</v>
      </c>
      <c r="AM34" s="164">
        <f>(T34)*Forutsetninger!$C$30+X34*Forutsetninger!$C$24+U34+V34*Forutsetninger!$B$6</f>
        <v>0</v>
      </c>
      <c r="AN34" s="164">
        <f>Y34*Forutsetninger!$C$30+Z34+AA34*Forutsetninger!$B$6+AC34*Forutsetninger!$C$24</f>
        <v>0</v>
      </c>
    </row>
    <row r="35" spans="1:40" ht="12.75" x14ac:dyDescent="0.2">
      <c r="A35">
        <v>972015</v>
      </c>
      <c r="B35" t="s">
        <v>220</v>
      </c>
      <c r="C35" s="170">
        <v>2015</v>
      </c>
      <c r="D35" s="145">
        <f t="shared" si="8"/>
        <v>28891.532280506901</v>
      </c>
      <c r="E35" s="146">
        <v>0</v>
      </c>
      <c r="F35" s="41">
        <f t="shared" si="9"/>
        <v>28891.532280506901</v>
      </c>
      <c r="G35" s="42">
        <f t="shared" si="10"/>
        <v>9097</v>
      </c>
      <c r="H35" s="42">
        <f t="shared" ref="H35:H66" si="11">ROUND(I35/1.01,0)</f>
        <v>131220</v>
      </c>
      <c r="I35" s="42">
        <f t="shared" ref="I35:I66" si="12">P35+V35+AA35</f>
        <v>132532.20000000001</v>
      </c>
      <c r="J35" s="41">
        <f t="shared" ref="J35:J66" si="13">Q35</f>
        <v>10514</v>
      </c>
      <c r="K35" s="41">
        <f t="shared" ref="K35:K66" si="14">W35</f>
        <v>0</v>
      </c>
      <c r="L35" s="41">
        <f t="shared" ref="L35:L66" si="15">AB35</f>
        <v>0</v>
      </c>
      <c r="M35" s="42">
        <f t="shared" ref="M35:M66" si="16">R35+X35+AC35</f>
        <v>1863</v>
      </c>
      <c r="N35" s="162">
        <v>28891.532280506901</v>
      </c>
      <c r="O35" s="162">
        <v>9097</v>
      </c>
      <c r="P35" s="162">
        <v>132532.20000000001</v>
      </c>
      <c r="Q35" s="162">
        <v>10514</v>
      </c>
      <c r="R35" s="162">
        <v>1863</v>
      </c>
      <c r="S35" s="162">
        <v>921.31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76">
        <v>284.74774189999999</v>
      </c>
      <c r="AE35" s="165">
        <f>N35*Forutsetninger!$C$30</f>
        <v>30567.241152776303</v>
      </c>
      <c r="AF35" s="165">
        <f t="shared" ref="AF35:AF66" si="17">(Q35*AD35)/1000</f>
        <v>2993.8377583366</v>
      </c>
      <c r="AG35" s="165">
        <f>S35*Forutsetninger!$C$24</f>
        <v>971.98204999999984</v>
      </c>
      <c r="AH35" s="165">
        <f>AE35+O35+AF35+R35*Forutsetninger!$C$24-AG35</f>
        <v>43651.561861112903</v>
      </c>
      <c r="AI35" s="165">
        <f>AH35+P35*Forutsetninger!$B$6</f>
        <v>51762.532501112903</v>
      </c>
      <c r="AJ35" s="165">
        <f>T35*Forutsetninger!$C$30</f>
        <v>0</v>
      </c>
      <c r="AK35" s="165">
        <f t="shared" ref="AK35:AK66" si="18">(W35*AD35)/1000</f>
        <v>0</v>
      </c>
      <c r="AL35" s="165">
        <f>AJ35+U35+AK35+X35*Forutsetninger!$C$24</f>
        <v>0</v>
      </c>
      <c r="AM35" s="164">
        <f>(T35)*Forutsetninger!$C$30+X35*Forutsetninger!$C$24+U35+V35*Forutsetninger!$B$6</f>
        <v>0</v>
      </c>
      <c r="AN35" s="164">
        <f>Y35*Forutsetninger!$C$30+Z35+AA35*Forutsetninger!$B$6+AC35*Forutsetninger!$C$24</f>
        <v>0</v>
      </c>
    </row>
    <row r="36" spans="1:40" ht="12.75" x14ac:dyDescent="0.2">
      <c r="A36">
        <v>982015</v>
      </c>
      <c r="B36" t="s">
        <v>165</v>
      </c>
      <c r="C36" s="170">
        <v>2015</v>
      </c>
      <c r="D36" s="145">
        <f t="shared" si="8"/>
        <v>1492.079499592189</v>
      </c>
      <c r="E36" s="146">
        <v>0</v>
      </c>
      <c r="F36" s="41">
        <f t="shared" si="9"/>
        <v>1492.079499592189</v>
      </c>
      <c r="G36" s="42">
        <f t="shared" ref="G36:G67" si="19">O36+U36+Z36</f>
        <v>1058</v>
      </c>
      <c r="H36" s="41">
        <f t="shared" si="11"/>
        <v>15800</v>
      </c>
      <c r="I36" s="42">
        <f t="shared" si="12"/>
        <v>15958</v>
      </c>
      <c r="J36" s="41">
        <f t="shared" si="13"/>
        <v>0</v>
      </c>
      <c r="K36" s="41">
        <f t="shared" si="14"/>
        <v>0</v>
      </c>
      <c r="L36" s="41">
        <f t="shared" si="15"/>
        <v>0</v>
      </c>
      <c r="M36" s="42">
        <f t="shared" si="16"/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338.36791108577899</v>
      </c>
      <c r="U36" s="162">
        <v>681</v>
      </c>
      <c r="V36" s="162">
        <v>11626.11</v>
      </c>
      <c r="W36" s="162">
        <v>0</v>
      </c>
      <c r="X36" s="162">
        <v>0</v>
      </c>
      <c r="Y36" s="162">
        <v>1153.71158850641</v>
      </c>
      <c r="Z36" s="162">
        <v>377</v>
      </c>
      <c r="AA36" s="162">
        <v>4331.8900000000003</v>
      </c>
      <c r="AB36" s="162">
        <v>0</v>
      </c>
      <c r="AC36" s="162">
        <v>0</v>
      </c>
      <c r="AD36" s="176">
        <v>257.06098230000003</v>
      </c>
      <c r="AE36" s="165">
        <f>N36*Forutsetninger!$C$30</f>
        <v>0</v>
      </c>
      <c r="AF36" s="165">
        <f t="shared" si="17"/>
        <v>0</v>
      </c>
      <c r="AG36" s="165">
        <f>S36*Forutsetninger!$C$24</f>
        <v>0</v>
      </c>
      <c r="AH36" s="165">
        <f>AE36+O36+AF36+R36*Forutsetninger!$C$24-AG36</f>
        <v>0</v>
      </c>
      <c r="AI36" s="165">
        <f>AH36+P36*Forutsetninger!$B$6</f>
        <v>0</v>
      </c>
      <c r="AJ36" s="165">
        <f>T36*Forutsetninger!$C$30</f>
        <v>357.99324992875421</v>
      </c>
      <c r="AK36" s="165">
        <f t="shared" si="18"/>
        <v>0</v>
      </c>
      <c r="AL36" s="165">
        <f>AJ36+U36+AK36+X36*Forutsetninger!$C$24</f>
        <v>1038.9932499287543</v>
      </c>
      <c r="AM36" s="164">
        <f>(T36)*Forutsetninger!$C$30+X36*Forutsetninger!$C$24+U36+V36*Forutsetninger!$B$6</f>
        <v>1750.5111819287542</v>
      </c>
      <c r="AN36" s="164">
        <f>Y36*Forutsetninger!$C$30+Z36+AA36*Forutsetninger!$B$6+AC36*Forutsetninger!$C$24</f>
        <v>1862.7385286397819</v>
      </c>
    </row>
    <row r="37" spans="1:40" s="62" customFormat="1" ht="12.75" x14ac:dyDescent="0.2">
      <c r="A37">
        <v>1022015</v>
      </c>
      <c r="B37" t="s">
        <v>370</v>
      </c>
      <c r="C37" s="170">
        <v>2015</v>
      </c>
      <c r="D37" s="145">
        <f t="shared" si="8"/>
        <v>29859.963314230801</v>
      </c>
      <c r="E37" s="146">
        <v>0</v>
      </c>
      <c r="F37" s="41">
        <f t="shared" si="9"/>
        <v>29859.963314230801</v>
      </c>
      <c r="G37" s="42">
        <f t="shared" si="19"/>
        <v>8274</v>
      </c>
      <c r="H37" s="41">
        <f t="shared" si="11"/>
        <v>87271</v>
      </c>
      <c r="I37" s="42">
        <f t="shared" si="12"/>
        <v>88143.71</v>
      </c>
      <c r="J37" s="41">
        <f t="shared" si="13"/>
        <v>30280</v>
      </c>
      <c r="K37" s="41">
        <f t="shared" si="14"/>
        <v>0</v>
      </c>
      <c r="L37" s="41">
        <f t="shared" si="15"/>
        <v>0</v>
      </c>
      <c r="M37" s="42">
        <f t="shared" si="16"/>
        <v>1770</v>
      </c>
      <c r="N37" s="162">
        <v>29859.963314230801</v>
      </c>
      <c r="O37" s="162">
        <v>8274</v>
      </c>
      <c r="P37" s="162">
        <v>88143.71</v>
      </c>
      <c r="Q37" s="162">
        <v>30280</v>
      </c>
      <c r="R37" s="162">
        <v>1770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76">
        <v>286.91705400000001</v>
      </c>
      <c r="AE37" s="165">
        <f>N37*Forutsetninger!$C$30</f>
        <v>31591.841186456189</v>
      </c>
      <c r="AF37" s="165">
        <f t="shared" si="17"/>
        <v>8687.8483951199996</v>
      </c>
      <c r="AG37" s="165">
        <f>S37*Forutsetninger!$C$24</f>
        <v>0</v>
      </c>
      <c r="AH37" s="165">
        <f>AE37+O37+AF37+R37*Forutsetninger!$C$24-AG37</f>
        <v>50421.039581576195</v>
      </c>
      <c r="AI37" s="165">
        <f>AH37+P37*Forutsetninger!$B$6</f>
        <v>55815.434633576195</v>
      </c>
      <c r="AJ37" s="165">
        <f>T37*Forutsetninger!$C$30</f>
        <v>0</v>
      </c>
      <c r="AK37" s="165">
        <f t="shared" si="18"/>
        <v>0</v>
      </c>
      <c r="AL37" s="165">
        <f>AJ37+U37+AK37+X37*Forutsetninger!$C$24</f>
        <v>0</v>
      </c>
      <c r="AM37" s="164">
        <f>(T37)*Forutsetninger!$C$30+X37*Forutsetninger!$C$24+U37+V37*Forutsetninger!$B$6</f>
        <v>0</v>
      </c>
      <c r="AN37" s="164">
        <f>Y37*Forutsetninger!$C$30+Z37+AA37*Forutsetninger!$B$6+AC37*Forutsetninger!$C$24</f>
        <v>0</v>
      </c>
    </row>
    <row r="38" spans="1:40" s="62" customFormat="1" ht="12.75" x14ac:dyDescent="0.2">
      <c r="A38">
        <v>1032015</v>
      </c>
      <c r="B38" t="s">
        <v>222</v>
      </c>
      <c r="C38" s="170">
        <v>2015</v>
      </c>
      <c r="D38" s="145">
        <f t="shared" si="8"/>
        <v>31024.698998799809</v>
      </c>
      <c r="E38" s="146">
        <v>0</v>
      </c>
      <c r="F38" s="41">
        <f t="shared" si="9"/>
        <v>31024.698998799809</v>
      </c>
      <c r="G38" s="42">
        <f t="shared" si="19"/>
        <v>7930</v>
      </c>
      <c r="H38" s="41">
        <f t="shared" si="11"/>
        <v>130817</v>
      </c>
      <c r="I38" s="42">
        <f t="shared" si="12"/>
        <v>132125.16999999998</v>
      </c>
      <c r="J38" s="41">
        <f t="shared" si="13"/>
        <v>6600</v>
      </c>
      <c r="K38" s="41">
        <f t="shared" si="14"/>
        <v>1249</v>
      </c>
      <c r="L38" s="41">
        <f t="shared" si="15"/>
        <v>0</v>
      </c>
      <c r="M38" s="42">
        <f t="shared" si="16"/>
        <v>6040</v>
      </c>
      <c r="N38" s="162">
        <v>29423.176455818</v>
      </c>
      <c r="O38" s="162">
        <v>5694</v>
      </c>
      <c r="P38" s="162">
        <v>82013.009999999995</v>
      </c>
      <c r="Q38" s="162">
        <v>6600</v>
      </c>
      <c r="R38" s="162">
        <v>6002</v>
      </c>
      <c r="S38" s="162">
        <v>0</v>
      </c>
      <c r="T38" s="162">
        <v>1601.5225429818099</v>
      </c>
      <c r="U38" s="162">
        <v>2236</v>
      </c>
      <c r="V38" s="162">
        <v>50112.160000000003</v>
      </c>
      <c r="W38" s="162">
        <v>1249</v>
      </c>
      <c r="X38" s="162">
        <v>38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76">
        <v>257.06098230000003</v>
      </c>
      <c r="AE38" s="165">
        <f>N38*Forutsetninger!$C$30</f>
        <v>31129.720690255446</v>
      </c>
      <c r="AF38" s="165">
        <f t="shared" si="17"/>
        <v>1696.6024831800003</v>
      </c>
      <c r="AG38" s="165">
        <f>S38*Forutsetninger!$C$24</f>
        <v>0</v>
      </c>
      <c r="AH38" s="165">
        <f>AE38+O38+AF38+R38*Forutsetninger!$C$24-AG38</f>
        <v>44852.433173435449</v>
      </c>
      <c r="AI38" s="165">
        <f>AH38+P38*Forutsetninger!$B$6</f>
        <v>49871.629385435452</v>
      </c>
      <c r="AJ38" s="165">
        <f>T38*Forutsetninger!$C$30</f>
        <v>1694.4108504747551</v>
      </c>
      <c r="AK38" s="165">
        <f t="shared" si="18"/>
        <v>321.06916689270008</v>
      </c>
      <c r="AL38" s="165">
        <f>AJ38+U38+AK38+X38*Forutsetninger!$C$24</f>
        <v>4291.570017367455</v>
      </c>
      <c r="AM38" s="164">
        <f>(T38)*Forutsetninger!$C$30+X38*Forutsetninger!$C$24+U38+V38*Forutsetninger!$B$6</f>
        <v>7037.3650424747548</v>
      </c>
      <c r="AN38" s="164">
        <f>Y38*Forutsetninger!$C$30+Z38+AA38*Forutsetninger!$B$6+AC38*Forutsetninger!$C$24</f>
        <v>0</v>
      </c>
    </row>
    <row r="39" spans="1:40" s="62" customFormat="1" ht="12.75" x14ac:dyDescent="0.2">
      <c r="A39">
        <v>1042015</v>
      </c>
      <c r="B39" t="s">
        <v>223</v>
      </c>
      <c r="C39" s="170">
        <v>2015</v>
      </c>
      <c r="D39" s="145">
        <f t="shared" si="8"/>
        <v>13491.8339869058</v>
      </c>
      <c r="E39" s="146">
        <v>0</v>
      </c>
      <c r="F39" s="41">
        <f t="shared" si="9"/>
        <v>13491.8339869058</v>
      </c>
      <c r="G39" s="42">
        <f t="shared" si="19"/>
        <v>3186</v>
      </c>
      <c r="H39" s="42">
        <f t="shared" si="11"/>
        <v>42055</v>
      </c>
      <c r="I39" s="42">
        <f t="shared" si="12"/>
        <v>42475.55</v>
      </c>
      <c r="J39" s="41">
        <f t="shared" si="13"/>
        <v>7217</v>
      </c>
      <c r="K39" s="41">
        <f t="shared" si="14"/>
        <v>0</v>
      </c>
      <c r="L39" s="41">
        <f t="shared" si="15"/>
        <v>0</v>
      </c>
      <c r="M39" s="42">
        <f t="shared" si="16"/>
        <v>3124</v>
      </c>
      <c r="N39" s="162">
        <v>13491.8339869058</v>
      </c>
      <c r="O39" s="162">
        <v>3186</v>
      </c>
      <c r="P39" s="162">
        <v>42475.55</v>
      </c>
      <c r="Q39" s="162">
        <v>7217</v>
      </c>
      <c r="R39" s="162">
        <v>3124</v>
      </c>
      <c r="S39" s="162">
        <v>164.52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0</v>
      </c>
      <c r="AD39" s="176">
        <v>284.74774189999999</v>
      </c>
      <c r="AE39" s="165">
        <f>N39*Forutsetninger!$C$30</f>
        <v>14274.360358146338</v>
      </c>
      <c r="AF39" s="165">
        <f t="shared" si="17"/>
        <v>2055.0244532922998</v>
      </c>
      <c r="AG39" s="165">
        <f>S39*Forutsetninger!$C$24</f>
        <v>173.5686</v>
      </c>
      <c r="AH39" s="165">
        <f>AE39+O39+AF39+R39*Forutsetninger!$C$24-AG39</f>
        <v>22637.636211438639</v>
      </c>
      <c r="AI39" s="165">
        <f>AH39+P39*Forutsetninger!$B$6</f>
        <v>25237.139871438638</v>
      </c>
      <c r="AJ39" s="165">
        <f>T39*Forutsetninger!$C$30</f>
        <v>0</v>
      </c>
      <c r="AK39" s="165">
        <f t="shared" si="18"/>
        <v>0</v>
      </c>
      <c r="AL39" s="165">
        <f>AJ39+U39+AK39+X39*Forutsetninger!$C$24</f>
        <v>0</v>
      </c>
      <c r="AM39" s="164">
        <f>(T39)*Forutsetninger!$C$30+X39*Forutsetninger!$C$24+U39+V39*Forutsetninger!$B$6</f>
        <v>0</v>
      </c>
      <c r="AN39" s="164">
        <f>Y39*Forutsetninger!$C$30+Z39+AA39*Forutsetninger!$B$6+AC39*Forutsetninger!$C$24</f>
        <v>0</v>
      </c>
    </row>
    <row r="40" spans="1:40" s="62" customFormat="1" ht="12.75" x14ac:dyDescent="0.2">
      <c r="A40">
        <v>1062015</v>
      </c>
      <c r="B40" t="s">
        <v>166</v>
      </c>
      <c r="C40" s="170">
        <v>2015</v>
      </c>
      <c r="D40" s="145">
        <f t="shared" si="8"/>
        <v>12166.376447833909</v>
      </c>
      <c r="E40" s="146">
        <v>0</v>
      </c>
      <c r="F40" s="41">
        <f t="shared" si="9"/>
        <v>12166.376447833909</v>
      </c>
      <c r="G40" s="42">
        <f t="shared" si="19"/>
        <v>2435</v>
      </c>
      <c r="H40" s="42">
        <f t="shared" si="11"/>
        <v>27664</v>
      </c>
      <c r="I40" s="42">
        <f t="shared" si="12"/>
        <v>27940.639999999999</v>
      </c>
      <c r="J40" s="41">
        <f t="shared" si="13"/>
        <v>5162</v>
      </c>
      <c r="K40" s="41">
        <f t="shared" si="14"/>
        <v>4093</v>
      </c>
      <c r="L40" s="41">
        <f t="shared" si="15"/>
        <v>0</v>
      </c>
      <c r="M40" s="42">
        <f t="shared" si="16"/>
        <v>988</v>
      </c>
      <c r="N40" s="162">
        <v>10430.552908834999</v>
      </c>
      <c r="O40" s="162">
        <v>2131</v>
      </c>
      <c r="P40" s="162">
        <v>23185.56</v>
      </c>
      <c r="Q40" s="162">
        <v>5162</v>
      </c>
      <c r="R40" s="162">
        <v>988</v>
      </c>
      <c r="S40" s="162">
        <v>32.9</v>
      </c>
      <c r="T40" s="162">
        <v>1735.82353899891</v>
      </c>
      <c r="U40" s="162">
        <v>304</v>
      </c>
      <c r="V40" s="162">
        <v>4755.08</v>
      </c>
      <c r="W40" s="162">
        <v>4093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76">
        <v>284.74774189999999</v>
      </c>
      <c r="AE40" s="165">
        <f>N40*Forutsetninger!$C$30</f>
        <v>11035.524977547429</v>
      </c>
      <c r="AF40" s="165">
        <f t="shared" si="17"/>
        <v>1469.8678436877999</v>
      </c>
      <c r="AG40" s="165">
        <f>S40*Forutsetninger!$C$24</f>
        <v>34.709499999999998</v>
      </c>
      <c r="AH40" s="165">
        <f>AE40+O40+AF40+R40*Forutsetninger!$C$24-AG40</f>
        <v>15644.023321235229</v>
      </c>
      <c r="AI40" s="165">
        <f>AH40+P40*Forutsetninger!$B$6</f>
        <v>17062.979593235228</v>
      </c>
      <c r="AJ40" s="165">
        <f>T40*Forutsetninger!$C$30</f>
        <v>1836.5013042608468</v>
      </c>
      <c r="AK40" s="165">
        <f t="shared" si="18"/>
        <v>1165.4725075967001</v>
      </c>
      <c r="AL40" s="165">
        <f>AJ40+U40+AK40+X40*Forutsetninger!$C$24</f>
        <v>3305.9738118575469</v>
      </c>
      <c r="AM40" s="164">
        <f>(T40)*Forutsetninger!$C$30+X40*Forutsetninger!$C$24+U40+V40*Forutsetninger!$B$6</f>
        <v>2431.5122002608468</v>
      </c>
      <c r="AN40" s="164">
        <f>Y40*Forutsetninger!$C$30+Z40+AA40*Forutsetninger!$B$6+AC40*Forutsetninger!$C$24</f>
        <v>0</v>
      </c>
    </row>
    <row r="41" spans="1:40" s="62" customFormat="1" ht="12.75" x14ac:dyDescent="0.2">
      <c r="A41">
        <v>1082015</v>
      </c>
      <c r="B41" t="s">
        <v>187</v>
      </c>
      <c r="C41" s="170">
        <v>2015</v>
      </c>
      <c r="D41" s="145">
        <f t="shared" si="8"/>
        <v>1431.81451754561</v>
      </c>
      <c r="E41" s="146">
        <v>0</v>
      </c>
      <c r="F41" s="41">
        <f t="shared" si="9"/>
        <v>1431.81451754561</v>
      </c>
      <c r="G41" s="42">
        <f t="shared" si="19"/>
        <v>762</v>
      </c>
      <c r="H41" s="41">
        <f t="shared" si="11"/>
        <v>12817</v>
      </c>
      <c r="I41" s="42">
        <f t="shared" si="12"/>
        <v>12945.17</v>
      </c>
      <c r="J41" s="41">
        <f t="shared" si="13"/>
        <v>4135</v>
      </c>
      <c r="K41" s="41">
        <f t="shared" si="14"/>
        <v>0</v>
      </c>
      <c r="L41" s="41">
        <f t="shared" si="15"/>
        <v>0</v>
      </c>
      <c r="M41" s="42">
        <f t="shared" si="16"/>
        <v>0</v>
      </c>
      <c r="N41" s="162">
        <v>1431.81451754561</v>
      </c>
      <c r="O41" s="162">
        <v>762</v>
      </c>
      <c r="P41" s="162">
        <v>12945.17</v>
      </c>
      <c r="Q41" s="162">
        <v>4135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76">
        <v>284.7804931</v>
      </c>
      <c r="AE41" s="165">
        <f>N41*Forutsetninger!$C$30</f>
        <v>1514.8597595632555</v>
      </c>
      <c r="AF41" s="165">
        <f t="shared" si="17"/>
        <v>1177.5673389685001</v>
      </c>
      <c r="AG41" s="165">
        <f>S41*Forutsetninger!$C$24</f>
        <v>0</v>
      </c>
      <c r="AH41" s="165">
        <f>AE41+O41+AF41+R41*Forutsetninger!$C$24-AG41</f>
        <v>3454.4270985317553</v>
      </c>
      <c r="AI41" s="165">
        <f>AH41+P41*Forutsetninger!$B$6</f>
        <v>4246.6715025317553</v>
      </c>
      <c r="AJ41" s="165">
        <f>T41*Forutsetninger!$C$30</f>
        <v>0</v>
      </c>
      <c r="AK41" s="165">
        <f t="shared" si="18"/>
        <v>0</v>
      </c>
      <c r="AL41" s="165">
        <f>AJ41+U41+AK41+X41*Forutsetninger!$C$24</f>
        <v>0</v>
      </c>
      <c r="AM41" s="164">
        <f>(T41)*Forutsetninger!$C$30+X41*Forutsetninger!$C$24+U41+V41*Forutsetninger!$B$6</f>
        <v>0</v>
      </c>
      <c r="AN41" s="164">
        <f>Y41*Forutsetninger!$C$30+Z41+AA41*Forutsetninger!$B$6+AC41*Forutsetninger!$C$24</f>
        <v>0</v>
      </c>
    </row>
    <row r="42" spans="1:40" s="62" customFormat="1" ht="12.75" x14ac:dyDescent="0.2">
      <c r="A42">
        <v>1162015</v>
      </c>
      <c r="B42" t="s">
        <v>224</v>
      </c>
      <c r="C42" s="170">
        <v>2015</v>
      </c>
      <c r="D42" s="145">
        <f t="shared" si="8"/>
        <v>23910.815850956598</v>
      </c>
      <c r="E42" s="146">
        <v>0</v>
      </c>
      <c r="F42" s="41">
        <f t="shared" si="9"/>
        <v>23910.815850956598</v>
      </c>
      <c r="G42" s="42">
        <f t="shared" si="19"/>
        <v>6133</v>
      </c>
      <c r="H42" s="42">
        <f t="shared" si="11"/>
        <v>78492</v>
      </c>
      <c r="I42" s="42">
        <f t="shared" si="12"/>
        <v>79276.92</v>
      </c>
      <c r="J42" s="41">
        <f t="shared" si="13"/>
        <v>8533</v>
      </c>
      <c r="K42" s="41">
        <f t="shared" si="14"/>
        <v>400</v>
      </c>
      <c r="L42" s="41">
        <f t="shared" si="15"/>
        <v>0</v>
      </c>
      <c r="M42" s="42">
        <f t="shared" si="16"/>
        <v>2531</v>
      </c>
      <c r="N42" s="162">
        <v>24180.815850956598</v>
      </c>
      <c r="O42" s="162">
        <v>5954</v>
      </c>
      <c r="P42" s="162">
        <v>78558.81</v>
      </c>
      <c r="Q42" s="162">
        <v>8533</v>
      </c>
      <c r="R42" s="162">
        <v>2531</v>
      </c>
      <c r="S42" s="162">
        <v>0</v>
      </c>
      <c r="T42" s="162">
        <v>-270</v>
      </c>
      <c r="U42" s="162">
        <v>179</v>
      </c>
      <c r="V42" s="162">
        <v>718.11</v>
      </c>
      <c r="W42" s="162">
        <v>400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0</v>
      </c>
      <c r="AD42" s="176">
        <v>257.06098230000003</v>
      </c>
      <c r="AE42" s="165">
        <f>N42*Forutsetninger!$C$30</f>
        <v>25583.303170312083</v>
      </c>
      <c r="AF42" s="165">
        <f t="shared" si="17"/>
        <v>2193.5013619659003</v>
      </c>
      <c r="AG42" s="165">
        <f>S42*Forutsetninger!$C$24</f>
        <v>0</v>
      </c>
      <c r="AH42" s="165">
        <f>AE42+O42+AF42+R42*Forutsetninger!$C$24-AG42</f>
        <v>36401.009532277982</v>
      </c>
      <c r="AI42" s="165">
        <f>AH42+P42*Forutsetninger!$B$6</f>
        <v>41208.808704277981</v>
      </c>
      <c r="AJ42" s="165">
        <f>T42*Forutsetninger!$C$30</f>
        <v>-285.66000000000003</v>
      </c>
      <c r="AK42" s="165">
        <f t="shared" si="18"/>
        <v>102.82439292000001</v>
      </c>
      <c r="AL42" s="165">
        <f>AJ42+U42+AK42+X42*Forutsetninger!$C$24</f>
        <v>-3.8356070800000168</v>
      </c>
      <c r="AM42" s="164">
        <f>(T42)*Forutsetninger!$C$30+X42*Forutsetninger!$C$24+U42+V42*Forutsetninger!$B$6</f>
        <v>-62.711668000000024</v>
      </c>
      <c r="AN42" s="164">
        <f>Y42*Forutsetninger!$C$30+Z42+AA42*Forutsetninger!$B$6+AC42*Forutsetninger!$C$24</f>
        <v>0</v>
      </c>
    </row>
    <row r="43" spans="1:40" s="62" customFormat="1" ht="12.75" x14ac:dyDescent="0.2">
      <c r="A43">
        <v>1192015</v>
      </c>
      <c r="B43" t="s">
        <v>225</v>
      </c>
      <c r="C43" s="170">
        <v>2015</v>
      </c>
      <c r="D43" s="145">
        <f t="shared" si="8"/>
        <v>18038.2784764524</v>
      </c>
      <c r="E43" s="146">
        <v>0</v>
      </c>
      <c r="F43" s="41">
        <f t="shared" si="9"/>
        <v>18038.2784764524</v>
      </c>
      <c r="G43" s="42">
        <f t="shared" si="19"/>
        <v>5379</v>
      </c>
      <c r="H43" s="42">
        <f t="shared" si="11"/>
        <v>78436</v>
      </c>
      <c r="I43" s="42">
        <f t="shared" si="12"/>
        <v>79220.36</v>
      </c>
      <c r="J43" s="41">
        <f t="shared" si="13"/>
        <v>7223</v>
      </c>
      <c r="K43" s="41">
        <f t="shared" si="14"/>
        <v>0</v>
      </c>
      <c r="L43" s="41">
        <f t="shared" si="15"/>
        <v>0</v>
      </c>
      <c r="M43" s="42">
        <f t="shared" si="16"/>
        <v>1005</v>
      </c>
      <c r="N43" s="162">
        <v>18038.2784764524</v>
      </c>
      <c r="O43" s="162">
        <v>5379</v>
      </c>
      <c r="P43" s="162">
        <v>79220.36</v>
      </c>
      <c r="Q43" s="162">
        <v>7223</v>
      </c>
      <c r="R43" s="162">
        <v>1005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76">
        <v>290.33327359999998</v>
      </c>
      <c r="AE43" s="165">
        <f>N43*Forutsetninger!$C$30</f>
        <v>19084.49862808664</v>
      </c>
      <c r="AF43" s="165">
        <f t="shared" si="17"/>
        <v>2097.0772352127997</v>
      </c>
      <c r="AG43" s="165">
        <f>S43*Forutsetninger!$C$24</f>
        <v>0</v>
      </c>
      <c r="AH43" s="165">
        <f>AE43+O43+AF43+R43*Forutsetninger!$C$24-AG43</f>
        <v>27620.850863299442</v>
      </c>
      <c r="AI43" s="165">
        <f>AH43+P43*Forutsetninger!$B$6</f>
        <v>32469.136895299442</v>
      </c>
      <c r="AJ43" s="165">
        <f>T43*Forutsetninger!$C$30</f>
        <v>0</v>
      </c>
      <c r="AK43" s="165">
        <f t="shared" si="18"/>
        <v>0</v>
      </c>
      <c r="AL43" s="165">
        <f>AJ43+U43+AK43+X43*Forutsetninger!$C$24</f>
        <v>0</v>
      </c>
      <c r="AM43" s="164">
        <f>(T43)*Forutsetninger!$C$30+X43*Forutsetninger!$C$24+U43+V43*Forutsetninger!$B$6</f>
        <v>0</v>
      </c>
      <c r="AN43" s="164">
        <f>Y43*Forutsetninger!$C$30+Z43+AA43*Forutsetninger!$B$6+AC43*Forutsetninger!$C$24</f>
        <v>0</v>
      </c>
    </row>
    <row r="44" spans="1:40" s="62" customFormat="1" ht="12.75" x14ac:dyDescent="0.2">
      <c r="A44">
        <v>1212015</v>
      </c>
      <c r="B44" t="s">
        <v>226</v>
      </c>
      <c r="C44" s="170">
        <v>2015</v>
      </c>
      <c r="D44" s="145">
        <f t="shared" si="8"/>
        <v>1356.4033787902099</v>
      </c>
      <c r="E44" s="146">
        <v>0</v>
      </c>
      <c r="F44" s="41">
        <f t="shared" si="9"/>
        <v>1356.4033787902099</v>
      </c>
      <c r="G44" s="42">
        <f t="shared" si="19"/>
        <v>719</v>
      </c>
      <c r="H44" s="41">
        <f t="shared" si="11"/>
        <v>11682</v>
      </c>
      <c r="I44" s="42">
        <f t="shared" si="12"/>
        <v>11798.82</v>
      </c>
      <c r="J44" s="41">
        <f t="shared" si="13"/>
        <v>2391</v>
      </c>
      <c r="K44" s="41">
        <f t="shared" si="14"/>
        <v>0</v>
      </c>
      <c r="L44" s="41">
        <f t="shared" si="15"/>
        <v>0</v>
      </c>
      <c r="M44" s="42">
        <f t="shared" si="16"/>
        <v>147</v>
      </c>
      <c r="N44" s="162">
        <v>1356.4033787902099</v>
      </c>
      <c r="O44" s="162">
        <v>719</v>
      </c>
      <c r="P44" s="162">
        <v>11798.82</v>
      </c>
      <c r="Q44" s="162">
        <v>2391</v>
      </c>
      <c r="R44" s="162">
        <v>147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76">
        <v>286.91705400000001</v>
      </c>
      <c r="AE44" s="165">
        <f>N44*Forutsetninger!$C$30</f>
        <v>1435.0747747600421</v>
      </c>
      <c r="AF44" s="165">
        <f t="shared" si="17"/>
        <v>686.01867611400007</v>
      </c>
      <c r="AG44" s="165">
        <f>S44*Forutsetninger!$C$24</f>
        <v>0</v>
      </c>
      <c r="AH44" s="165">
        <f>AE44+O44+AF44+R44*Forutsetninger!$C$24-AG44</f>
        <v>2995.178450874042</v>
      </c>
      <c r="AI44" s="165">
        <f>AH44+P44*Forutsetninger!$B$6</f>
        <v>3717.2662348740419</v>
      </c>
      <c r="AJ44" s="165">
        <f>T44*Forutsetninger!$C$30</f>
        <v>0</v>
      </c>
      <c r="AK44" s="165">
        <f t="shared" si="18"/>
        <v>0</v>
      </c>
      <c r="AL44" s="165">
        <f>AJ44+U44+AK44+X44*Forutsetninger!$C$24</f>
        <v>0</v>
      </c>
      <c r="AM44" s="164">
        <f>(T44)*Forutsetninger!$C$30+X44*Forutsetninger!$C$24+U44+V44*Forutsetninger!$B$6</f>
        <v>0</v>
      </c>
      <c r="AN44" s="164">
        <f>Y44*Forutsetninger!$C$30+Z44+AA44*Forutsetninger!$B$6+AC44*Forutsetninger!$C$24</f>
        <v>0</v>
      </c>
    </row>
    <row r="45" spans="1:40" s="62" customFormat="1" ht="12.75" x14ac:dyDescent="0.2">
      <c r="A45">
        <v>1322015</v>
      </c>
      <c r="B45" t="s">
        <v>227</v>
      </c>
      <c r="C45" s="170">
        <v>2015</v>
      </c>
      <c r="D45" s="145">
        <f t="shared" si="8"/>
        <v>38108.961930195161</v>
      </c>
      <c r="E45" s="146">
        <v>0</v>
      </c>
      <c r="F45" s="41">
        <f t="shared" si="9"/>
        <v>38108.961930195161</v>
      </c>
      <c r="G45" s="42">
        <f t="shared" si="19"/>
        <v>13218</v>
      </c>
      <c r="H45" s="42">
        <f t="shared" si="11"/>
        <v>197452</v>
      </c>
      <c r="I45" s="42">
        <f t="shared" si="12"/>
        <v>199426.52000000002</v>
      </c>
      <c r="J45" s="41">
        <f t="shared" si="13"/>
        <v>8130</v>
      </c>
      <c r="K45" s="41">
        <f t="shared" si="14"/>
        <v>20821</v>
      </c>
      <c r="L45" s="41">
        <f t="shared" si="15"/>
        <v>0</v>
      </c>
      <c r="M45" s="42">
        <f t="shared" si="16"/>
        <v>4144</v>
      </c>
      <c r="N45" s="162">
        <v>31728.743254604698</v>
      </c>
      <c r="O45" s="162">
        <v>6378</v>
      </c>
      <c r="P45" s="162">
        <v>94052.21</v>
      </c>
      <c r="Q45" s="162">
        <v>8130</v>
      </c>
      <c r="R45" s="162">
        <v>3170</v>
      </c>
      <c r="S45" s="162">
        <v>0</v>
      </c>
      <c r="T45" s="162">
        <v>6380.2186755904604</v>
      </c>
      <c r="U45" s="162">
        <v>6840</v>
      </c>
      <c r="V45" s="162">
        <v>105374.31</v>
      </c>
      <c r="W45" s="162">
        <v>20821</v>
      </c>
      <c r="X45" s="162">
        <v>974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76">
        <v>257.06098230000003</v>
      </c>
      <c r="AE45" s="165">
        <f>N45*Forutsetninger!$C$30</f>
        <v>33569.010363371774</v>
      </c>
      <c r="AF45" s="165">
        <f t="shared" si="17"/>
        <v>2089.9057860990006</v>
      </c>
      <c r="AG45" s="165">
        <f>S45*Forutsetninger!$C$24</f>
        <v>0</v>
      </c>
      <c r="AH45" s="165">
        <f>AE45+O45+AF45+R45*Forutsetninger!$C$24-AG45</f>
        <v>45381.266149470772</v>
      </c>
      <c r="AI45" s="165">
        <f>AH45+P45*Forutsetninger!$B$6</f>
        <v>51137.261401470772</v>
      </c>
      <c r="AJ45" s="165">
        <f>T45*Forutsetninger!$C$30</f>
        <v>6750.2713587747076</v>
      </c>
      <c r="AK45" s="165">
        <f t="shared" si="18"/>
        <v>5352.2667124683012</v>
      </c>
      <c r="AL45" s="165">
        <f>AJ45+U45+AK45+X45*Forutsetninger!$C$24</f>
        <v>19970.108071243008</v>
      </c>
      <c r="AM45" s="164">
        <f>(T45)*Forutsetninger!$C$30+X45*Forutsetninger!$C$24+U45+V45*Forutsetninger!$B$6</f>
        <v>21066.749130774708</v>
      </c>
      <c r="AN45" s="164">
        <f>Y45*Forutsetninger!$C$30+Z45+AA45*Forutsetninger!$B$6+AC45*Forutsetninger!$C$24</f>
        <v>0</v>
      </c>
    </row>
    <row r="46" spans="1:40" s="62" customFormat="1" ht="12.75" x14ac:dyDescent="0.2">
      <c r="A46">
        <v>1332015</v>
      </c>
      <c r="B46" t="s">
        <v>228</v>
      </c>
      <c r="C46" s="170">
        <v>2015</v>
      </c>
      <c r="D46" s="145">
        <f t="shared" si="8"/>
        <v>43508.893469374379</v>
      </c>
      <c r="E46" s="146">
        <v>0</v>
      </c>
      <c r="F46" s="41">
        <f t="shared" si="9"/>
        <v>43508.893469374379</v>
      </c>
      <c r="G46" s="42">
        <f t="shared" si="19"/>
        <v>18861</v>
      </c>
      <c r="H46" s="42">
        <f t="shared" si="11"/>
        <v>208685</v>
      </c>
      <c r="I46" s="42">
        <f t="shared" si="12"/>
        <v>210771.84999999998</v>
      </c>
      <c r="J46" s="42">
        <f t="shared" si="13"/>
        <v>13024</v>
      </c>
      <c r="K46" s="42">
        <f t="shared" si="14"/>
        <v>6426</v>
      </c>
      <c r="L46" s="41">
        <f t="shared" si="15"/>
        <v>0</v>
      </c>
      <c r="M46" s="42">
        <f t="shared" si="16"/>
        <v>3854</v>
      </c>
      <c r="N46" s="162">
        <v>38479.709288872997</v>
      </c>
      <c r="O46" s="162">
        <v>13032</v>
      </c>
      <c r="P46" s="162">
        <v>143227.09</v>
      </c>
      <c r="Q46" s="162">
        <v>13024</v>
      </c>
      <c r="R46" s="162">
        <v>3516</v>
      </c>
      <c r="S46" s="162">
        <v>0</v>
      </c>
      <c r="T46" s="162">
        <v>5029.1841805013801</v>
      </c>
      <c r="U46" s="162">
        <v>5829</v>
      </c>
      <c r="V46" s="162">
        <v>67544.759999999995</v>
      </c>
      <c r="W46" s="162">
        <v>6426</v>
      </c>
      <c r="X46" s="162">
        <v>338</v>
      </c>
      <c r="Y46" s="162">
        <v>0</v>
      </c>
      <c r="Z46" s="162">
        <v>0</v>
      </c>
      <c r="AA46" s="162">
        <v>0</v>
      </c>
      <c r="AB46" s="162">
        <v>0</v>
      </c>
      <c r="AC46" s="162">
        <v>0</v>
      </c>
      <c r="AD46" s="176">
        <v>257.06098230000003</v>
      </c>
      <c r="AE46" s="165">
        <f>N46*Forutsetninger!$C$30</f>
        <v>40711.53242762763</v>
      </c>
      <c r="AF46" s="166">
        <f t="shared" si="17"/>
        <v>3347.9622334752003</v>
      </c>
      <c r="AG46" s="165">
        <f>S46*Forutsetninger!$C$24</f>
        <v>0</v>
      </c>
      <c r="AH46" s="165">
        <f>AE46+O46+AF46+R46*Forutsetninger!$C$24-AG46</f>
        <v>60800.874661102825</v>
      </c>
      <c r="AI46" s="166">
        <f>AH46+P46*Forutsetninger!$B$6</f>
        <v>69566.372569102823</v>
      </c>
      <c r="AJ46" s="165">
        <f>T46*Forutsetninger!$C$30</f>
        <v>5320.87686297046</v>
      </c>
      <c r="AK46" s="166">
        <f t="shared" si="18"/>
        <v>1651.8738722598002</v>
      </c>
      <c r="AL46" s="165">
        <f>AJ46+U46+AK46+X46*Forutsetninger!$C$24</f>
        <v>13158.340735230262</v>
      </c>
      <c r="AM46" s="164">
        <f>(T46)*Forutsetninger!$C$30+X46*Forutsetninger!$C$24+U46+V46*Forutsetninger!$B$6</f>
        <v>15640.206174970461</v>
      </c>
      <c r="AN46" s="164">
        <f>Y46*Forutsetninger!$C$30+Z46+AA46*Forutsetninger!$B$6+AC46*Forutsetninger!$C$24</f>
        <v>0</v>
      </c>
    </row>
    <row r="47" spans="1:40" s="62" customFormat="1" ht="12.75" x14ac:dyDescent="0.2">
      <c r="A47">
        <v>1352015</v>
      </c>
      <c r="B47" t="s">
        <v>167</v>
      </c>
      <c r="C47" s="170">
        <v>2015</v>
      </c>
      <c r="D47" s="145">
        <f t="shared" si="8"/>
        <v>46378.879654919903</v>
      </c>
      <c r="E47" s="146">
        <v>0</v>
      </c>
      <c r="F47" s="41">
        <f t="shared" si="9"/>
        <v>46378.879654919903</v>
      </c>
      <c r="G47" s="42">
        <f t="shared" si="19"/>
        <v>13510</v>
      </c>
      <c r="H47" s="41">
        <f t="shared" si="11"/>
        <v>186965</v>
      </c>
      <c r="I47" s="42">
        <f t="shared" si="12"/>
        <v>188834.65000000002</v>
      </c>
      <c r="J47" s="41">
        <f t="shared" si="13"/>
        <v>16130</v>
      </c>
      <c r="K47" s="41">
        <f t="shared" si="14"/>
        <v>0</v>
      </c>
      <c r="L47" s="41">
        <f t="shared" si="15"/>
        <v>0</v>
      </c>
      <c r="M47" s="42">
        <f t="shared" si="16"/>
        <v>1516</v>
      </c>
      <c r="N47" s="162">
        <v>46378.879654919903</v>
      </c>
      <c r="O47" s="162">
        <v>13430</v>
      </c>
      <c r="P47" s="162">
        <v>188413.48</v>
      </c>
      <c r="Q47" s="162">
        <v>16130</v>
      </c>
      <c r="R47" s="162">
        <v>1516</v>
      </c>
      <c r="S47" s="162">
        <v>65.8</v>
      </c>
      <c r="T47" s="162">
        <v>0</v>
      </c>
      <c r="U47" s="162">
        <v>80</v>
      </c>
      <c r="V47" s="162">
        <v>421.17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76">
        <v>286.91705400000001</v>
      </c>
      <c r="AE47" s="165">
        <f>N47*Forutsetninger!$C$30</f>
        <v>49068.854674905262</v>
      </c>
      <c r="AF47" s="165">
        <f t="shared" si="17"/>
        <v>4627.9720810200006</v>
      </c>
      <c r="AG47" s="165">
        <f>S47*Forutsetninger!$C$24</f>
        <v>69.418999999999997</v>
      </c>
      <c r="AH47" s="165">
        <f>AE47+O47+AF47+R47*Forutsetninger!$C$24-AG47</f>
        <v>68656.787755925267</v>
      </c>
      <c r="AI47" s="165">
        <f>AH47+P47*Forutsetninger!$B$6</f>
        <v>80187.692731925272</v>
      </c>
      <c r="AJ47" s="165">
        <f>T47*Forutsetninger!$C$30</f>
        <v>0</v>
      </c>
      <c r="AK47" s="165">
        <f t="shared" si="18"/>
        <v>0</v>
      </c>
      <c r="AL47" s="165">
        <f>AJ47+U47+AK47+X47*Forutsetninger!$C$24</f>
        <v>80</v>
      </c>
      <c r="AM47" s="164">
        <f>(T47)*Forutsetninger!$C$30+X47*Forutsetninger!$C$24+U47+V47*Forutsetninger!$B$6</f>
        <v>105.775604</v>
      </c>
      <c r="AN47" s="164">
        <f>Y47*Forutsetninger!$C$30+Z47+AA47*Forutsetninger!$B$6+AC47*Forutsetninger!$C$24</f>
        <v>0</v>
      </c>
    </row>
    <row r="48" spans="1:40" s="62" customFormat="1" ht="12.75" x14ac:dyDescent="0.2">
      <c r="A48">
        <v>1382015</v>
      </c>
      <c r="B48" t="s">
        <v>229</v>
      </c>
      <c r="C48" s="170">
        <v>2015</v>
      </c>
      <c r="D48" s="145">
        <f t="shared" si="8"/>
        <v>15171.951207457223</v>
      </c>
      <c r="E48" s="146">
        <v>0</v>
      </c>
      <c r="F48" s="41">
        <f t="shared" si="9"/>
        <v>15171.951207457223</v>
      </c>
      <c r="G48" s="42">
        <f t="shared" si="19"/>
        <v>3363</v>
      </c>
      <c r="H48" s="41">
        <f t="shared" si="11"/>
        <v>45288</v>
      </c>
      <c r="I48" s="42">
        <f t="shared" si="12"/>
        <v>45740.880000000005</v>
      </c>
      <c r="J48" s="41">
        <f t="shared" si="13"/>
        <v>5792</v>
      </c>
      <c r="K48" s="41">
        <f t="shared" si="14"/>
        <v>10051</v>
      </c>
      <c r="L48" s="41">
        <f t="shared" si="15"/>
        <v>0</v>
      </c>
      <c r="M48" s="42">
        <f t="shared" si="16"/>
        <v>1996</v>
      </c>
      <c r="N48" s="162">
        <v>14622.726581183701</v>
      </c>
      <c r="O48" s="162">
        <v>1993</v>
      </c>
      <c r="P48" s="162">
        <v>25424.73</v>
      </c>
      <c r="Q48" s="162">
        <v>5792</v>
      </c>
      <c r="R48" s="162">
        <v>1334</v>
      </c>
      <c r="S48" s="162">
        <v>0</v>
      </c>
      <c r="T48" s="162">
        <v>549.22462627352195</v>
      </c>
      <c r="U48" s="162">
        <v>1370</v>
      </c>
      <c r="V48" s="162">
        <v>20316.150000000001</v>
      </c>
      <c r="W48" s="162">
        <v>10051</v>
      </c>
      <c r="X48" s="162">
        <v>662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76">
        <v>257.06098230000003</v>
      </c>
      <c r="AE48" s="165">
        <f>N48*Forutsetninger!$C$30</f>
        <v>15470.844722892356</v>
      </c>
      <c r="AF48" s="165">
        <f t="shared" si="17"/>
        <v>1488.8972094816002</v>
      </c>
      <c r="AG48" s="165">
        <f>S48*Forutsetninger!$C$24</f>
        <v>0</v>
      </c>
      <c r="AH48" s="165">
        <f>AE48+O48+AF48+R48*Forutsetninger!$C$24-AG48</f>
        <v>20360.111932373955</v>
      </c>
      <c r="AI48" s="165">
        <f>AH48+P48*Forutsetninger!$B$6</f>
        <v>21916.105408373955</v>
      </c>
      <c r="AJ48" s="165">
        <f>T48*Forutsetninger!$C$30</f>
        <v>581.07965459738625</v>
      </c>
      <c r="AK48" s="165">
        <f t="shared" si="18"/>
        <v>2583.7199330973003</v>
      </c>
      <c r="AL48" s="165">
        <f>AJ48+U48+AK48+X48*Forutsetninger!$C$24</f>
        <v>5233.209587694686</v>
      </c>
      <c r="AM48" s="164">
        <f>(T48)*Forutsetninger!$C$30+X48*Forutsetninger!$C$24+U48+V48*Forutsetninger!$B$6</f>
        <v>3892.8380345973865</v>
      </c>
      <c r="AN48" s="164">
        <f>Y48*Forutsetninger!$C$30+Z48+AA48*Forutsetninger!$B$6+AC48*Forutsetninger!$C$24</f>
        <v>0</v>
      </c>
    </row>
    <row r="49" spans="1:40" s="62" customFormat="1" ht="12.75" x14ac:dyDescent="0.2">
      <c r="A49">
        <v>1462015</v>
      </c>
      <c r="B49" t="s">
        <v>230</v>
      </c>
      <c r="C49" s="170">
        <v>2015</v>
      </c>
      <c r="D49" s="145">
        <f t="shared" si="8"/>
        <v>28219.80280350399</v>
      </c>
      <c r="E49" s="146">
        <v>0</v>
      </c>
      <c r="F49" s="41">
        <f t="shared" si="9"/>
        <v>28219.80280350399</v>
      </c>
      <c r="G49" s="42">
        <f t="shared" si="19"/>
        <v>8790</v>
      </c>
      <c r="H49" s="42">
        <f t="shared" si="11"/>
        <v>254970</v>
      </c>
      <c r="I49" s="42">
        <f t="shared" si="12"/>
        <v>257519.69999999998</v>
      </c>
      <c r="J49" s="41">
        <f t="shared" si="13"/>
        <v>6829</v>
      </c>
      <c r="K49" s="41">
        <f t="shared" si="14"/>
        <v>14427</v>
      </c>
      <c r="L49" s="41">
        <f t="shared" si="15"/>
        <v>0</v>
      </c>
      <c r="M49" s="42">
        <f t="shared" si="16"/>
        <v>1497</v>
      </c>
      <c r="N49" s="162">
        <v>17902.0730749248</v>
      </c>
      <c r="O49" s="162">
        <v>6008</v>
      </c>
      <c r="P49" s="162">
        <v>140385.96</v>
      </c>
      <c r="Q49" s="162">
        <v>6829</v>
      </c>
      <c r="R49" s="162">
        <v>1497</v>
      </c>
      <c r="S49" s="162">
        <v>2138.77</v>
      </c>
      <c r="T49" s="162">
        <v>10111.7092813171</v>
      </c>
      <c r="U49" s="162">
        <v>2193</v>
      </c>
      <c r="V49" s="162">
        <v>86247.94</v>
      </c>
      <c r="W49" s="162">
        <v>14427</v>
      </c>
      <c r="X49" s="162">
        <v>0</v>
      </c>
      <c r="Y49" s="162">
        <v>206.02044726208999</v>
      </c>
      <c r="Z49" s="162">
        <v>589</v>
      </c>
      <c r="AA49" s="162">
        <v>30885.8</v>
      </c>
      <c r="AB49" s="162">
        <v>0</v>
      </c>
      <c r="AC49" s="162">
        <v>0</v>
      </c>
      <c r="AD49" s="176">
        <v>284.7804931</v>
      </c>
      <c r="AE49" s="165">
        <f>N49*Forutsetninger!$C$30</f>
        <v>18940.393313270441</v>
      </c>
      <c r="AF49" s="165">
        <f t="shared" si="17"/>
        <v>1944.7659873799</v>
      </c>
      <c r="AG49" s="165">
        <f>S49*Forutsetninger!$C$24</f>
        <v>2256.4023499999998</v>
      </c>
      <c r="AH49" s="165">
        <f>AE49+O49+AF49+R49*Forutsetninger!$C$24-AG49</f>
        <v>26216.091950650338</v>
      </c>
      <c r="AI49" s="165">
        <f>AH49+P49*Forutsetninger!$B$6</f>
        <v>34807.712702650337</v>
      </c>
      <c r="AJ49" s="165">
        <f>T49*Forutsetninger!$C$30</f>
        <v>10698.188419633492</v>
      </c>
      <c r="AK49" s="165">
        <f t="shared" si="18"/>
        <v>4108.5281739536995</v>
      </c>
      <c r="AL49" s="165">
        <f>AJ49+U49+AK49+X49*Forutsetninger!$C$24</f>
        <v>16999.716593587193</v>
      </c>
      <c r="AM49" s="164">
        <f>(T49)*Forutsetninger!$C$30+X49*Forutsetninger!$C$24+U49+V49*Forutsetninger!$B$6</f>
        <v>18169.562347633491</v>
      </c>
      <c r="AN49" s="164">
        <f>Y49*Forutsetninger!$C$30+Z49+AA49*Forutsetninger!$B$6+AC49*Forutsetninger!$C$24</f>
        <v>2697.1805932032912</v>
      </c>
    </row>
    <row r="50" spans="1:40" s="62" customFormat="1" ht="12.75" x14ac:dyDescent="0.2">
      <c r="A50">
        <v>1472015</v>
      </c>
      <c r="B50" t="s">
        <v>168</v>
      </c>
      <c r="C50" s="170">
        <v>2015</v>
      </c>
      <c r="D50" s="145">
        <f t="shared" si="8"/>
        <v>7653.3428154489266</v>
      </c>
      <c r="E50" s="146">
        <v>0</v>
      </c>
      <c r="F50" s="41">
        <f t="shared" si="9"/>
        <v>7653.3428154489266</v>
      </c>
      <c r="G50" s="42">
        <f t="shared" si="19"/>
        <v>1739</v>
      </c>
      <c r="H50" s="41">
        <f t="shared" si="11"/>
        <v>18721</v>
      </c>
      <c r="I50" s="42">
        <f t="shared" si="12"/>
        <v>18908.21</v>
      </c>
      <c r="J50" s="41">
        <f t="shared" si="13"/>
        <v>1576</v>
      </c>
      <c r="K50" s="41">
        <f t="shared" si="14"/>
        <v>286</v>
      </c>
      <c r="L50" s="41">
        <f t="shared" si="15"/>
        <v>0</v>
      </c>
      <c r="M50" s="42">
        <f t="shared" si="16"/>
        <v>568</v>
      </c>
      <c r="N50" s="162">
        <v>7497.8745086665904</v>
      </c>
      <c r="O50" s="162">
        <v>1582</v>
      </c>
      <c r="P50" s="162">
        <v>18049.71</v>
      </c>
      <c r="Q50" s="162">
        <v>1576</v>
      </c>
      <c r="R50" s="162">
        <v>568</v>
      </c>
      <c r="S50" s="162">
        <v>0</v>
      </c>
      <c r="T50" s="162">
        <v>155.46830678233599</v>
      </c>
      <c r="U50" s="162">
        <v>157</v>
      </c>
      <c r="V50" s="162">
        <v>858.5</v>
      </c>
      <c r="W50" s="162">
        <v>286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76">
        <v>257.06098230000003</v>
      </c>
      <c r="AE50" s="165">
        <f>N50*Forutsetninger!$C$30</f>
        <v>7932.7512301692532</v>
      </c>
      <c r="AF50" s="165">
        <f t="shared" si="17"/>
        <v>405.12810810480005</v>
      </c>
      <c r="AG50" s="165">
        <f>S50*Forutsetninger!$C$24</f>
        <v>0</v>
      </c>
      <c r="AH50" s="165">
        <f>AE50+O50+AF50+R50*Forutsetninger!$C$24-AG50</f>
        <v>10519.119338274053</v>
      </c>
      <c r="AI50" s="165">
        <f>AH50+P50*Forutsetninger!$B$6</f>
        <v>11623.761590274053</v>
      </c>
      <c r="AJ50" s="165">
        <f>T50*Forutsetninger!$C$30</f>
        <v>164.48546857571148</v>
      </c>
      <c r="AK50" s="165">
        <f t="shared" si="18"/>
        <v>73.519440937800013</v>
      </c>
      <c r="AL50" s="165">
        <f>AJ50+U50+AK50+X50*Forutsetninger!$C$24</f>
        <v>395.00490951351151</v>
      </c>
      <c r="AM50" s="164">
        <f>(T50)*Forutsetninger!$C$30+X50*Forutsetninger!$C$24+U50+V50*Forutsetninger!$B$6</f>
        <v>374.02566857571151</v>
      </c>
      <c r="AN50" s="164">
        <f>Y50*Forutsetninger!$C$30+Z50+AA50*Forutsetninger!$B$6+AC50*Forutsetninger!$C$24</f>
        <v>0</v>
      </c>
    </row>
    <row r="51" spans="1:40" s="62" customFormat="1" ht="12.75" x14ac:dyDescent="0.2">
      <c r="A51">
        <v>1492015</v>
      </c>
      <c r="B51" t="s">
        <v>231</v>
      </c>
      <c r="C51" s="170">
        <v>2015</v>
      </c>
      <c r="D51" s="145">
        <f t="shared" si="8"/>
        <v>16515.090742278899</v>
      </c>
      <c r="E51" s="146">
        <v>0</v>
      </c>
      <c r="F51" s="41">
        <f t="shared" si="9"/>
        <v>16515.090742278899</v>
      </c>
      <c r="G51" s="42">
        <f t="shared" si="19"/>
        <v>6712</v>
      </c>
      <c r="H51" s="42">
        <f t="shared" si="11"/>
        <v>99145</v>
      </c>
      <c r="I51" s="42">
        <f t="shared" si="12"/>
        <v>100136.45</v>
      </c>
      <c r="J51" s="41">
        <f t="shared" si="13"/>
        <v>6167</v>
      </c>
      <c r="K51" s="41">
        <f t="shared" si="14"/>
        <v>0</v>
      </c>
      <c r="L51" s="41">
        <f t="shared" si="15"/>
        <v>0</v>
      </c>
      <c r="M51" s="42">
        <f t="shared" si="16"/>
        <v>944</v>
      </c>
      <c r="N51" s="162">
        <v>16515.090742278899</v>
      </c>
      <c r="O51" s="162">
        <v>6712</v>
      </c>
      <c r="P51" s="162">
        <v>100136.45</v>
      </c>
      <c r="Q51" s="162">
        <v>6167</v>
      </c>
      <c r="R51" s="162">
        <v>944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76">
        <v>290.33327359999998</v>
      </c>
      <c r="AE51" s="165">
        <f>N51*Forutsetninger!$C$30</f>
        <v>17472.966005331076</v>
      </c>
      <c r="AF51" s="165">
        <f t="shared" si="17"/>
        <v>1790.4852982911998</v>
      </c>
      <c r="AG51" s="165">
        <f>S51*Forutsetninger!$C$24</f>
        <v>0</v>
      </c>
      <c r="AH51" s="165">
        <f>AE51+O51+AF51+R51*Forutsetninger!$C$24-AG51</f>
        <v>26971.371303622276</v>
      </c>
      <c r="AI51" s="165">
        <f>AH51+P51*Forutsetninger!$B$6</f>
        <v>33099.722043622278</v>
      </c>
      <c r="AJ51" s="165">
        <f>T51*Forutsetninger!$C$30</f>
        <v>0</v>
      </c>
      <c r="AK51" s="165">
        <f t="shared" si="18"/>
        <v>0</v>
      </c>
      <c r="AL51" s="165">
        <f>AJ51+U51+AK51+X51*Forutsetninger!$C$24</f>
        <v>0</v>
      </c>
      <c r="AM51" s="164">
        <f>(T51)*Forutsetninger!$C$30+X51*Forutsetninger!$C$24+U51+V51*Forutsetninger!$B$6</f>
        <v>0</v>
      </c>
      <c r="AN51" s="164">
        <f>Y51*Forutsetninger!$C$30+Z51+AA51*Forutsetninger!$B$6+AC51*Forutsetninger!$C$24</f>
        <v>0</v>
      </c>
    </row>
    <row r="52" spans="1:40" s="62" customFormat="1" ht="12.75" x14ac:dyDescent="0.2">
      <c r="A52">
        <v>1522015</v>
      </c>
      <c r="B52" t="s">
        <v>232</v>
      </c>
      <c r="C52" s="170">
        <v>2015</v>
      </c>
      <c r="D52" s="145">
        <f t="shared" si="8"/>
        <v>833</v>
      </c>
      <c r="E52" s="146">
        <v>0</v>
      </c>
      <c r="F52" s="41">
        <f t="shared" si="9"/>
        <v>833</v>
      </c>
      <c r="G52" s="42">
        <f t="shared" si="19"/>
        <v>265</v>
      </c>
      <c r="H52" s="41">
        <f t="shared" si="11"/>
        <v>3168</v>
      </c>
      <c r="I52" s="42">
        <f t="shared" si="12"/>
        <v>3199.68</v>
      </c>
      <c r="J52" s="41">
        <f t="shared" si="13"/>
        <v>0</v>
      </c>
      <c r="K52" s="41">
        <f t="shared" si="14"/>
        <v>0</v>
      </c>
      <c r="L52" s="41">
        <f t="shared" si="15"/>
        <v>0</v>
      </c>
      <c r="M52" s="42">
        <f t="shared" si="16"/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833</v>
      </c>
      <c r="U52" s="162">
        <v>265</v>
      </c>
      <c r="V52" s="162">
        <v>3199.68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0</v>
      </c>
      <c r="AD52" s="176">
        <v>290.33327359999998</v>
      </c>
      <c r="AE52" s="165">
        <f>N52*Forutsetninger!$C$30</f>
        <v>0</v>
      </c>
      <c r="AF52" s="165">
        <f t="shared" si="17"/>
        <v>0</v>
      </c>
      <c r="AG52" s="165">
        <f>S52*Forutsetninger!$C$24</f>
        <v>0</v>
      </c>
      <c r="AH52" s="165">
        <f>AE52+O52+AF52+R52*Forutsetninger!$C$24-AG52</f>
        <v>0</v>
      </c>
      <c r="AI52" s="165">
        <f>AH52+P52*Forutsetninger!$B$6</f>
        <v>0</v>
      </c>
      <c r="AJ52" s="165">
        <f>T52*Forutsetninger!$C$30</f>
        <v>881.31400000000008</v>
      </c>
      <c r="AK52" s="165">
        <f t="shared" si="18"/>
        <v>0</v>
      </c>
      <c r="AL52" s="165">
        <f>AJ52+U52+AK52+X52*Forutsetninger!$C$24</f>
        <v>1146.3140000000001</v>
      </c>
      <c r="AM52" s="164">
        <f>(T52)*Forutsetninger!$C$30+X52*Forutsetninger!$C$24+U52+V52*Forutsetninger!$B$6</f>
        <v>1342.1344160000001</v>
      </c>
      <c r="AN52" s="164">
        <f>Y52*Forutsetninger!$C$30+Z52+AA52*Forutsetninger!$B$6+AC52*Forutsetninger!$C$24</f>
        <v>0</v>
      </c>
    </row>
    <row r="53" spans="1:40" s="62" customFormat="1" ht="12.75" x14ac:dyDescent="0.2">
      <c r="A53">
        <v>1532015</v>
      </c>
      <c r="B53" t="s">
        <v>233</v>
      </c>
      <c r="C53" s="170">
        <v>2015</v>
      </c>
      <c r="D53" s="145">
        <f t="shared" si="8"/>
        <v>15568.8088815337</v>
      </c>
      <c r="E53" s="146">
        <v>0</v>
      </c>
      <c r="F53" s="41">
        <f t="shared" si="9"/>
        <v>15568.8088815337</v>
      </c>
      <c r="G53" s="42">
        <f t="shared" si="19"/>
        <v>8531</v>
      </c>
      <c r="H53" s="42">
        <f t="shared" si="11"/>
        <v>112778</v>
      </c>
      <c r="I53" s="42">
        <f t="shared" si="12"/>
        <v>113905.78</v>
      </c>
      <c r="J53" s="41">
        <f t="shared" si="13"/>
        <v>8762</v>
      </c>
      <c r="K53" s="41">
        <f t="shared" si="14"/>
        <v>0</v>
      </c>
      <c r="L53" s="41">
        <f t="shared" si="15"/>
        <v>0</v>
      </c>
      <c r="M53" s="42">
        <f t="shared" si="16"/>
        <v>446</v>
      </c>
      <c r="N53" s="162">
        <v>15568.8088815337</v>
      </c>
      <c r="O53" s="162">
        <v>8531</v>
      </c>
      <c r="P53" s="162">
        <v>113905.78</v>
      </c>
      <c r="Q53" s="162">
        <v>8762</v>
      </c>
      <c r="R53" s="162">
        <v>446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0</v>
      </c>
      <c r="AD53" s="176">
        <v>290.33327359999998</v>
      </c>
      <c r="AE53" s="165">
        <f>N53*Forutsetninger!$C$30</f>
        <v>16471.799796662654</v>
      </c>
      <c r="AF53" s="165">
        <f t="shared" si="17"/>
        <v>2543.9001432832001</v>
      </c>
      <c r="AG53" s="165">
        <f>S53*Forutsetninger!$C$24</f>
        <v>0</v>
      </c>
      <c r="AH53" s="165">
        <f>AE53+O53+AF53+R53*Forutsetninger!$C$24-AG53</f>
        <v>28017.229939945853</v>
      </c>
      <c r="AI53" s="165">
        <f>AH53+P53*Forutsetninger!$B$6</f>
        <v>34988.263675945855</v>
      </c>
      <c r="AJ53" s="165">
        <f>T53*Forutsetninger!$C$30</f>
        <v>0</v>
      </c>
      <c r="AK53" s="165">
        <f t="shared" si="18"/>
        <v>0</v>
      </c>
      <c r="AL53" s="165">
        <f>AJ53+U53+AK53+X53*Forutsetninger!$C$24</f>
        <v>0</v>
      </c>
      <c r="AM53" s="164">
        <f>(T53)*Forutsetninger!$C$30+X53*Forutsetninger!$C$24+U53+V53*Forutsetninger!$B$6</f>
        <v>0</v>
      </c>
      <c r="AN53" s="164">
        <f>Y53*Forutsetninger!$C$30+Z53+AA53*Forutsetninger!$B$6+AC53*Forutsetninger!$C$24</f>
        <v>0</v>
      </c>
    </row>
    <row r="54" spans="1:40" s="62" customFormat="1" ht="12.75" x14ac:dyDescent="0.2">
      <c r="A54">
        <v>1562015</v>
      </c>
      <c r="B54" t="s">
        <v>169</v>
      </c>
      <c r="C54" s="170">
        <v>2015</v>
      </c>
      <c r="D54" s="145">
        <f t="shared" si="8"/>
        <v>168.79037085859201</v>
      </c>
      <c r="E54" s="146">
        <v>0</v>
      </c>
      <c r="F54" s="41">
        <f t="shared" si="9"/>
        <v>168.79037085859201</v>
      </c>
      <c r="G54" s="42">
        <f t="shared" si="19"/>
        <v>251</v>
      </c>
      <c r="H54" s="41">
        <f t="shared" si="11"/>
        <v>1385</v>
      </c>
      <c r="I54" s="42">
        <f t="shared" si="12"/>
        <v>1398.85</v>
      </c>
      <c r="J54" s="41">
        <f t="shared" si="13"/>
        <v>0</v>
      </c>
      <c r="K54" s="41">
        <f t="shared" si="14"/>
        <v>0</v>
      </c>
      <c r="L54" s="41">
        <f t="shared" si="15"/>
        <v>0</v>
      </c>
      <c r="M54" s="42">
        <f t="shared" si="16"/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168.79037085859201</v>
      </c>
      <c r="U54" s="162">
        <v>251</v>
      </c>
      <c r="V54" s="162">
        <v>1398.85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76">
        <v>257.06098230000003</v>
      </c>
      <c r="AE54" s="165">
        <f>N54*Forutsetninger!$C$30</f>
        <v>0</v>
      </c>
      <c r="AF54" s="165">
        <f t="shared" si="17"/>
        <v>0</v>
      </c>
      <c r="AG54" s="165">
        <f>S54*Forutsetninger!$C$24</f>
        <v>0</v>
      </c>
      <c r="AH54" s="165">
        <f>AE54+O54+AF54+R54*Forutsetninger!$C$24-AG54</f>
        <v>0</v>
      </c>
      <c r="AI54" s="165">
        <f>AH54+P54*Forutsetninger!$B$6</f>
        <v>0</v>
      </c>
      <c r="AJ54" s="165">
        <f>T54*Forutsetninger!$C$30</f>
        <v>178.58021236839036</v>
      </c>
      <c r="AK54" s="165">
        <f t="shared" si="18"/>
        <v>0</v>
      </c>
      <c r="AL54" s="165">
        <f>AJ54+U54+AK54+X54*Forutsetninger!$C$24</f>
        <v>429.58021236839033</v>
      </c>
      <c r="AM54" s="164">
        <f>(T54)*Forutsetninger!$C$30+X54*Forutsetninger!$C$24+U54+V54*Forutsetninger!$B$6</f>
        <v>515.18983236839028</v>
      </c>
      <c r="AN54" s="164">
        <f>Y54*Forutsetninger!$C$30+Z54+AA54*Forutsetninger!$B$6+AC54*Forutsetninger!$C$24</f>
        <v>0</v>
      </c>
    </row>
    <row r="55" spans="1:40" s="62" customFormat="1" ht="12.75" x14ac:dyDescent="0.2">
      <c r="A55">
        <v>1572015</v>
      </c>
      <c r="B55" t="s">
        <v>234</v>
      </c>
      <c r="C55" s="170">
        <v>2015</v>
      </c>
      <c r="D55" s="145">
        <f t="shared" si="8"/>
        <v>12519.9740437336</v>
      </c>
      <c r="E55" s="146">
        <v>0</v>
      </c>
      <c r="F55" s="41">
        <f t="shared" si="9"/>
        <v>12519.9740437336</v>
      </c>
      <c r="G55" s="42">
        <f t="shared" si="19"/>
        <v>5200</v>
      </c>
      <c r="H55" s="41">
        <f t="shared" si="11"/>
        <v>68076</v>
      </c>
      <c r="I55" s="42">
        <f t="shared" si="12"/>
        <v>68756.759999999995</v>
      </c>
      <c r="J55" s="41">
        <f t="shared" si="13"/>
        <v>8110</v>
      </c>
      <c r="K55" s="41">
        <f t="shared" si="14"/>
        <v>0</v>
      </c>
      <c r="L55" s="41">
        <f t="shared" si="15"/>
        <v>0</v>
      </c>
      <c r="M55" s="42">
        <f t="shared" si="16"/>
        <v>440</v>
      </c>
      <c r="N55" s="162">
        <v>12519.9740437336</v>
      </c>
      <c r="O55" s="162">
        <v>5200</v>
      </c>
      <c r="P55" s="162">
        <v>68756.759999999995</v>
      </c>
      <c r="Q55" s="162">
        <v>8110</v>
      </c>
      <c r="R55" s="162">
        <v>440</v>
      </c>
      <c r="S55" s="162">
        <v>1118.74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76">
        <v>286.91705400000001</v>
      </c>
      <c r="AE55" s="165">
        <f>N55*Forutsetninger!$C$30</f>
        <v>13246.132538270151</v>
      </c>
      <c r="AF55" s="165">
        <f t="shared" si="17"/>
        <v>2326.8973079400002</v>
      </c>
      <c r="AG55" s="165">
        <f>S55*Forutsetninger!$C$24</f>
        <v>1180.2707</v>
      </c>
      <c r="AH55" s="165">
        <f>AE55+O55+AF55+R55*Forutsetninger!$C$24-AG55</f>
        <v>20056.959146210149</v>
      </c>
      <c r="AI55" s="165">
        <f>AH55+P55*Forutsetninger!$B$6</f>
        <v>24264.872858210147</v>
      </c>
      <c r="AJ55" s="165">
        <f>T55*Forutsetninger!$C$30</f>
        <v>0</v>
      </c>
      <c r="AK55" s="165">
        <f t="shared" si="18"/>
        <v>0</v>
      </c>
      <c r="AL55" s="165">
        <f>AJ55+U55+AK55+X55*Forutsetninger!$C$24</f>
        <v>0</v>
      </c>
      <c r="AM55" s="164">
        <f>(T55)*Forutsetninger!$C$30+X55*Forutsetninger!$C$24+U55+V55*Forutsetninger!$B$6</f>
        <v>0</v>
      </c>
      <c r="AN55" s="164">
        <f>Y55*Forutsetninger!$C$30+Z55+AA55*Forutsetninger!$B$6+AC55*Forutsetninger!$C$24</f>
        <v>0</v>
      </c>
    </row>
    <row r="56" spans="1:40" s="62" customFormat="1" ht="12.75" x14ac:dyDescent="0.2">
      <c r="A56">
        <v>1612015</v>
      </c>
      <c r="B56" t="s">
        <v>170</v>
      </c>
      <c r="C56" s="170">
        <v>2015</v>
      </c>
      <c r="D56" s="145">
        <f t="shared" si="8"/>
        <v>17398.677965630392</v>
      </c>
      <c r="E56" s="146">
        <v>0</v>
      </c>
      <c r="F56" s="41">
        <f t="shared" si="9"/>
        <v>17398.677965630392</v>
      </c>
      <c r="G56" s="42">
        <f t="shared" si="19"/>
        <v>3469</v>
      </c>
      <c r="H56" s="41">
        <f t="shared" si="11"/>
        <v>44847</v>
      </c>
      <c r="I56" s="42">
        <f t="shared" si="12"/>
        <v>45295.47</v>
      </c>
      <c r="J56" s="41">
        <f t="shared" si="13"/>
        <v>8040</v>
      </c>
      <c r="K56" s="41">
        <f t="shared" si="14"/>
        <v>900</v>
      </c>
      <c r="L56" s="41">
        <f t="shared" si="15"/>
        <v>0</v>
      </c>
      <c r="M56" s="42">
        <f t="shared" si="16"/>
        <v>469</v>
      </c>
      <c r="N56" s="162">
        <v>16279.3540806362</v>
      </c>
      <c r="O56" s="162">
        <v>2928</v>
      </c>
      <c r="P56" s="162">
        <v>35891.360000000001</v>
      </c>
      <c r="Q56" s="162">
        <v>8040</v>
      </c>
      <c r="R56" s="162">
        <v>469</v>
      </c>
      <c r="S56" s="162">
        <v>0</v>
      </c>
      <c r="T56" s="162">
        <v>1119.3238849941899</v>
      </c>
      <c r="U56" s="162">
        <v>541</v>
      </c>
      <c r="V56" s="162">
        <v>9404.11</v>
      </c>
      <c r="W56" s="162">
        <v>900</v>
      </c>
      <c r="X56" s="162">
        <v>0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76">
        <v>284.7804931</v>
      </c>
      <c r="AE56" s="165">
        <f>N56*Forutsetninger!$C$30</f>
        <v>17223.556617313101</v>
      </c>
      <c r="AF56" s="165">
        <f t="shared" si="17"/>
        <v>2289.6351645240002</v>
      </c>
      <c r="AG56" s="165">
        <f>S56*Forutsetninger!$C$24</f>
        <v>0</v>
      </c>
      <c r="AH56" s="165">
        <f>AE56+O56+AF56+R56*Forutsetninger!$C$24-AG56</f>
        <v>22935.986781837099</v>
      </c>
      <c r="AI56" s="165">
        <f>AH56+P56*Forutsetninger!$B$6</f>
        <v>25132.538013837097</v>
      </c>
      <c r="AJ56" s="165">
        <f>T56*Forutsetninger!$C$30</f>
        <v>1184.2446703238529</v>
      </c>
      <c r="AK56" s="165">
        <f t="shared" si="18"/>
        <v>256.30244378999998</v>
      </c>
      <c r="AL56" s="165">
        <f>AJ56+U56+AK56+X56*Forutsetninger!$C$24</f>
        <v>1981.5471141138528</v>
      </c>
      <c r="AM56" s="164">
        <f>(T56)*Forutsetninger!$C$30+X56*Forutsetninger!$C$24+U56+V56*Forutsetninger!$B$6</f>
        <v>2300.7762023238529</v>
      </c>
      <c r="AN56" s="164">
        <f>Y56*Forutsetninger!$C$30+Z56+AA56*Forutsetninger!$B$6+AC56*Forutsetninger!$C$24</f>
        <v>0</v>
      </c>
    </row>
    <row r="57" spans="1:40" s="62" customFormat="1" ht="12.75" x14ac:dyDescent="0.2">
      <c r="A57">
        <v>1622015</v>
      </c>
      <c r="B57" t="s">
        <v>171</v>
      </c>
      <c r="C57" s="170">
        <v>2015</v>
      </c>
      <c r="D57" s="145">
        <f t="shared" si="8"/>
        <v>23616.050053957973</v>
      </c>
      <c r="E57" s="146">
        <v>0</v>
      </c>
      <c r="F57" s="41">
        <f t="shared" si="9"/>
        <v>23616.050053957973</v>
      </c>
      <c r="G57" s="42">
        <f t="shared" si="19"/>
        <v>6463</v>
      </c>
      <c r="H57" s="41">
        <f t="shared" si="11"/>
        <v>92533</v>
      </c>
      <c r="I57" s="42">
        <f t="shared" si="12"/>
        <v>93458.33</v>
      </c>
      <c r="J57" s="41">
        <f t="shared" si="13"/>
        <v>12433</v>
      </c>
      <c r="K57" s="41">
        <f t="shared" si="14"/>
        <v>183</v>
      </c>
      <c r="L57" s="41">
        <f t="shared" si="15"/>
        <v>0</v>
      </c>
      <c r="M57" s="42">
        <f t="shared" si="16"/>
        <v>1260</v>
      </c>
      <c r="N57" s="162">
        <v>23414.831966059701</v>
      </c>
      <c r="O57" s="162">
        <v>6234</v>
      </c>
      <c r="P57" s="162">
        <v>88929.49</v>
      </c>
      <c r="Q57" s="162">
        <v>12433</v>
      </c>
      <c r="R57" s="162">
        <v>1260</v>
      </c>
      <c r="S57" s="162">
        <v>0</v>
      </c>
      <c r="T57" s="162">
        <v>201.21808789827199</v>
      </c>
      <c r="U57" s="162">
        <v>229</v>
      </c>
      <c r="V57" s="162">
        <v>4528.84</v>
      </c>
      <c r="W57" s="162">
        <v>183</v>
      </c>
      <c r="X57" s="162">
        <v>0</v>
      </c>
      <c r="Y57" s="162">
        <v>0</v>
      </c>
      <c r="Z57" s="162">
        <v>0</v>
      </c>
      <c r="AA57" s="162">
        <v>0</v>
      </c>
      <c r="AB57" s="162">
        <v>0</v>
      </c>
      <c r="AC57" s="162">
        <v>0</v>
      </c>
      <c r="AD57" s="176">
        <v>290.33327359999998</v>
      </c>
      <c r="AE57" s="165">
        <f>N57*Forutsetninger!$C$30</f>
        <v>24772.892220091166</v>
      </c>
      <c r="AF57" s="165">
        <f t="shared" si="17"/>
        <v>3609.7135906688</v>
      </c>
      <c r="AG57" s="165">
        <f>S57*Forutsetninger!$C$24</f>
        <v>0</v>
      </c>
      <c r="AH57" s="165">
        <f>AE57+O57+AF57+R57*Forutsetninger!$C$24-AG57</f>
        <v>35945.90581075997</v>
      </c>
      <c r="AI57" s="165">
        <f>AH57+P57*Forutsetninger!$B$6</f>
        <v>41388.390598759972</v>
      </c>
      <c r="AJ57" s="165">
        <f>T57*Forutsetninger!$C$30</f>
        <v>212.88873699637176</v>
      </c>
      <c r="AK57" s="165">
        <f t="shared" si="18"/>
        <v>53.130989068799991</v>
      </c>
      <c r="AL57" s="165">
        <f>AJ57+U57+AK57+X57*Forutsetninger!$C$24</f>
        <v>495.01972606517177</v>
      </c>
      <c r="AM57" s="164">
        <f>(T57)*Forutsetninger!$C$30+X57*Forutsetninger!$C$24+U57+V57*Forutsetninger!$B$6</f>
        <v>719.05374499637173</v>
      </c>
      <c r="AN57" s="164">
        <f>Y57*Forutsetninger!$C$30+Z57+AA57*Forutsetninger!$B$6+AC57*Forutsetninger!$C$24</f>
        <v>0</v>
      </c>
    </row>
    <row r="58" spans="1:40" s="62" customFormat="1" ht="12.75" x14ac:dyDescent="0.2">
      <c r="A58">
        <v>1632015</v>
      </c>
      <c r="B58" t="s">
        <v>350</v>
      </c>
      <c r="C58" s="170">
        <v>2015</v>
      </c>
      <c r="D58" s="145">
        <f t="shared" si="8"/>
        <v>15561.9270171233</v>
      </c>
      <c r="E58" s="146">
        <v>0</v>
      </c>
      <c r="F58" s="41">
        <f t="shared" si="9"/>
        <v>15561.9270171233</v>
      </c>
      <c r="G58" s="42">
        <f t="shared" si="19"/>
        <v>5291</v>
      </c>
      <c r="H58" s="42">
        <f t="shared" si="11"/>
        <v>74715</v>
      </c>
      <c r="I58" s="42">
        <f t="shared" si="12"/>
        <v>75462.149999999994</v>
      </c>
      <c r="J58" s="41">
        <f t="shared" si="13"/>
        <v>5531</v>
      </c>
      <c r="K58" s="41">
        <f t="shared" si="14"/>
        <v>0</v>
      </c>
      <c r="L58" s="41">
        <f t="shared" si="15"/>
        <v>0</v>
      </c>
      <c r="M58" s="42">
        <f t="shared" si="16"/>
        <v>515</v>
      </c>
      <c r="N58" s="162">
        <v>15561.9270171233</v>
      </c>
      <c r="O58" s="162">
        <v>5291</v>
      </c>
      <c r="P58" s="162">
        <v>75462.149999999994</v>
      </c>
      <c r="Q58" s="162">
        <v>5531</v>
      </c>
      <c r="R58" s="162">
        <v>515</v>
      </c>
      <c r="S58" s="162">
        <v>18.899999999999999</v>
      </c>
      <c r="T58" s="162">
        <v>0</v>
      </c>
      <c r="U58" s="162">
        <v>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62">
        <v>0</v>
      </c>
      <c r="AB58" s="162">
        <v>0</v>
      </c>
      <c r="AC58" s="162">
        <v>0</v>
      </c>
      <c r="AD58" s="176">
        <v>290.33327359999998</v>
      </c>
      <c r="AE58" s="165">
        <f>N58*Forutsetninger!$C$30</f>
        <v>16464.518784116452</v>
      </c>
      <c r="AF58" s="165">
        <f t="shared" si="17"/>
        <v>1605.8333362815999</v>
      </c>
      <c r="AG58" s="165">
        <f>S58*Forutsetninger!$C$24</f>
        <v>19.939499999999999</v>
      </c>
      <c r="AH58" s="165">
        <f>AE58+O58+AF58+R58*Forutsetninger!$C$24-AG58</f>
        <v>23884.737620398053</v>
      </c>
      <c r="AI58" s="165">
        <f>AH58+P58*Forutsetninger!$B$6</f>
        <v>28503.021200398052</v>
      </c>
      <c r="AJ58" s="165">
        <f>T58*Forutsetninger!$C$30</f>
        <v>0</v>
      </c>
      <c r="AK58" s="165">
        <f t="shared" si="18"/>
        <v>0</v>
      </c>
      <c r="AL58" s="165">
        <f>AJ58+U58+AK58+X58*Forutsetninger!$C$24</f>
        <v>0</v>
      </c>
      <c r="AM58" s="164">
        <f>(T58)*Forutsetninger!$C$30+X58*Forutsetninger!$C$24+U58+V58*Forutsetninger!$B$6</f>
        <v>0</v>
      </c>
      <c r="AN58" s="164">
        <f>Y58*Forutsetninger!$C$30+Z58+AA58*Forutsetninger!$B$6+AC58*Forutsetninger!$C$24</f>
        <v>0</v>
      </c>
    </row>
    <row r="59" spans="1:40" s="62" customFormat="1" ht="12.75" x14ac:dyDescent="0.2">
      <c r="A59">
        <v>1642015</v>
      </c>
      <c r="B59" t="s">
        <v>236</v>
      </c>
      <c r="C59" s="170">
        <v>2015</v>
      </c>
      <c r="D59" s="145">
        <f t="shared" si="8"/>
        <v>33751.786119778764</v>
      </c>
      <c r="E59" s="146">
        <v>0</v>
      </c>
      <c r="F59" s="41">
        <f t="shared" si="9"/>
        <v>33751.786119778764</v>
      </c>
      <c r="G59" s="42">
        <f t="shared" si="19"/>
        <v>11408</v>
      </c>
      <c r="H59" s="41">
        <f t="shared" si="11"/>
        <v>178217</v>
      </c>
      <c r="I59" s="42">
        <f t="shared" si="12"/>
        <v>179999.16999999998</v>
      </c>
      <c r="J59" s="41">
        <f t="shared" si="13"/>
        <v>7126</v>
      </c>
      <c r="K59" s="41">
        <f t="shared" si="14"/>
        <v>6957</v>
      </c>
      <c r="L59" s="41">
        <f t="shared" si="15"/>
        <v>0</v>
      </c>
      <c r="M59" s="42">
        <f t="shared" si="16"/>
        <v>6498</v>
      </c>
      <c r="N59" s="162">
        <v>30830.493929202901</v>
      </c>
      <c r="O59" s="162">
        <v>9200</v>
      </c>
      <c r="P59" s="162">
        <v>141330.31</v>
      </c>
      <c r="Q59" s="162">
        <v>7126</v>
      </c>
      <c r="R59" s="162">
        <v>2581</v>
      </c>
      <c r="S59" s="162">
        <v>0</v>
      </c>
      <c r="T59" s="162">
        <v>2921.2921905758599</v>
      </c>
      <c r="U59" s="162">
        <v>2208</v>
      </c>
      <c r="V59" s="162">
        <v>38668.86</v>
      </c>
      <c r="W59" s="162">
        <v>6957</v>
      </c>
      <c r="X59" s="162">
        <v>3917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76">
        <v>257.06098230000003</v>
      </c>
      <c r="AE59" s="165">
        <f>N59*Forutsetninger!$C$30</f>
        <v>32618.662577096671</v>
      </c>
      <c r="AF59" s="165">
        <f t="shared" si="17"/>
        <v>1831.8165598698001</v>
      </c>
      <c r="AG59" s="165">
        <f>S59*Forutsetninger!$C$24</f>
        <v>0</v>
      </c>
      <c r="AH59" s="165">
        <f>AE59+O59+AF59+R59*Forutsetninger!$C$24-AG59</f>
        <v>46373.434136966476</v>
      </c>
      <c r="AI59" s="165">
        <f>AH59+P59*Forutsetninger!$B$6</f>
        <v>55022.849108966475</v>
      </c>
      <c r="AJ59" s="165">
        <f>T59*Forutsetninger!$C$30</f>
        <v>3090.7271376292597</v>
      </c>
      <c r="AK59" s="165">
        <f t="shared" si="18"/>
        <v>1788.3732538611002</v>
      </c>
      <c r="AL59" s="165">
        <f>AJ59+U59+AK59+X59*Forutsetninger!$C$24</f>
        <v>11219.535391490359</v>
      </c>
      <c r="AM59" s="164">
        <f>(T59)*Forutsetninger!$C$30+X59*Forutsetninger!$C$24+U59+V59*Forutsetninger!$B$6</f>
        <v>11797.696369629259</v>
      </c>
      <c r="AN59" s="164">
        <f>Y59*Forutsetninger!$C$30+Z59+AA59*Forutsetninger!$B$6+AC59*Forutsetninger!$C$24</f>
        <v>0</v>
      </c>
    </row>
    <row r="60" spans="1:40" s="62" customFormat="1" ht="12.75" x14ac:dyDescent="0.2">
      <c r="A60">
        <v>1672015</v>
      </c>
      <c r="B60" t="s">
        <v>188</v>
      </c>
      <c r="C60" s="170">
        <v>2015</v>
      </c>
      <c r="D60" s="145">
        <f t="shared" si="8"/>
        <v>146</v>
      </c>
      <c r="E60" s="146">
        <v>0</v>
      </c>
      <c r="F60" s="41">
        <f t="shared" si="9"/>
        <v>146</v>
      </c>
      <c r="G60" s="42">
        <f t="shared" si="19"/>
        <v>439</v>
      </c>
      <c r="H60" s="41">
        <f t="shared" si="11"/>
        <v>11558</v>
      </c>
      <c r="I60" s="42">
        <f t="shared" si="12"/>
        <v>11673.58</v>
      </c>
      <c r="J60" s="41">
        <f t="shared" si="13"/>
        <v>1387</v>
      </c>
      <c r="K60" s="41">
        <f t="shared" si="14"/>
        <v>0</v>
      </c>
      <c r="L60" s="41">
        <f t="shared" si="15"/>
        <v>0</v>
      </c>
      <c r="M60" s="42">
        <f t="shared" si="16"/>
        <v>114</v>
      </c>
      <c r="N60" s="162">
        <v>146</v>
      </c>
      <c r="O60" s="162">
        <v>439</v>
      </c>
      <c r="P60" s="162">
        <v>11673.58</v>
      </c>
      <c r="Q60" s="162">
        <v>1387</v>
      </c>
      <c r="R60" s="162">
        <v>114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62">
        <v>0</v>
      </c>
      <c r="AB60" s="162">
        <v>0</v>
      </c>
      <c r="AC60" s="162">
        <v>0</v>
      </c>
      <c r="AD60" s="176">
        <v>284.7804931</v>
      </c>
      <c r="AE60" s="165">
        <f>N60*Forutsetninger!$C$30</f>
        <v>154.46800000000002</v>
      </c>
      <c r="AF60" s="165">
        <f t="shared" si="17"/>
        <v>394.99054392969998</v>
      </c>
      <c r="AG60" s="165">
        <f>S60*Forutsetninger!$C$24</f>
        <v>0</v>
      </c>
      <c r="AH60" s="165">
        <f>AE60+O60+AF60+R60*Forutsetninger!$C$24-AG60</f>
        <v>1108.7285439297</v>
      </c>
      <c r="AI60" s="165">
        <f>AH60+P60*Forutsetninger!$B$6</f>
        <v>1823.1516399297</v>
      </c>
      <c r="AJ60" s="165">
        <f>T60*Forutsetninger!$C$30</f>
        <v>0</v>
      </c>
      <c r="AK60" s="165">
        <f t="shared" si="18"/>
        <v>0</v>
      </c>
      <c r="AL60" s="165">
        <f>AJ60+U60+AK60+X60*Forutsetninger!$C$24</f>
        <v>0</v>
      </c>
      <c r="AM60" s="164">
        <f>(T60)*Forutsetninger!$C$30+X60*Forutsetninger!$C$24+U60+V60*Forutsetninger!$B$6</f>
        <v>0</v>
      </c>
      <c r="AN60" s="164">
        <f>Y60*Forutsetninger!$C$30+Z60+AA60*Forutsetninger!$B$6+AC60*Forutsetninger!$C$24</f>
        <v>0</v>
      </c>
    </row>
    <row r="61" spans="1:40" s="62" customFormat="1" ht="12.75" x14ac:dyDescent="0.2">
      <c r="A61">
        <v>1682015</v>
      </c>
      <c r="B61" t="s">
        <v>237</v>
      </c>
      <c r="C61" s="170">
        <v>2015</v>
      </c>
      <c r="D61" s="145">
        <f t="shared" si="8"/>
        <v>7266.8389031275101</v>
      </c>
      <c r="E61" s="146">
        <v>0</v>
      </c>
      <c r="F61" s="41">
        <f t="shared" si="9"/>
        <v>7266.8389031275101</v>
      </c>
      <c r="G61" s="42">
        <f t="shared" si="19"/>
        <v>1447</v>
      </c>
      <c r="H61" s="41">
        <f t="shared" si="11"/>
        <v>20958</v>
      </c>
      <c r="I61" s="42">
        <f t="shared" si="12"/>
        <v>21167.58</v>
      </c>
      <c r="J61" s="41">
        <f t="shared" si="13"/>
        <v>2730</v>
      </c>
      <c r="K61" s="41">
        <f t="shared" si="14"/>
        <v>0</v>
      </c>
      <c r="L61" s="41">
        <f t="shared" si="15"/>
        <v>0</v>
      </c>
      <c r="M61" s="42">
        <f t="shared" si="16"/>
        <v>392</v>
      </c>
      <c r="N61" s="162">
        <v>7266.8389031275101</v>
      </c>
      <c r="O61" s="162">
        <v>1447</v>
      </c>
      <c r="P61" s="162">
        <v>21167.58</v>
      </c>
      <c r="Q61" s="162">
        <v>2730</v>
      </c>
      <c r="R61" s="162">
        <v>392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76">
        <v>286.91705400000001</v>
      </c>
      <c r="AE61" s="165">
        <f>N61*Forutsetninger!$C$30</f>
        <v>7688.3155595089056</v>
      </c>
      <c r="AF61" s="165">
        <f t="shared" si="17"/>
        <v>783.28355741999997</v>
      </c>
      <c r="AG61" s="165">
        <f>S61*Forutsetninger!$C$24</f>
        <v>0</v>
      </c>
      <c r="AH61" s="165">
        <f>AE61+O61+AF61+R61*Forutsetninger!$C$24-AG61</f>
        <v>10332.159116928904</v>
      </c>
      <c r="AI61" s="165">
        <f>AH61+P61*Forutsetninger!$B$6</f>
        <v>11627.615012928904</v>
      </c>
      <c r="AJ61" s="165">
        <f>T61*Forutsetninger!$C$30</f>
        <v>0</v>
      </c>
      <c r="AK61" s="165">
        <f t="shared" si="18"/>
        <v>0</v>
      </c>
      <c r="AL61" s="165">
        <f>AJ61+U61+AK61+X61*Forutsetninger!$C$24</f>
        <v>0</v>
      </c>
      <c r="AM61" s="164">
        <f>(T61)*Forutsetninger!$C$30+X61*Forutsetninger!$C$24+U61+V61*Forutsetninger!$B$6</f>
        <v>0</v>
      </c>
      <c r="AN61" s="164">
        <f>Y61*Forutsetninger!$C$30+Z61+AA61*Forutsetninger!$B$6+AC61*Forutsetninger!$C$24</f>
        <v>0</v>
      </c>
    </row>
    <row r="62" spans="1:40" s="62" customFormat="1" ht="12.75" x14ac:dyDescent="0.2">
      <c r="A62">
        <v>1712015</v>
      </c>
      <c r="B62" t="s">
        <v>371</v>
      </c>
      <c r="C62" s="170">
        <v>2015</v>
      </c>
      <c r="D62" s="145">
        <f t="shared" si="8"/>
        <v>38218.736928758801</v>
      </c>
      <c r="E62" s="146">
        <v>0</v>
      </c>
      <c r="F62" s="41">
        <f t="shared" si="9"/>
        <v>38218.736928758801</v>
      </c>
      <c r="G62" s="42">
        <f t="shared" si="19"/>
        <v>6776</v>
      </c>
      <c r="H62" s="42">
        <f t="shared" si="11"/>
        <v>138156</v>
      </c>
      <c r="I62" s="42">
        <f t="shared" si="12"/>
        <v>139537.56</v>
      </c>
      <c r="J62" s="41">
        <f t="shared" si="13"/>
        <v>10733</v>
      </c>
      <c r="K62" s="41">
        <f t="shared" si="14"/>
        <v>0</v>
      </c>
      <c r="L62" s="41">
        <f t="shared" si="15"/>
        <v>0</v>
      </c>
      <c r="M62" s="42">
        <f t="shared" si="16"/>
        <v>2290</v>
      </c>
      <c r="N62" s="162">
        <v>38218.736928758801</v>
      </c>
      <c r="O62" s="162">
        <v>6776</v>
      </c>
      <c r="P62" s="162">
        <v>139537.56</v>
      </c>
      <c r="Q62" s="162">
        <v>10733</v>
      </c>
      <c r="R62" s="162">
        <v>2290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76">
        <v>257.06098230000003</v>
      </c>
      <c r="AE62" s="165">
        <f>N62*Forutsetninger!$C$30</f>
        <v>40435.423670626813</v>
      </c>
      <c r="AF62" s="165">
        <f t="shared" si="17"/>
        <v>2759.0355230259006</v>
      </c>
      <c r="AG62" s="165">
        <f>S62*Forutsetninger!$C$24</f>
        <v>0</v>
      </c>
      <c r="AH62" s="165">
        <f>AE62+O62+AF62+R62*Forutsetninger!$C$24-AG62</f>
        <v>52386.409193652711</v>
      </c>
      <c r="AI62" s="165">
        <f>AH62+P62*Forutsetninger!$B$6</f>
        <v>60926.10786565271</v>
      </c>
      <c r="AJ62" s="165">
        <f>T62*Forutsetninger!$C$30</f>
        <v>0</v>
      </c>
      <c r="AK62" s="165">
        <f t="shared" si="18"/>
        <v>0</v>
      </c>
      <c r="AL62" s="165">
        <f>AJ62+U62+AK62+X62*Forutsetninger!$C$24</f>
        <v>0</v>
      </c>
      <c r="AM62" s="164">
        <f>(T62)*Forutsetninger!$C$30+X62*Forutsetninger!$C$24+U62+V62*Forutsetninger!$B$6</f>
        <v>0</v>
      </c>
      <c r="AN62" s="164">
        <f>Y62*Forutsetninger!$C$30+Z62+AA62*Forutsetninger!$B$6+AC62*Forutsetninger!$C$24</f>
        <v>0</v>
      </c>
    </row>
    <row r="63" spans="1:40" s="62" customFormat="1" ht="12.75" x14ac:dyDescent="0.2">
      <c r="A63">
        <v>1732015</v>
      </c>
      <c r="B63" t="s">
        <v>172</v>
      </c>
      <c r="C63" s="170">
        <v>2015</v>
      </c>
      <c r="D63" s="145">
        <f t="shared" si="8"/>
        <v>20836.915895257618</v>
      </c>
      <c r="E63" s="146">
        <v>0</v>
      </c>
      <c r="F63" s="41">
        <f t="shared" si="9"/>
        <v>20836.915895257618</v>
      </c>
      <c r="G63" s="42">
        <f t="shared" si="19"/>
        <v>5642</v>
      </c>
      <c r="H63" s="42">
        <f t="shared" si="11"/>
        <v>63658</v>
      </c>
      <c r="I63" s="42">
        <f t="shared" si="12"/>
        <v>64294.58</v>
      </c>
      <c r="J63" s="41">
        <f t="shared" si="13"/>
        <v>6990</v>
      </c>
      <c r="K63" s="41">
        <f t="shared" si="14"/>
        <v>1276</v>
      </c>
      <c r="L63" s="41">
        <f t="shared" si="15"/>
        <v>0</v>
      </c>
      <c r="M63" s="42">
        <f t="shared" si="16"/>
        <v>384</v>
      </c>
      <c r="N63" s="162">
        <v>19280.9763575619</v>
      </c>
      <c r="O63" s="162">
        <v>5346</v>
      </c>
      <c r="P63" s="162">
        <v>61564.55</v>
      </c>
      <c r="Q63" s="162">
        <v>6990</v>
      </c>
      <c r="R63" s="162">
        <v>384</v>
      </c>
      <c r="S63" s="162">
        <v>361.94</v>
      </c>
      <c r="T63" s="162">
        <v>1555.93953769572</v>
      </c>
      <c r="U63" s="162">
        <v>296</v>
      </c>
      <c r="V63" s="162">
        <v>2730.03</v>
      </c>
      <c r="W63" s="162">
        <v>1276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76">
        <v>286.91705400000001</v>
      </c>
      <c r="AE63" s="165">
        <f>N63*Forutsetninger!$C$30</f>
        <v>20399.27298630049</v>
      </c>
      <c r="AF63" s="165">
        <f t="shared" si="17"/>
        <v>2005.5502074599999</v>
      </c>
      <c r="AG63" s="165">
        <f>S63*Forutsetninger!$C$24</f>
        <v>381.8467</v>
      </c>
      <c r="AH63" s="165">
        <f>AE63+O63+AF63+R63*Forutsetninger!$C$24-AG63</f>
        <v>27774.096493760491</v>
      </c>
      <c r="AI63" s="165">
        <f>AH63+P63*Forutsetninger!$B$6</f>
        <v>31541.846953760491</v>
      </c>
      <c r="AJ63" s="165">
        <f>T63*Forutsetninger!$C$30</f>
        <v>1646.1840308820717</v>
      </c>
      <c r="AK63" s="165">
        <f t="shared" si="18"/>
        <v>366.10616090399998</v>
      </c>
      <c r="AL63" s="165">
        <f>AJ63+U63+AK63+X63*Forutsetninger!$C$24</f>
        <v>2308.2901917860718</v>
      </c>
      <c r="AM63" s="164">
        <f>(T63)*Forutsetninger!$C$30+X63*Forutsetninger!$C$24+U63+V63*Forutsetninger!$B$6</f>
        <v>2109.2618668820719</v>
      </c>
      <c r="AN63" s="164">
        <f>Y63*Forutsetninger!$C$30+Z63+AA63*Forutsetninger!$B$6+AC63*Forutsetninger!$C$24</f>
        <v>0</v>
      </c>
    </row>
    <row r="64" spans="1:40" s="62" customFormat="1" ht="12.75" x14ac:dyDescent="0.2">
      <c r="A64">
        <v>1812015</v>
      </c>
      <c r="B64" t="s">
        <v>239</v>
      </c>
      <c r="C64" s="170">
        <v>2015</v>
      </c>
      <c r="D64" s="145">
        <f t="shared" si="8"/>
        <v>7215.7982832609596</v>
      </c>
      <c r="E64" s="146">
        <v>0</v>
      </c>
      <c r="F64" s="41">
        <f t="shared" si="9"/>
        <v>7215.7982832609596</v>
      </c>
      <c r="G64" s="42">
        <f t="shared" si="19"/>
        <v>1296</v>
      </c>
      <c r="H64" s="42">
        <f t="shared" si="11"/>
        <v>21915</v>
      </c>
      <c r="I64" s="42">
        <f t="shared" si="12"/>
        <v>22134.15</v>
      </c>
      <c r="J64" s="41">
        <f t="shared" si="13"/>
        <v>1580</v>
      </c>
      <c r="K64" s="41">
        <f t="shared" si="14"/>
        <v>0</v>
      </c>
      <c r="L64" s="41">
        <f t="shared" si="15"/>
        <v>0</v>
      </c>
      <c r="M64" s="42">
        <f t="shared" si="16"/>
        <v>107</v>
      </c>
      <c r="N64" s="162">
        <v>7215.7982832609596</v>
      </c>
      <c r="O64" s="162">
        <v>1296</v>
      </c>
      <c r="P64" s="162">
        <v>22134.15</v>
      </c>
      <c r="Q64" s="162">
        <v>1580</v>
      </c>
      <c r="R64" s="162">
        <v>107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0</v>
      </c>
      <c r="AD64" s="176">
        <v>290.33327359999998</v>
      </c>
      <c r="AE64" s="165">
        <f>N64*Forutsetninger!$C$30</f>
        <v>7634.3145836900958</v>
      </c>
      <c r="AF64" s="165">
        <f t="shared" si="17"/>
        <v>458.72657228799994</v>
      </c>
      <c r="AG64" s="165">
        <f>S64*Forutsetninger!$C$24</f>
        <v>0</v>
      </c>
      <c r="AH64" s="165">
        <f>AE64+O64+AF64+R64*Forutsetninger!$C$24-AG64</f>
        <v>9501.9261559780953</v>
      </c>
      <c r="AI64" s="165">
        <f>AH64+P64*Forutsetninger!$B$6</f>
        <v>10856.536135978095</v>
      </c>
      <c r="AJ64" s="165">
        <f>T64*Forutsetninger!$C$30</f>
        <v>0</v>
      </c>
      <c r="AK64" s="165">
        <f t="shared" si="18"/>
        <v>0</v>
      </c>
      <c r="AL64" s="165">
        <f>AJ64+U64+AK64+X64*Forutsetninger!$C$24</f>
        <v>0</v>
      </c>
      <c r="AM64" s="164">
        <f>(T64)*Forutsetninger!$C$30+X64*Forutsetninger!$C$24+U64+V64*Forutsetninger!$B$6</f>
        <v>0</v>
      </c>
      <c r="AN64" s="164">
        <f>Y64*Forutsetninger!$C$30+Z64+AA64*Forutsetninger!$B$6+AC64*Forutsetninger!$C$24</f>
        <v>0</v>
      </c>
    </row>
    <row r="65" spans="1:40" s="62" customFormat="1" ht="12.75" x14ac:dyDescent="0.2">
      <c r="A65">
        <v>1832015</v>
      </c>
      <c r="B65" t="s">
        <v>240</v>
      </c>
      <c r="C65" s="170">
        <v>2015</v>
      </c>
      <c r="D65" s="145">
        <f t="shared" si="8"/>
        <v>9422.2503272555005</v>
      </c>
      <c r="E65" s="146">
        <v>0</v>
      </c>
      <c r="F65" s="41">
        <f t="shared" si="9"/>
        <v>9422.2503272555005</v>
      </c>
      <c r="G65" s="42">
        <f t="shared" si="19"/>
        <v>2523</v>
      </c>
      <c r="H65" s="42">
        <f t="shared" si="11"/>
        <v>45416</v>
      </c>
      <c r="I65" s="42">
        <f t="shared" si="12"/>
        <v>45870.16</v>
      </c>
      <c r="J65" s="41">
        <f t="shared" si="13"/>
        <v>2796</v>
      </c>
      <c r="K65" s="41">
        <f t="shared" si="14"/>
        <v>0</v>
      </c>
      <c r="L65" s="41">
        <f t="shared" si="15"/>
        <v>0</v>
      </c>
      <c r="M65" s="42">
        <f t="shared" si="16"/>
        <v>993</v>
      </c>
      <c r="N65" s="162">
        <v>9422.2503272555005</v>
      </c>
      <c r="O65" s="162">
        <v>2523</v>
      </c>
      <c r="P65" s="162">
        <v>45870.16</v>
      </c>
      <c r="Q65" s="162">
        <v>2796</v>
      </c>
      <c r="R65" s="162">
        <v>993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2">
        <v>0</v>
      </c>
      <c r="AD65" s="176">
        <v>284.7804931</v>
      </c>
      <c r="AE65" s="165">
        <f>N65*Forutsetninger!$C$30</f>
        <v>9968.7408462363201</v>
      </c>
      <c r="AF65" s="165">
        <f t="shared" si="17"/>
        <v>796.24625870759996</v>
      </c>
      <c r="AG65" s="165">
        <f>S65*Forutsetninger!$C$24</f>
        <v>0</v>
      </c>
      <c r="AH65" s="165">
        <f>AE65+O65+AF65+R65*Forutsetninger!$C$24-AG65</f>
        <v>14335.60210494392</v>
      </c>
      <c r="AI65" s="165">
        <f>AH65+P65*Forutsetninger!$B$6</f>
        <v>17142.855896943922</v>
      </c>
      <c r="AJ65" s="165">
        <f>T65*Forutsetninger!$C$30</f>
        <v>0</v>
      </c>
      <c r="AK65" s="165">
        <f t="shared" si="18"/>
        <v>0</v>
      </c>
      <c r="AL65" s="165">
        <f>AJ65+U65+AK65+X65*Forutsetninger!$C$24</f>
        <v>0</v>
      </c>
      <c r="AM65" s="164">
        <f>(T65)*Forutsetninger!$C$30+X65*Forutsetninger!$C$24+U65+V65*Forutsetninger!$B$6</f>
        <v>0</v>
      </c>
      <c r="AN65" s="164">
        <f>Y65*Forutsetninger!$C$30+Z65+AA65*Forutsetninger!$B$6+AC65*Forutsetninger!$C$24</f>
        <v>0</v>
      </c>
    </row>
    <row r="66" spans="1:40" s="62" customFormat="1" ht="12.75" x14ac:dyDescent="0.2">
      <c r="A66">
        <v>1842015</v>
      </c>
      <c r="B66" t="s">
        <v>173</v>
      </c>
      <c r="C66" s="170">
        <v>2015</v>
      </c>
      <c r="D66" s="145">
        <f t="shared" si="8"/>
        <v>12437.085436521596</v>
      </c>
      <c r="E66" s="146">
        <v>0</v>
      </c>
      <c r="F66" s="41">
        <f t="shared" si="9"/>
        <v>12437.085436521596</v>
      </c>
      <c r="G66" s="42">
        <f t="shared" si="19"/>
        <v>5563</v>
      </c>
      <c r="H66" s="42">
        <f t="shared" si="11"/>
        <v>90792</v>
      </c>
      <c r="I66" s="42">
        <f t="shared" si="12"/>
        <v>91699.92</v>
      </c>
      <c r="J66" s="41">
        <f t="shared" si="13"/>
        <v>5463</v>
      </c>
      <c r="K66" s="41">
        <f t="shared" si="14"/>
        <v>445</v>
      </c>
      <c r="L66" s="41">
        <f t="shared" si="15"/>
        <v>0</v>
      </c>
      <c r="M66" s="42">
        <f t="shared" si="16"/>
        <v>722</v>
      </c>
      <c r="N66" s="162">
        <v>11548.528417674101</v>
      </c>
      <c r="O66" s="162">
        <v>4525</v>
      </c>
      <c r="P66" s="162">
        <v>67743.73</v>
      </c>
      <c r="Q66" s="162">
        <v>5463</v>
      </c>
      <c r="R66" s="162">
        <v>487</v>
      </c>
      <c r="S66" s="162">
        <v>394.85</v>
      </c>
      <c r="T66" s="162">
        <v>888.55701884749601</v>
      </c>
      <c r="U66" s="162">
        <v>1038</v>
      </c>
      <c r="V66" s="162">
        <v>23956.19</v>
      </c>
      <c r="W66" s="162">
        <v>445</v>
      </c>
      <c r="X66" s="162">
        <v>235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76">
        <v>290.33327359999998</v>
      </c>
      <c r="AE66" s="165">
        <f>N66*Forutsetninger!$C$30</f>
        <v>12218.343065899198</v>
      </c>
      <c r="AF66" s="165">
        <f t="shared" si="17"/>
        <v>1586.0906736768</v>
      </c>
      <c r="AG66" s="165">
        <f>S66*Forutsetninger!$C$24</f>
        <v>416.56675000000001</v>
      </c>
      <c r="AH66" s="165">
        <f>AE66+O66+AF66+R66*Forutsetninger!$C$24-AG66</f>
        <v>18426.651989575999</v>
      </c>
      <c r="AI66" s="165">
        <f>AH66+P66*Forutsetninger!$B$6</f>
        <v>22572.568265575999</v>
      </c>
      <c r="AJ66" s="165">
        <f>T66*Forutsetninger!$C$30</f>
        <v>940.09332594065086</v>
      </c>
      <c r="AK66" s="165">
        <f t="shared" si="18"/>
        <v>129.19830675199998</v>
      </c>
      <c r="AL66" s="165">
        <f>AJ66+U66+AK66+X66*Forutsetninger!$C$24</f>
        <v>2355.2166326926508</v>
      </c>
      <c r="AM66" s="164">
        <f>(T66)*Forutsetninger!$C$30+X66*Forutsetninger!$C$24+U66+V66*Forutsetninger!$B$6</f>
        <v>3692.1371539406509</v>
      </c>
      <c r="AN66" s="164">
        <f>Y66*Forutsetninger!$C$30+Z66+AA66*Forutsetninger!$B$6+AC66*Forutsetninger!$C$24</f>
        <v>0</v>
      </c>
    </row>
    <row r="67" spans="1:40" s="62" customFormat="1" ht="12.75" x14ac:dyDescent="0.2">
      <c r="A67">
        <v>1872015</v>
      </c>
      <c r="B67" t="s">
        <v>241</v>
      </c>
      <c r="C67" s="170">
        <v>2015</v>
      </c>
      <c r="D67" s="145">
        <f t="shared" si="8"/>
        <v>4228.0158774424799</v>
      </c>
      <c r="E67" s="146">
        <v>0</v>
      </c>
      <c r="F67" s="41">
        <f t="shared" si="9"/>
        <v>4228.0158774424799</v>
      </c>
      <c r="G67" s="42">
        <f t="shared" si="19"/>
        <v>2841</v>
      </c>
      <c r="H67" s="42">
        <f t="shared" ref="H67:H98" si="20">ROUND(I67/1.01,0)</f>
        <v>47215</v>
      </c>
      <c r="I67" s="42">
        <f t="shared" ref="I67:I98" si="21">P67+V67+AA67</f>
        <v>47687.149999999994</v>
      </c>
      <c r="J67" s="41">
        <f t="shared" ref="J67:J98" si="22">Q67</f>
        <v>909</v>
      </c>
      <c r="K67" s="41">
        <f t="shared" ref="K67:K98" si="23">W67</f>
        <v>0</v>
      </c>
      <c r="L67" s="41">
        <f t="shared" ref="L67:L98" si="24">AB67</f>
        <v>0</v>
      </c>
      <c r="M67" s="42">
        <f t="shared" ref="M67:M98" si="25">R67+X67+AC67</f>
        <v>0</v>
      </c>
      <c r="N67" s="162">
        <v>1186.8243048403699</v>
      </c>
      <c r="O67" s="162">
        <v>1240</v>
      </c>
      <c r="P67" s="162">
        <v>43331.02</v>
      </c>
      <c r="Q67" s="162">
        <v>909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3041.1915726021098</v>
      </c>
      <c r="Z67" s="162">
        <v>1601</v>
      </c>
      <c r="AA67" s="162">
        <v>4356.13</v>
      </c>
      <c r="AB67" s="162">
        <v>0</v>
      </c>
      <c r="AC67" s="162">
        <v>0</v>
      </c>
      <c r="AD67" s="176">
        <v>284.7804931</v>
      </c>
      <c r="AE67" s="165">
        <f>N67*Forutsetninger!$C$30</f>
        <v>1255.6601145211114</v>
      </c>
      <c r="AF67" s="165">
        <f t="shared" ref="AF67:AF98" si="26">(Q67*AD67)/1000</f>
        <v>258.86546822790001</v>
      </c>
      <c r="AG67" s="165">
        <f>S67*Forutsetninger!$C$24</f>
        <v>0</v>
      </c>
      <c r="AH67" s="165">
        <f>AE67+O67+AF67+R67*Forutsetninger!$C$24-AG67</f>
        <v>2754.5255827490118</v>
      </c>
      <c r="AI67" s="165">
        <f>AH67+P67*Forutsetninger!$B$6</f>
        <v>5406.384006749011</v>
      </c>
      <c r="AJ67" s="165">
        <f>T67*Forutsetninger!$C$30</f>
        <v>0</v>
      </c>
      <c r="AK67" s="165">
        <f t="shared" ref="AK67:AK98" si="27">(W67*AD67)/1000</f>
        <v>0</v>
      </c>
      <c r="AL67" s="165">
        <f>AJ67+U67+AK67+X67*Forutsetninger!$C$24</f>
        <v>0</v>
      </c>
      <c r="AM67" s="164">
        <f>(T67)*Forutsetninger!$C$30+X67*Forutsetninger!$C$24+U67+V67*Forutsetninger!$B$6</f>
        <v>0</v>
      </c>
      <c r="AN67" s="164">
        <f>Y67*Forutsetninger!$C$30+Z67+AA67*Forutsetninger!$B$6+AC67*Forutsetninger!$C$24</f>
        <v>5085.1758398130323</v>
      </c>
    </row>
    <row r="68" spans="1:40" s="62" customFormat="1" ht="12.75" x14ac:dyDescent="0.2">
      <c r="A68">
        <v>1942015</v>
      </c>
      <c r="B68" t="s">
        <v>242</v>
      </c>
      <c r="C68" s="170">
        <v>2015</v>
      </c>
      <c r="D68" s="145">
        <f t="shared" ref="D68:D131" si="28">F68+E68</f>
        <v>12829.197988296601</v>
      </c>
      <c r="E68" s="146">
        <v>0</v>
      </c>
      <c r="F68" s="41">
        <f t="shared" ref="F68:F131" si="29">N68+T68+Y68</f>
        <v>12829.197988296601</v>
      </c>
      <c r="G68" s="42">
        <f t="shared" ref="G68:G99" si="30">O68+U68+Z68</f>
        <v>3225</v>
      </c>
      <c r="H68" s="42">
        <f t="shared" si="20"/>
        <v>30112</v>
      </c>
      <c r="I68" s="42">
        <f t="shared" si="21"/>
        <v>30413.119999999999</v>
      </c>
      <c r="J68" s="41">
        <f t="shared" si="22"/>
        <v>1928</v>
      </c>
      <c r="K68" s="41">
        <f t="shared" si="23"/>
        <v>0</v>
      </c>
      <c r="L68" s="41">
        <f t="shared" si="24"/>
        <v>0</v>
      </c>
      <c r="M68" s="42">
        <f t="shared" si="25"/>
        <v>297</v>
      </c>
      <c r="N68" s="162">
        <v>12829.197988296601</v>
      </c>
      <c r="O68" s="162">
        <v>3225</v>
      </c>
      <c r="P68" s="162">
        <v>30413.119999999999</v>
      </c>
      <c r="Q68" s="162">
        <v>1928</v>
      </c>
      <c r="R68" s="162">
        <v>297</v>
      </c>
      <c r="S68" s="162">
        <v>98.71</v>
      </c>
      <c r="T68" s="162">
        <v>0</v>
      </c>
      <c r="U68" s="162">
        <v>0</v>
      </c>
      <c r="V68" s="162">
        <v>0</v>
      </c>
      <c r="W68" s="162">
        <v>0</v>
      </c>
      <c r="X68" s="162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76">
        <v>290.33327359999998</v>
      </c>
      <c r="AE68" s="165">
        <f>N68*Forutsetninger!$C$30</f>
        <v>13573.291471617804</v>
      </c>
      <c r="AF68" s="165">
        <f t="shared" si="26"/>
        <v>559.76255150079999</v>
      </c>
      <c r="AG68" s="165">
        <f>S68*Forutsetninger!$C$24</f>
        <v>104.13904999999998</v>
      </c>
      <c r="AH68" s="165">
        <f>AE68+O68+AF68+R68*Forutsetninger!$C$24-AG68</f>
        <v>17567.249973118604</v>
      </c>
      <c r="AI68" s="165">
        <f>AH68+P68*Forutsetninger!$B$6</f>
        <v>19428.532917118602</v>
      </c>
      <c r="AJ68" s="165">
        <f>T68*Forutsetninger!$C$30</f>
        <v>0</v>
      </c>
      <c r="AK68" s="165">
        <f t="shared" si="27"/>
        <v>0</v>
      </c>
      <c r="AL68" s="165">
        <f>AJ68+U68+AK68+X68*Forutsetninger!$C$24</f>
        <v>0</v>
      </c>
      <c r="AM68" s="164">
        <f>(T68)*Forutsetninger!$C$30+X68*Forutsetninger!$C$24+U68+V68*Forutsetninger!$B$6</f>
        <v>0</v>
      </c>
      <c r="AN68" s="164">
        <f>Y68*Forutsetninger!$C$30+Z68+AA68*Forutsetninger!$B$6+AC68*Forutsetninger!$C$24</f>
        <v>0</v>
      </c>
    </row>
    <row r="69" spans="1:40" s="62" customFormat="1" ht="12.75" x14ac:dyDescent="0.2">
      <c r="A69">
        <v>1962015</v>
      </c>
      <c r="B69" t="s">
        <v>372</v>
      </c>
      <c r="C69" s="170">
        <v>2015</v>
      </c>
      <c r="D69" s="145">
        <f t="shared" si="28"/>
        <v>16213.9595355211</v>
      </c>
      <c r="E69" s="146">
        <v>0</v>
      </c>
      <c r="F69" s="41">
        <f t="shared" si="29"/>
        <v>16213.9595355211</v>
      </c>
      <c r="G69" s="42">
        <f t="shared" si="30"/>
        <v>6534</v>
      </c>
      <c r="H69" s="42">
        <f t="shared" si="20"/>
        <v>97835</v>
      </c>
      <c r="I69" s="42">
        <f t="shared" si="21"/>
        <v>98813.35</v>
      </c>
      <c r="J69" s="41">
        <f t="shared" si="22"/>
        <v>6583</v>
      </c>
      <c r="K69" s="41">
        <f t="shared" si="23"/>
        <v>0</v>
      </c>
      <c r="L69" s="41">
        <f t="shared" si="24"/>
        <v>0</v>
      </c>
      <c r="M69" s="42">
        <f t="shared" si="25"/>
        <v>1189</v>
      </c>
      <c r="N69" s="162">
        <v>16213.9595355211</v>
      </c>
      <c r="O69" s="162">
        <v>6534</v>
      </c>
      <c r="P69" s="162">
        <v>98813.35</v>
      </c>
      <c r="Q69" s="162">
        <v>6583</v>
      </c>
      <c r="R69" s="162">
        <v>1189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2">
        <v>0</v>
      </c>
      <c r="AD69" s="176">
        <v>284.7804931</v>
      </c>
      <c r="AE69" s="165">
        <f>N69*Forutsetninger!$C$30</f>
        <v>17154.369188581324</v>
      </c>
      <c r="AF69" s="165">
        <f t="shared" si="26"/>
        <v>1874.7099860773001</v>
      </c>
      <c r="AG69" s="165">
        <f>S69*Forutsetninger!$C$24</f>
        <v>0</v>
      </c>
      <c r="AH69" s="165">
        <f>AE69+O69+AF69+R69*Forutsetninger!$C$24-AG69</f>
        <v>26817.474174658626</v>
      </c>
      <c r="AI69" s="165">
        <f>AH69+P69*Forutsetninger!$B$6</f>
        <v>32864.851194658622</v>
      </c>
      <c r="AJ69" s="165">
        <f>T69*Forutsetninger!$C$30</f>
        <v>0</v>
      </c>
      <c r="AK69" s="165">
        <f t="shared" si="27"/>
        <v>0</v>
      </c>
      <c r="AL69" s="165">
        <f>AJ69+U69+AK69+X69*Forutsetninger!$C$24</f>
        <v>0</v>
      </c>
      <c r="AM69" s="164">
        <f>(T69)*Forutsetninger!$C$30+X69*Forutsetninger!$C$24+U69+V69*Forutsetninger!$B$6</f>
        <v>0</v>
      </c>
      <c r="AN69" s="164">
        <f>Y69*Forutsetninger!$C$30+Z69+AA69*Forutsetninger!$B$6+AC69*Forutsetninger!$C$24</f>
        <v>0</v>
      </c>
    </row>
    <row r="70" spans="1:40" s="62" customFormat="1" ht="12.75" x14ac:dyDescent="0.2">
      <c r="A70">
        <v>1972015</v>
      </c>
      <c r="B70" t="s">
        <v>244</v>
      </c>
      <c r="C70" s="170">
        <v>2015</v>
      </c>
      <c r="D70" s="145">
        <f t="shared" si="28"/>
        <v>41919.287359773116</v>
      </c>
      <c r="E70" s="146">
        <v>0</v>
      </c>
      <c r="F70" s="41">
        <f t="shared" si="29"/>
        <v>41919.287359773116</v>
      </c>
      <c r="G70" s="42">
        <f t="shared" si="30"/>
        <v>12393</v>
      </c>
      <c r="H70" s="42">
        <f t="shared" si="20"/>
        <v>235251</v>
      </c>
      <c r="I70" s="42">
        <f t="shared" si="21"/>
        <v>237603.51</v>
      </c>
      <c r="J70" s="41">
        <f t="shared" si="22"/>
        <v>10628</v>
      </c>
      <c r="K70" s="41">
        <f t="shared" si="23"/>
        <v>8410</v>
      </c>
      <c r="L70" s="41">
        <f t="shared" si="24"/>
        <v>0</v>
      </c>
      <c r="M70" s="42">
        <f t="shared" si="25"/>
        <v>2848</v>
      </c>
      <c r="N70" s="162">
        <v>33147.154565178796</v>
      </c>
      <c r="O70" s="162">
        <v>10072</v>
      </c>
      <c r="P70" s="162">
        <v>185972.31</v>
      </c>
      <c r="Q70" s="162">
        <v>10628</v>
      </c>
      <c r="R70" s="162">
        <v>2603</v>
      </c>
      <c r="S70" s="162">
        <v>0</v>
      </c>
      <c r="T70" s="162">
        <v>8772.1327945943194</v>
      </c>
      <c r="U70" s="162">
        <v>2321</v>
      </c>
      <c r="V70" s="162">
        <v>51631.199999999997</v>
      </c>
      <c r="W70" s="162">
        <v>8410</v>
      </c>
      <c r="X70" s="162">
        <v>245</v>
      </c>
      <c r="Y70" s="162">
        <v>0</v>
      </c>
      <c r="Z70" s="162">
        <v>0</v>
      </c>
      <c r="AA70" s="162">
        <v>0</v>
      </c>
      <c r="AB70" s="162">
        <v>0</v>
      </c>
      <c r="AC70" s="162">
        <v>0</v>
      </c>
      <c r="AD70" s="176">
        <v>284.74774189999999</v>
      </c>
      <c r="AE70" s="165">
        <f>N70*Forutsetninger!$C$30</f>
        <v>35069.689529959171</v>
      </c>
      <c r="AF70" s="165">
        <f t="shared" si="26"/>
        <v>3026.2990009132</v>
      </c>
      <c r="AG70" s="165">
        <f>S70*Forutsetninger!$C$24</f>
        <v>0</v>
      </c>
      <c r="AH70" s="165">
        <f>AE70+O70+AF70+R70*Forutsetninger!$C$24-AG70</f>
        <v>50914.153530872369</v>
      </c>
      <c r="AI70" s="165">
        <f>AH70+P70*Forutsetninger!$B$6</f>
        <v>62295.658902872368</v>
      </c>
      <c r="AJ70" s="165">
        <f>T70*Forutsetninger!$C$30</f>
        <v>9280.9164966807912</v>
      </c>
      <c r="AK70" s="165">
        <f t="shared" si="27"/>
        <v>2394.7285093790001</v>
      </c>
      <c r="AL70" s="165">
        <f>AJ70+U70+AK70+X70*Forutsetninger!$C$24</f>
        <v>14255.120006059791</v>
      </c>
      <c r="AM70" s="164">
        <f>(T70)*Forutsetninger!$C$30+X70*Forutsetninger!$C$24+U70+V70*Forutsetninger!$B$6</f>
        <v>15020.220936680791</v>
      </c>
      <c r="AN70" s="164">
        <f>Y70*Forutsetninger!$C$30+Z70+AA70*Forutsetninger!$B$6+AC70*Forutsetninger!$C$24</f>
        <v>0</v>
      </c>
    </row>
    <row r="71" spans="1:40" s="62" customFormat="1" ht="12.75" x14ac:dyDescent="0.2">
      <c r="A71">
        <v>2042015</v>
      </c>
      <c r="B71" t="s">
        <v>174</v>
      </c>
      <c r="C71" s="170">
        <v>2015</v>
      </c>
      <c r="D71" s="145">
        <f t="shared" si="28"/>
        <v>13721.342767197701</v>
      </c>
      <c r="E71" s="146">
        <v>0</v>
      </c>
      <c r="F71" s="41">
        <f t="shared" si="29"/>
        <v>13721.342767197701</v>
      </c>
      <c r="G71" s="42">
        <f t="shared" si="30"/>
        <v>3273</v>
      </c>
      <c r="H71" s="42">
        <f t="shared" si="20"/>
        <v>75865</v>
      </c>
      <c r="I71" s="42">
        <f t="shared" si="21"/>
        <v>76623.649999999994</v>
      </c>
      <c r="J71" s="41">
        <f t="shared" si="22"/>
        <v>12113</v>
      </c>
      <c r="K71" s="41">
        <f t="shared" si="23"/>
        <v>0</v>
      </c>
      <c r="L71" s="41">
        <f t="shared" si="24"/>
        <v>0</v>
      </c>
      <c r="M71" s="42">
        <f t="shared" si="25"/>
        <v>1303</v>
      </c>
      <c r="N71" s="162">
        <v>13422.7427671977</v>
      </c>
      <c r="O71" s="162">
        <v>3156</v>
      </c>
      <c r="P71" s="162">
        <v>70077.84</v>
      </c>
      <c r="Q71" s="162">
        <v>12113</v>
      </c>
      <c r="R71" s="162">
        <v>1303</v>
      </c>
      <c r="S71" s="162">
        <v>0</v>
      </c>
      <c r="T71" s="162">
        <v>298.60000000000002</v>
      </c>
      <c r="U71" s="162">
        <v>117</v>
      </c>
      <c r="V71" s="162">
        <v>6545.81</v>
      </c>
      <c r="W71" s="162">
        <v>0</v>
      </c>
      <c r="X71" s="162">
        <v>0</v>
      </c>
      <c r="Y71" s="162">
        <v>0</v>
      </c>
      <c r="Z71" s="162">
        <v>0</v>
      </c>
      <c r="AA71" s="162">
        <v>0</v>
      </c>
      <c r="AB71" s="162">
        <v>0</v>
      </c>
      <c r="AC71" s="162">
        <v>0</v>
      </c>
      <c r="AD71" s="176">
        <v>290.33327359999998</v>
      </c>
      <c r="AE71" s="165">
        <f>N71*Forutsetninger!$C$30</f>
        <v>14201.261847695168</v>
      </c>
      <c r="AF71" s="165">
        <f t="shared" si="26"/>
        <v>3516.8069431168001</v>
      </c>
      <c r="AG71" s="165">
        <f>S71*Forutsetninger!$C$24</f>
        <v>0</v>
      </c>
      <c r="AH71" s="165">
        <f>AE71+O71+AF71+R71*Forutsetninger!$C$24-AG71</f>
        <v>22248.73379081197</v>
      </c>
      <c r="AI71" s="165">
        <f>AH71+P71*Forutsetninger!$B$6</f>
        <v>26537.49759881197</v>
      </c>
      <c r="AJ71" s="165">
        <f>T71*Forutsetninger!$C$30</f>
        <v>315.91880000000003</v>
      </c>
      <c r="AK71" s="165">
        <f t="shared" si="27"/>
        <v>0</v>
      </c>
      <c r="AL71" s="165">
        <f>AJ71+U71+AK71+X71*Forutsetninger!$C$24</f>
        <v>432.91880000000003</v>
      </c>
      <c r="AM71" s="164">
        <f>(T71)*Forutsetninger!$C$30+X71*Forutsetninger!$C$24+U71+V71*Forutsetninger!$B$6</f>
        <v>833.52237200000002</v>
      </c>
      <c r="AN71" s="164">
        <f>Y71*Forutsetninger!$C$30+Z71+AA71*Forutsetninger!$B$6+AC71*Forutsetninger!$C$24</f>
        <v>0</v>
      </c>
    </row>
    <row r="72" spans="1:40" s="62" customFormat="1" ht="12.75" x14ac:dyDescent="0.2">
      <c r="A72">
        <v>2052015</v>
      </c>
      <c r="B72" t="s">
        <v>245</v>
      </c>
      <c r="C72" s="170">
        <v>2015</v>
      </c>
      <c r="D72" s="145">
        <f t="shared" si="28"/>
        <v>16975.7278067156</v>
      </c>
      <c r="E72" s="146">
        <v>0</v>
      </c>
      <c r="F72" s="41">
        <f t="shared" si="29"/>
        <v>16975.7278067156</v>
      </c>
      <c r="G72" s="42">
        <f t="shared" si="30"/>
        <v>6241</v>
      </c>
      <c r="H72" s="42">
        <f t="shared" si="20"/>
        <v>91955</v>
      </c>
      <c r="I72" s="42">
        <f t="shared" si="21"/>
        <v>92874.55</v>
      </c>
      <c r="J72" s="41">
        <f t="shared" si="22"/>
        <v>8663</v>
      </c>
      <c r="K72" s="41">
        <f t="shared" si="23"/>
        <v>0</v>
      </c>
      <c r="L72" s="41">
        <f t="shared" si="24"/>
        <v>0</v>
      </c>
      <c r="M72" s="42">
        <f t="shared" si="25"/>
        <v>530</v>
      </c>
      <c r="N72" s="162">
        <v>16975.7278067156</v>
      </c>
      <c r="O72" s="162">
        <v>6241</v>
      </c>
      <c r="P72" s="162">
        <v>92874.55</v>
      </c>
      <c r="Q72" s="162">
        <v>8663</v>
      </c>
      <c r="R72" s="162">
        <v>530</v>
      </c>
      <c r="S72" s="162">
        <v>197.42</v>
      </c>
      <c r="T72" s="162">
        <v>0</v>
      </c>
      <c r="U72" s="162">
        <v>0</v>
      </c>
      <c r="V72" s="162">
        <v>0</v>
      </c>
      <c r="W72" s="162">
        <v>0</v>
      </c>
      <c r="X72" s="162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76">
        <v>290.33327359999998</v>
      </c>
      <c r="AE72" s="165">
        <f>N72*Forutsetninger!$C$30</f>
        <v>17960.320019505107</v>
      </c>
      <c r="AF72" s="165">
        <f t="shared" si="26"/>
        <v>2515.1571491967998</v>
      </c>
      <c r="AG72" s="165">
        <f>S72*Forutsetninger!$C$24</f>
        <v>208.27809999999997</v>
      </c>
      <c r="AH72" s="165">
        <f>AE72+O72+AF72+R72*Forutsetninger!$C$24-AG72</f>
        <v>27067.349068701908</v>
      </c>
      <c r="AI72" s="165">
        <f>AH72+P72*Forutsetninger!$B$6</f>
        <v>32751.271528701909</v>
      </c>
      <c r="AJ72" s="165">
        <f>T72*Forutsetninger!$C$30</f>
        <v>0</v>
      </c>
      <c r="AK72" s="165">
        <f t="shared" si="27"/>
        <v>0</v>
      </c>
      <c r="AL72" s="165">
        <f>AJ72+U72+AK72+X72*Forutsetninger!$C$24</f>
        <v>0</v>
      </c>
      <c r="AM72" s="164">
        <f>(T72)*Forutsetninger!$C$30+X72*Forutsetninger!$C$24+U72+V72*Forutsetninger!$B$6</f>
        <v>0</v>
      </c>
      <c r="AN72" s="164">
        <f>Y72*Forutsetninger!$C$30+Z72+AA72*Forutsetninger!$B$6+AC72*Forutsetninger!$C$24</f>
        <v>0</v>
      </c>
    </row>
    <row r="73" spans="1:40" s="62" customFormat="1" ht="12.75" x14ac:dyDescent="0.2">
      <c r="A73">
        <v>2062015</v>
      </c>
      <c r="B73" t="s">
        <v>246</v>
      </c>
      <c r="C73" s="170">
        <v>2015</v>
      </c>
      <c r="D73" s="145">
        <f t="shared" si="28"/>
        <v>24369.007627702213</v>
      </c>
      <c r="E73" s="146">
        <v>0</v>
      </c>
      <c r="F73" s="41">
        <f t="shared" si="29"/>
        <v>24369.007627702213</v>
      </c>
      <c r="G73" s="42">
        <f t="shared" si="30"/>
        <v>6344</v>
      </c>
      <c r="H73" s="42">
        <f t="shared" si="20"/>
        <v>98771</v>
      </c>
      <c r="I73" s="42">
        <f t="shared" si="21"/>
        <v>99758.71</v>
      </c>
      <c r="J73" s="41">
        <f t="shared" si="22"/>
        <v>6329</v>
      </c>
      <c r="K73" s="41">
        <f t="shared" si="23"/>
        <v>2860</v>
      </c>
      <c r="L73" s="41">
        <f t="shared" si="24"/>
        <v>0</v>
      </c>
      <c r="M73" s="42">
        <f t="shared" si="25"/>
        <v>2288</v>
      </c>
      <c r="N73" s="162">
        <v>23414.249121630699</v>
      </c>
      <c r="O73" s="162">
        <v>5652</v>
      </c>
      <c r="P73" s="162">
        <v>91547.41</v>
      </c>
      <c r="Q73" s="162">
        <v>6329</v>
      </c>
      <c r="R73" s="162">
        <v>1823</v>
      </c>
      <c r="S73" s="162">
        <v>0</v>
      </c>
      <c r="T73" s="162">
        <v>954.75850607151199</v>
      </c>
      <c r="U73" s="162">
        <v>692</v>
      </c>
      <c r="V73" s="162">
        <v>8211.2999999999993</v>
      </c>
      <c r="W73" s="162">
        <v>2860</v>
      </c>
      <c r="X73" s="162">
        <v>465</v>
      </c>
      <c r="Y73" s="162">
        <v>0</v>
      </c>
      <c r="Z73" s="162">
        <v>0</v>
      </c>
      <c r="AA73" s="162">
        <v>0</v>
      </c>
      <c r="AB73" s="162">
        <v>0</v>
      </c>
      <c r="AC73" s="162">
        <v>0</v>
      </c>
      <c r="AD73" s="176">
        <v>284.7804931</v>
      </c>
      <c r="AE73" s="165">
        <f>N73*Forutsetninger!$C$30</f>
        <v>24772.27557068528</v>
      </c>
      <c r="AF73" s="165">
        <f t="shared" si="26"/>
        <v>1802.3757408299</v>
      </c>
      <c r="AG73" s="165">
        <f>S73*Forutsetninger!$C$24</f>
        <v>0</v>
      </c>
      <c r="AH73" s="165">
        <f>AE73+O73+AF73+R73*Forutsetninger!$C$24-AG73</f>
        <v>34149.916311515182</v>
      </c>
      <c r="AI73" s="165">
        <f>AH73+P73*Forutsetninger!$B$6</f>
        <v>39752.617803515182</v>
      </c>
      <c r="AJ73" s="165">
        <f>T73*Forutsetninger!$C$30</f>
        <v>1010.1344994236597</v>
      </c>
      <c r="AK73" s="165">
        <f t="shared" si="27"/>
        <v>814.47221026600005</v>
      </c>
      <c r="AL73" s="165">
        <f>AJ73+U73+AK73+X73*Forutsetninger!$C$24</f>
        <v>3007.1817096896593</v>
      </c>
      <c r="AM73" s="164">
        <f>(T73)*Forutsetninger!$C$30+X73*Forutsetninger!$C$24+U73+V73*Forutsetninger!$B$6</f>
        <v>2695.2410594236594</v>
      </c>
      <c r="AN73" s="164">
        <f>Y73*Forutsetninger!$C$30+Z73+AA73*Forutsetninger!$B$6+AC73*Forutsetninger!$C$24</f>
        <v>0</v>
      </c>
    </row>
    <row r="74" spans="1:40" s="62" customFormat="1" ht="12.75" x14ac:dyDescent="0.2">
      <c r="A74">
        <v>2102015</v>
      </c>
      <c r="B74" t="s">
        <v>373</v>
      </c>
      <c r="C74" s="170">
        <v>2015</v>
      </c>
      <c r="D74" s="145">
        <f t="shared" si="28"/>
        <v>66613.344347713093</v>
      </c>
      <c r="E74" s="146">
        <v>194</v>
      </c>
      <c r="F74" s="41">
        <f t="shared" si="29"/>
        <v>66419.344347713093</v>
      </c>
      <c r="G74" s="42">
        <f t="shared" si="30"/>
        <v>37643</v>
      </c>
      <c r="H74" s="42">
        <f t="shared" si="20"/>
        <v>606179</v>
      </c>
      <c r="I74" s="42">
        <f t="shared" si="21"/>
        <v>612240.79</v>
      </c>
      <c r="J74" s="41">
        <f t="shared" si="22"/>
        <v>13405</v>
      </c>
      <c r="K74" s="41">
        <f t="shared" si="23"/>
        <v>33790</v>
      </c>
      <c r="L74" s="41">
        <f t="shared" si="24"/>
        <v>0</v>
      </c>
      <c r="M74" s="42">
        <f t="shared" si="25"/>
        <v>23587</v>
      </c>
      <c r="N74" s="162">
        <v>21918.822776028199</v>
      </c>
      <c r="O74" s="162">
        <v>9159</v>
      </c>
      <c r="P74" s="162">
        <v>155708.67000000001</v>
      </c>
      <c r="Q74" s="162">
        <v>13405</v>
      </c>
      <c r="R74" s="162">
        <v>2209</v>
      </c>
      <c r="S74" s="162">
        <v>0</v>
      </c>
      <c r="T74" s="162">
        <v>31149.3680381823</v>
      </c>
      <c r="U74" s="162">
        <v>16314</v>
      </c>
      <c r="V74" s="162">
        <v>345246.28</v>
      </c>
      <c r="W74" s="162">
        <v>33790</v>
      </c>
      <c r="X74" s="162">
        <v>10939</v>
      </c>
      <c r="Y74" s="162">
        <v>13351.1535335026</v>
      </c>
      <c r="Z74" s="162">
        <v>12170</v>
      </c>
      <c r="AA74" s="162">
        <v>111285.84</v>
      </c>
      <c r="AB74" s="162">
        <v>0</v>
      </c>
      <c r="AC74" s="162">
        <v>10439</v>
      </c>
      <c r="AD74" s="176">
        <v>284.7804931</v>
      </c>
      <c r="AE74" s="165">
        <f>N74*Forutsetninger!$C$30</f>
        <v>23190.114497037837</v>
      </c>
      <c r="AF74" s="165">
        <f t="shared" si="26"/>
        <v>3817.4825100055</v>
      </c>
      <c r="AG74" s="165">
        <f>S74*Forutsetninger!$C$24</f>
        <v>0</v>
      </c>
      <c r="AH74" s="165">
        <f>AE74+O74+AF74+R74*Forutsetninger!$C$24-AG74</f>
        <v>38497.092007043342</v>
      </c>
      <c r="AI74" s="165">
        <f>AH74+P74*Forutsetninger!$B$6</f>
        <v>48026.462611043346</v>
      </c>
      <c r="AJ74" s="165">
        <f>T74*Forutsetninger!$C$30</f>
        <v>32956.031384396876</v>
      </c>
      <c r="AK74" s="165">
        <f t="shared" si="27"/>
        <v>9622.732861849001</v>
      </c>
      <c r="AL74" s="165">
        <f>AJ74+U74+AK74+X74*Forutsetninger!$C$24</f>
        <v>70433.409246245879</v>
      </c>
      <c r="AM74" s="164">
        <f>(T74)*Forutsetninger!$C$30+X74*Forutsetninger!$C$24+U74+V74*Forutsetninger!$B$6</f>
        <v>81939.748720396878</v>
      </c>
      <c r="AN74" s="164">
        <f>Y74*Forutsetninger!$C$30+Z74+AA74*Forutsetninger!$B$6+AC74*Forutsetninger!$C$24</f>
        <v>44119.35884644575</v>
      </c>
    </row>
    <row r="75" spans="1:40" s="62" customFormat="1" ht="12.75" x14ac:dyDescent="0.2">
      <c r="A75">
        <v>2132015</v>
      </c>
      <c r="B75" t="s">
        <v>248</v>
      </c>
      <c r="C75" s="170">
        <v>2015</v>
      </c>
      <c r="D75" s="145">
        <f t="shared" si="28"/>
        <v>10229.674639938799</v>
      </c>
      <c r="E75" s="146">
        <v>0</v>
      </c>
      <c r="F75" s="41">
        <f t="shared" si="29"/>
        <v>10229.674639938799</v>
      </c>
      <c r="G75" s="42">
        <f t="shared" si="30"/>
        <v>5879</v>
      </c>
      <c r="H75" s="42">
        <f t="shared" si="20"/>
        <v>58069</v>
      </c>
      <c r="I75" s="42">
        <f t="shared" si="21"/>
        <v>58649.69</v>
      </c>
      <c r="J75" s="41">
        <f t="shared" si="22"/>
        <v>6841</v>
      </c>
      <c r="K75" s="41">
        <f t="shared" si="23"/>
        <v>0</v>
      </c>
      <c r="L75" s="41">
        <f t="shared" si="24"/>
        <v>0</v>
      </c>
      <c r="M75" s="42">
        <f t="shared" si="25"/>
        <v>1198</v>
      </c>
      <c r="N75" s="162">
        <v>10229.674639938799</v>
      </c>
      <c r="O75" s="162">
        <v>5879</v>
      </c>
      <c r="P75" s="162">
        <v>58649.69</v>
      </c>
      <c r="Q75" s="162">
        <v>6841</v>
      </c>
      <c r="R75" s="162">
        <v>1198</v>
      </c>
      <c r="S75" s="162">
        <v>394.85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62">
        <v>0</v>
      </c>
      <c r="AB75" s="162">
        <v>0</v>
      </c>
      <c r="AC75" s="162">
        <v>0</v>
      </c>
      <c r="AD75" s="176">
        <v>290.33327359999998</v>
      </c>
      <c r="AE75" s="165">
        <f>N75*Forutsetninger!$C$30</f>
        <v>10822.995769055251</v>
      </c>
      <c r="AF75" s="165">
        <f t="shared" si="26"/>
        <v>1986.1699246975998</v>
      </c>
      <c r="AG75" s="165">
        <f>S75*Forutsetninger!$C$24</f>
        <v>416.56675000000001</v>
      </c>
      <c r="AH75" s="165">
        <f>AE75+O75+AF75+R75*Forutsetninger!$C$24-AG75</f>
        <v>19535.488943752847</v>
      </c>
      <c r="AI75" s="165">
        <f>AH75+P75*Forutsetninger!$B$6</f>
        <v>23124.849971752847</v>
      </c>
      <c r="AJ75" s="165">
        <f>T75*Forutsetninger!$C$30</f>
        <v>0</v>
      </c>
      <c r="AK75" s="165">
        <f t="shared" si="27"/>
        <v>0</v>
      </c>
      <c r="AL75" s="165">
        <f>AJ75+U75+AK75+X75*Forutsetninger!$C$24</f>
        <v>0</v>
      </c>
      <c r="AM75" s="164">
        <f>(T75)*Forutsetninger!$C$30+X75*Forutsetninger!$C$24+U75+V75*Forutsetninger!$B$6</f>
        <v>0</v>
      </c>
      <c r="AN75" s="164">
        <f>Y75*Forutsetninger!$C$30+Z75+AA75*Forutsetninger!$B$6+AC75*Forutsetninger!$C$24</f>
        <v>0</v>
      </c>
    </row>
    <row r="76" spans="1:40" s="62" customFormat="1" ht="12.75" x14ac:dyDescent="0.2">
      <c r="A76">
        <v>2142015</v>
      </c>
      <c r="B76" t="s">
        <v>249</v>
      </c>
      <c r="C76" s="170">
        <v>2015</v>
      </c>
      <c r="D76" s="145">
        <f t="shared" si="28"/>
        <v>14018.957160075801</v>
      </c>
      <c r="E76" s="146">
        <v>0</v>
      </c>
      <c r="F76" s="41">
        <f t="shared" si="29"/>
        <v>14018.957160075801</v>
      </c>
      <c r="G76" s="42">
        <f t="shared" si="30"/>
        <v>5322</v>
      </c>
      <c r="H76" s="42">
        <f t="shared" si="20"/>
        <v>89280</v>
      </c>
      <c r="I76" s="42">
        <f t="shared" si="21"/>
        <v>90172.800000000003</v>
      </c>
      <c r="J76" s="41">
        <f t="shared" si="22"/>
        <v>5173</v>
      </c>
      <c r="K76" s="41">
        <f t="shared" si="23"/>
        <v>0</v>
      </c>
      <c r="L76" s="41">
        <f t="shared" si="24"/>
        <v>0</v>
      </c>
      <c r="M76" s="42">
        <f t="shared" si="25"/>
        <v>517</v>
      </c>
      <c r="N76" s="162">
        <v>14018.957160075801</v>
      </c>
      <c r="O76" s="162">
        <v>5322</v>
      </c>
      <c r="P76" s="162">
        <v>90172.800000000003</v>
      </c>
      <c r="Q76" s="162">
        <v>5173</v>
      </c>
      <c r="R76" s="162">
        <v>517</v>
      </c>
      <c r="S76" s="162">
        <v>98.71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62">
        <v>0</v>
      </c>
      <c r="AB76" s="162">
        <v>0</v>
      </c>
      <c r="AC76" s="162">
        <v>0</v>
      </c>
      <c r="AD76" s="176">
        <v>286.91705400000001</v>
      </c>
      <c r="AE76" s="165">
        <f>N76*Forutsetninger!$C$30</f>
        <v>14832.056675360198</v>
      </c>
      <c r="AF76" s="165">
        <f t="shared" si="26"/>
        <v>1484.221920342</v>
      </c>
      <c r="AG76" s="165">
        <f>S76*Forutsetninger!$C$24</f>
        <v>104.13904999999998</v>
      </c>
      <c r="AH76" s="165">
        <f>AE76+O76+AF76+R76*Forutsetninger!$C$24-AG76</f>
        <v>22079.574545702195</v>
      </c>
      <c r="AI76" s="165">
        <f>AH76+P76*Forutsetninger!$B$6</f>
        <v>27598.149905702194</v>
      </c>
      <c r="AJ76" s="165">
        <f>T76*Forutsetninger!$C$30</f>
        <v>0</v>
      </c>
      <c r="AK76" s="165">
        <f t="shared" si="27"/>
        <v>0</v>
      </c>
      <c r="AL76" s="165">
        <f>AJ76+U76+AK76+X76*Forutsetninger!$C$24</f>
        <v>0</v>
      </c>
      <c r="AM76" s="164">
        <f>(T76)*Forutsetninger!$C$30+X76*Forutsetninger!$C$24+U76+V76*Forutsetninger!$B$6</f>
        <v>0</v>
      </c>
      <c r="AN76" s="164">
        <f>Y76*Forutsetninger!$C$30+Z76+AA76*Forutsetninger!$B$6+AC76*Forutsetninger!$C$24</f>
        <v>0</v>
      </c>
    </row>
    <row r="77" spans="1:40" s="62" customFormat="1" ht="12.75" x14ac:dyDescent="0.2">
      <c r="A77">
        <v>2152015</v>
      </c>
      <c r="B77" t="s">
        <v>250</v>
      </c>
      <c r="C77" s="170">
        <v>2015</v>
      </c>
      <c r="D77" s="145">
        <f t="shared" si="28"/>
        <v>324538.73737077432</v>
      </c>
      <c r="E77" s="146">
        <v>1544</v>
      </c>
      <c r="F77" s="41">
        <f t="shared" si="29"/>
        <v>322994.73737077432</v>
      </c>
      <c r="G77" s="42">
        <f t="shared" si="30"/>
        <v>105460</v>
      </c>
      <c r="H77" s="42">
        <f t="shared" si="20"/>
        <v>1812071</v>
      </c>
      <c r="I77" s="42">
        <f t="shared" si="21"/>
        <v>1830191.71</v>
      </c>
      <c r="J77" s="41">
        <f t="shared" si="22"/>
        <v>120929</v>
      </c>
      <c r="K77" s="41">
        <f t="shared" si="23"/>
        <v>99516</v>
      </c>
      <c r="L77" s="41">
        <f t="shared" si="24"/>
        <v>0</v>
      </c>
      <c r="M77" s="42">
        <f t="shared" si="25"/>
        <v>24063</v>
      </c>
      <c r="N77" s="162">
        <v>256823.85860790001</v>
      </c>
      <c r="O77" s="162">
        <v>77270</v>
      </c>
      <c r="P77" s="162">
        <v>1303661.54</v>
      </c>
      <c r="Q77" s="162">
        <v>120929</v>
      </c>
      <c r="R77" s="162">
        <v>21282</v>
      </c>
      <c r="S77" s="162">
        <v>0</v>
      </c>
      <c r="T77" s="162">
        <v>66170.878762874301</v>
      </c>
      <c r="U77" s="162">
        <v>28190</v>
      </c>
      <c r="V77" s="162">
        <v>526530.17000000004</v>
      </c>
      <c r="W77" s="162">
        <v>99516</v>
      </c>
      <c r="X77" s="162">
        <v>2781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76">
        <v>290.33327359999998</v>
      </c>
      <c r="AE77" s="165">
        <f>N77*Forutsetninger!$C$30</f>
        <v>271719.64240715822</v>
      </c>
      <c r="AF77" s="165">
        <f t="shared" si="26"/>
        <v>35109.712443174401</v>
      </c>
      <c r="AG77" s="165">
        <f>S77*Forutsetninger!$C$24</f>
        <v>0</v>
      </c>
      <c r="AH77" s="165">
        <f>AE77+O77+AF77+R77*Forutsetninger!$C$24-AG77</f>
        <v>406551.86485033261</v>
      </c>
      <c r="AI77" s="165">
        <f>AH77+P77*Forutsetninger!$B$6</f>
        <v>486335.95109833259</v>
      </c>
      <c r="AJ77" s="165">
        <f>T77*Forutsetninger!$C$30</f>
        <v>70008.789731121011</v>
      </c>
      <c r="AK77" s="165">
        <f t="shared" si="27"/>
        <v>28892.806055577599</v>
      </c>
      <c r="AL77" s="165">
        <f>AJ77+U77+AK77+X77*Forutsetninger!$C$24</f>
        <v>130025.55078669862</v>
      </c>
      <c r="AM77" s="164">
        <f>(T77)*Forutsetninger!$C$30+X77*Forutsetninger!$C$24+U77+V77*Forutsetninger!$B$6</f>
        <v>133356.39113512103</v>
      </c>
      <c r="AN77" s="164">
        <f>Y77*Forutsetninger!$C$30+Z77+AA77*Forutsetninger!$B$6+AC77*Forutsetninger!$C$24</f>
        <v>0</v>
      </c>
    </row>
    <row r="78" spans="1:40" s="62" customFormat="1" ht="12.75" x14ac:dyDescent="0.2">
      <c r="A78">
        <v>2222015</v>
      </c>
      <c r="B78" t="s">
        <v>175</v>
      </c>
      <c r="C78" s="170">
        <v>2015</v>
      </c>
      <c r="D78" s="145">
        <f t="shared" si="28"/>
        <v>564</v>
      </c>
      <c r="E78" s="146">
        <v>0</v>
      </c>
      <c r="F78" s="41">
        <f t="shared" si="29"/>
        <v>564</v>
      </c>
      <c r="G78" s="42">
        <f t="shared" si="30"/>
        <v>450</v>
      </c>
      <c r="H78" s="42">
        <f t="shared" si="20"/>
        <v>3962</v>
      </c>
      <c r="I78" s="42">
        <f t="shared" si="21"/>
        <v>4001.62</v>
      </c>
      <c r="J78" s="41">
        <f t="shared" si="22"/>
        <v>268</v>
      </c>
      <c r="K78" s="41">
        <f t="shared" si="23"/>
        <v>998</v>
      </c>
      <c r="L78" s="41">
        <f t="shared" si="24"/>
        <v>0</v>
      </c>
      <c r="M78" s="42">
        <f t="shared" si="25"/>
        <v>0</v>
      </c>
      <c r="N78" s="162">
        <v>564</v>
      </c>
      <c r="O78" s="162">
        <v>210</v>
      </c>
      <c r="P78" s="162">
        <v>1572.57</v>
      </c>
      <c r="Q78" s="162">
        <v>268</v>
      </c>
      <c r="R78" s="162">
        <v>0</v>
      </c>
      <c r="S78" s="162">
        <v>0</v>
      </c>
      <c r="T78" s="162">
        <v>0</v>
      </c>
      <c r="U78" s="162">
        <v>240</v>
      </c>
      <c r="V78" s="162">
        <v>2429.0500000000002</v>
      </c>
      <c r="W78" s="162">
        <v>998</v>
      </c>
      <c r="X78" s="162">
        <v>0</v>
      </c>
      <c r="Y78" s="162">
        <v>0</v>
      </c>
      <c r="Z78" s="162">
        <v>0</v>
      </c>
      <c r="AA78" s="162">
        <v>0</v>
      </c>
      <c r="AB78" s="162">
        <v>0</v>
      </c>
      <c r="AC78" s="162">
        <v>0</v>
      </c>
      <c r="AD78" s="176">
        <v>284.7804931</v>
      </c>
      <c r="AE78" s="165">
        <f>N78*Forutsetninger!$C$30</f>
        <v>596.71199999999999</v>
      </c>
      <c r="AF78" s="165">
        <f t="shared" si="26"/>
        <v>76.32117215080001</v>
      </c>
      <c r="AG78" s="165">
        <f>S78*Forutsetninger!$C$24</f>
        <v>0</v>
      </c>
      <c r="AH78" s="165">
        <f>AE78+O78+AF78+R78*Forutsetninger!$C$24-AG78</f>
        <v>883.03317215080006</v>
      </c>
      <c r="AI78" s="165">
        <f>AH78+P78*Forutsetninger!$B$6</f>
        <v>979.27445615080001</v>
      </c>
      <c r="AJ78" s="165">
        <f>T78*Forutsetninger!$C$30</f>
        <v>0</v>
      </c>
      <c r="AK78" s="165">
        <f t="shared" si="27"/>
        <v>284.21093211380003</v>
      </c>
      <c r="AL78" s="165">
        <f>AJ78+U78+AK78+X78*Forutsetninger!$C$24</f>
        <v>524.21093211380003</v>
      </c>
      <c r="AM78" s="164">
        <f>(T78)*Forutsetninger!$C$30+X78*Forutsetninger!$C$24+U78+V78*Forutsetninger!$B$6</f>
        <v>388.65786000000003</v>
      </c>
      <c r="AN78" s="164">
        <f>Y78*Forutsetninger!$C$30+Z78+AA78*Forutsetninger!$B$6+AC78*Forutsetninger!$C$24</f>
        <v>0</v>
      </c>
    </row>
    <row r="79" spans="1:40" s="62" customFormat="1" ht="12.75" x14ac:dyDescent="0.2">
      <c r="A79">
        <v>2232015</v>
      </c>
      <c r="B79" t="s">
        <v>251</v>
      </c>
      <c r="C79" s="170">
        <v>2015</v>
      </c>
      <c r="D79" s="145">
        <f t="shared" si="28"/>
        <v>25692.153755055799</v>
      </c>
      <c r="E79" s="146">
        <v>0</v>
      </c>
      <c r="F79" s="41">
        <f t="shared" si="29"/>
        <v>25692.153755055799</v>
      </c>
      <c r="G79" s="42">
        <f t="shared" si="30"/>
        <v>10565</v>
      </c>
      <c r="H79" s="42">
        <f t="shared" si="20"/>
        <v>167571</v>
      </c>
      <c r="I79" s="42">
        <f t="shared" si="21"/>
        <v>169246.71</v>
      </c>
      <c r="J79" s="41">
        <f t="shared" si="22"/>
        <v>17168</v>
      </c>
      <c r="K79" s="41">
        <f t="shared" si="23"/>
        <v>0</v>
      </c>
      <c r="L79" s="41">
        <f t="shared" si="24"/>
        <v>0</v>
      </c>
      <c r="M79" s="42">
        <f t="shared" si="25"/>
        <v>1127</v>
      </c>
      <c r="N79" s="162">
        <v>25692.153755055799</v>
      </c>
      <c r="O79" s="162">
        <v>10565</v>
      </c>
      <c r="P79" s="162">
        <v>169246.71</v>
      </c>
      <c r="Q79" s="162">
        <v>17168</v>
      </c>
      <c r="R79" s="162">
        <v>1127</v>
      </c>
      <c r="S79" s="162">
        <v>530.64</v>
      </c>
      <c r="T79" s="162">
        <v>0</v>
      </c>
      <c r="U79" s="162">
        <v>0</v>
      </c>
      <c r="V79" s="162">
        <v>0</v>
      </c>
      <c r="W79" s="162">
        <v>0</v>
      </c>
      <c r="X79" s="162">
        <v>0</v>
      </c>
      <c r="Y79" s="162">
        <v>0</v>
      </c>
      <c r="Z79" s="162">
        <v>0</v>
      </c>
      <c r="AA79" s="162">
        <v>0</v>
      </c>
      <c r="AB79" s="162">
        <v>0</v>
      </c>
      <c r="AC79" s="162">
        <v>0</v>
      </c>
      <c r="AD79" s="176">
        <v>284.7804931</v>
      </c>
      <c r="AE79" s="165">
        <f>N79*Forutsetninger!$C$30</f>
        <v>27182.298672849036</v>
      </c>
      <c r="AF79" s="165">
        <f t="shared" si="26"/>
        <v>4889.1115055408</v>
      </c>
      <c r="AG79" s="165">
        <f>S79*Forutsetninger!$C$24</f>
        <v>559.8252</v>
      </c>
      <c r="AH79" s="165">
        <f>AE79+O79+AF79+R79*Forutsetninger!$C$24-AG79</f>
        <v>43265.569978389838</v>
      </c>
      <c r="AI79" s="165">
        <f>AH79+P79*Forutsetninger!$B$6</f>
        <v>53623.468630389834</v>
      </c>
      <c r="AJ79" s="165">
        <f>T79*Forutsetninger!$C$30</f>
        <v>0</v>
      </c>
      <c r="AK79" s="165">
        <f t="shared" si="27"/>
        <v>0</v>
      </c>
      <c r="AL79" s="165">
        <f>AJ79+U79+AK79+X79*Forutsetninger!$C$24</f>
        <v>0</v>
      </c>
      <c r="AM79" s="164">
        <f>(T79)*Forutsetninger!$C$30+X79*Forutsetninger!$C$24+U79+V79*Forutsetninger!$B$6</f>
        <v>0</v>
      </c>
      <c r="AN79" s="164">
        <f>Y79*Forutsetninger!$C$30+Z79+AA79*Forutsetninger!$B$6+AC79*Forutsetninger!$C$24</f>
        <v>0</v>
      </c>
    </row>
    <row r="80" spans="1:40" s="62" customFormat="1" ht="12.75" x14ac:dyDescent="0.2">
      <c r="A80">
        <v>2272015</v>
      </c>
      <c r="B80" t="s">
        <v>252</v>
      </c>
      <c r="C80" s="170">
        <v>2015</v>
      </c>
      <c r="D80" s="145">
        <f t="shared" si="28"/>
        <v>198332.37847781574</v>
      </c>
      <c r="E80" s="146">
        <v>1188</v>
      </c>
      <c r="F80" s="41">
        <f t="shared" si="29"/>
        <v>197144.37847781574</v>
      </c>
      <c r="G80" s="42">
        <f t="shared" si="30"/>
        <v>100579</v>
      </c>
      <c r="H80" s="42">
        <f t="shared" si="20"/>
        <v>1797113</v>
      </c>
      <c r="I80" s="42">
        <f t="shared" si="21"/>
        <v>1815084.1300000004</v>
      </c>
      <c r="J80" s="41">
        <f t="shared" si="22"/>
        <v>85509</v>
      </c>
      <c r="K80" s="41">
        <f t="shared" si="23"/>
        <v>71909</v>
      </c>
      <c r="L80" s="41">
        <f t="shared" si="24"/>
        <v>0</v>
      </c>
      <c r="M80" s="42">
        <f t="shared" si="25"/>
        <v>34270</v>
      </c>
      <c r="N80" s="162">
        <v>152105.50192993999</v>
      </c>
      <c r="O80" s="162">
        <v>77526</v>
      </c>
      <c r="P80" s="162">
        <v>1292053.6100000001</v>
      </c>
      <c r="Q80" s="162">
        <v>85509</v>
      </c>
      <c r="R80" s="162">
        <v>30191</v>
      </c>
      <c r="S80" s="162">
        <v>0</v>
      </c>
      <c r="T80" s="162">
        <v>39443.213101318601</v>
      </c>
      <c r="U80" s="162">
        <v>18322</v>
      </c>
      <c r="V80" s="162">
        <v>454313.15</v>
      </c>
      <c r="W80" s="162">
        <v>71909</v>
      </c>
      <c r="X80" s="162">
        <v>4079</v>
      </c>
      <c r="Y80" s="162">
        <v>5595.6634465571597</v>
      </c>
      <c r="Z80" s="162">
        <v>4731</v>
      </c>
      <c r="AA80" s="162">
        <v>68717.37</v>
      </c>
      <c r="AB80" s="162">
        <v>0</v>
      </c>
      <c r="AC80" s="162">
        <v>0</v>
      </c>
      <c r="AD80" s="176">
        <v>257.06098230000003</v>
      </c>
      <c r="AE80" s="165">
        <f>N80*Forutsetninger!$C$30</f>
        <v>160927.62104187653</v>
      </c>
      <c r="AF80" s="165">
        <f t="shared" si="26"/>
        <v>21981.027535490703</v>
      </c>
      <c r="AG80" s="165">
        <f>S80*Forutsetninger!$C$24</f>
        <v>0</v>
      </c>
      <c r="AH80" s="165">
        <f>AE80+O80+AF80+R80*Forutsetninger!$C$24-AG80</f>
        <v>292286.15357736719</v>
      </c>
      <c r="AI80" s="165">
        <f>AH80+P80*Forutsetninger!$B$6</f>
        <v>371359.83450936718</v>
      </c>
      <c r="AJ80" s="165">
        <f>T80*Forutsetninger!$C$30</f>
        <v>41730.919461195081</v>
      </c>
      <c r="AK80" s="165">
        <f t="shared" si="27"/>
        <v>18484.998176210702</v>
      </c>
      <c r="AL80" s="165">
        <f>AJ80+U80+AK80+X80*Forutsetninger!$C$24</f>
        <v>82841.262637405787</v>
      </c>
      <c r="AM80" s="164">
        <f>(T80)*Forutsetninger!$C$30+X80*Forutsetninger!$C$24+U80+V80*Forutsetninger!$B$6</f>
        <v>92160.229241195077</v>
      </c>
      <c r="AN80" s="164">
        <f>Y80*Forutsetninger!$C$30+Z80+AA80*Forutsetninger!$B$6+AC80*Forutsetninger!$C$24</f>
        <v>14856.714970457475</v>
      </c>
    </row>
    <row r="81" spans="1:40" s="62" customFormat="1" ht="12.75" x14ac:dyDescent="0.2">
      <c r="A81">
        <v>2312015</v>
      </c>
      <c r="B81" t="s">
        <v>253</v>
      </c>
      <c r="C81" s="170">
        <v>2015</v>
      </c>
      <c r="D81" s="145">
        <f t="shared" si="28"/>
        <v>9749.6641314135904</v>
      </c>
      <c r="E81" s="146">
        <v>0</v>
      </c>
      <c r="F81" s="41">
        <f t="shared" si="29"/>
        <v>9749.6641314135904</v>
      </c>
      <c r="G81" s="42">
        <f t="shared" si="30"/>
        <v>2918</v>
      </c>
      <c r="H81" s="42">
        <f t="shared" si="20"/>
        <v>37811</v>
      </c>
      <c r="I81" s="42">
        <f t="shared" si="21"/>
        <v>38189.11</v>
      </c>
      <c r="J81" s="41">
        <f t="shared" si="22"/>
        <v>6548</v>
      </c>
      <c r="K81" s="41">
        <f t="shared" si="23"/>
        <v>0</v>
      </c>
      <c r="L81" s="41">
        <f t="shared" si="24"/>
        <v>0</v>
      </c>
      <c r="M81" s="42">
        <f t="shared" si="25"/>
        <v>80</v>
      </c>
      <c r="N81" s="162">
        <v>9749.6641314135904</v>
      </c>
      <c r="O81" s="162">
        <v>2918</v>
      </c>
      <c r="P81" s="162">
        <v>38189.11</v>
      </c>
      <c r="Q81" s="162">
        <v>6548</v>
      </c>
      <c r="R81" s="162">
        <v>80</v>
      </c>
      <c r="S81" s="162">
        <v>263.23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62">
        <v>0</v>
      </c>
      <c r="AB81" s="162">
        <v>0</v>
      </c>
      <c r="AC81" s="162">
        <v>0</v>
      </c>
      <c r="AD81" s="176">
        <v>286.91705400000001</v>
      </c>
      <c r="AE81" s="165">
        <f>N81*Forutsetninger!$C$30</f>
        <v>10315.14465103558</v>
      </c>
      <c r="AF81" s="165">
        <f t="shared" si="26"/>
        <v>1878.732869592</v>
      </c>
      <c r="AG81" s="165">
        <f>S81*Forutsetninger!$C$24</f>
        <v>277.70765</v>
      </c>
      <c r="AH81" s="165">
        <f>AE81+O81+AF81+R81*Forutsetninger!$C$24-AG81</f>
        <v>14918.56987062758</v>
      </c>
      <c r="AI81" s="165">
        <f>AH81+P81*Forutsetninger!$B$6</f>
        <v>17255.743402627581</v>
      </c>
      <c r="AJ81" s="165">
        <f>T81*Forutsetninger!$C$30</f>
        <v>0</v>
      </c>
      <c r="AK81" s="165">
        <f t="shared" si="27"/>
        <v>0</v>
      </c>
      <c r="AL81" s="165">
        <f>AJ81+U81+AK81+X81*Forutsetninger!$C$24</f>
        <v>0</v>
      </c>
      <c r="AM81" s="164">
        <f>(T81)*Forutsetninger!$C$30+X81*Forutsetninger!$C$24+U81+V81*Forutsetninger!$B$6</f>
        <v>0</v>
      </c>
      <c r="AN81" s="164">
        <f>Y81*Forutsetninger!$C$30+Z81+AA81*Forutsetninger!$B$6+AC81*Forutsetninger!$C$24</f>
        <v>0</v>
      </c>
    </row>
    <row r="82" spans="1:40" s="62" customFormat="1" ht="12.75" x14ac:dyDescent="0.2">
      <c r="A82">
        <v>2342015</v>
      </c>
      <c r="B82" t="s">
        <v>254</v>
      </c>
      <c r="C82" s="170">
        <v>2015</v>
      </c>
      <c r="D82" s="145">
        <f t="shared" si="28"/>
        <v>16977.1915098586</v>
      </c>
      <c r="E82" s="146">
        <v>0</v>
      </c>
      <c r="F82" s="41">
        <f t="shared" si="29"/>
        <v>16977.1915098586</v>
      </c>
      <c r="G82" s="42">
        <f t="shared" si="30"/>
        <v>4319</v>
      </c>
      <c r="H82" s="42">
        <f t="shared" si="20"/>
        <v>72319</v>
      </c>
      <c r="I82" s="42">
        <f t="shared" si="21"/>
        <v>73042.19</v>
      </c>
      <c r="J82" s="41">
        <f t="shared" si="22"/>
        <v>3487</v>
      </c>
      <c r="K82" s="41">
        <f t="shared" si="23"/>
        <v>0</v>
      </c>
      <c r="L82" s="41">
        <f t="shared" si="24"/>
        <v>0</v>
      </c>
      <c r="M82" s="42">
        <f t="shared" si="25"/>
        <v>1340</v>
      </c>
      <c r="N82" s="162">
        <v>16977.1915098586</v>
      </c>
      <c r="O82" s="162">
        <v>4319</v>
      </c>
      <c r="P82" s="162">
        <v>73042.19</v>
      </c>
      <c r="Q82" s="162">
        <v>3487</v>
      </c>
      <c r="R82" s="162">
        <v>1340</v>
      </c>
      <c r="S82" s="162">
        <v>65.8</v>
      </c>
      <c r="T82" s="162">
        <v>0</v>
      </c>
      <c r="U82" s="162">
        <v>0</v>
      </c>
      <c r="V82" s="162">
        <v>0</v>
      </c>
      <c r="W82" s="162">
        <v>0</v>
      </c>
      <c r="X82" s="162">
        <v>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76">
        <v>284.7804931</v>
      </c>
      <c r="AE82" s="165">
        <f>N82*Forutsetninger!$C$30</f>
        <v>17961.868617430398</v>
      </c>
      <c r="AF82" s="165">
        <f t="shared" si="26"/>
        <v>993.0295794397</v>
      </c>
      <c r="AG82" s="165">
        <f>S82*Forutsetninger!$C$24</f>
        <v>69.418999999999997</v>
      </c>
      <c r="AH82" s="165">
        <f>AE82+O82+AF82+R82*Forutsetninger!$C$24-AG82</f>
        <v>24618.179196870096</v>
      </c>
      <c r="AI82" s="165">
        <f>AH82+P82*Forutsetninger!$B$6</f>
        <v>29088.361224870096</v>
      </c>
      <c r="AJ82" s="165">
        <f>T82*Forutsetninger!$C$30</f>
        <v>0</v>
      </c>
      <c r="AK82" s="165">
        <f t="shared" si="27"/>
        <v>0</v>
      </c>
      <c r="AL82" s="165">
        <f>AJ82+U82+AK82+X82*Forutsetninger!$C$24</f>
        <v>0</v>
      </c>
      <c r="AM82" s="164">
        <f>(T82)*Forutsetninger!$C$30+X82*Forutsetninger!$C$24+U82+V82*Forutsetninger!$B$6</f>
        <v>0</v>
      </c>
      <c r="AN82" s="164">
        <f>Y82*Forutsetninger!$C$30+Z82+AA82*Forutsetninger!$B$6+AC82*Forutsetninger!$C$24</f>
        <v>0</v>
      </c>
    </row>
    <row r="83" spans="1:40" s="62" customFormat="1" ht="12.75" x14ac:dyDescent="0.2">
      <c r="A83">
        <v>2382015</v>
      </c>
      <c r="B83" t="s">
        <v>176</v>
      </c>
      <c r="C83" s="170">
        <v>2015</v>
      </c>
      <c r="D83" s="145">
        <f t="shared" si="28"/>
        <v>33214.6478214995</v>
      </c>
      <c r="E83" s="146">
        <v>0</v>
      </c>
      <c r="F83" s="41">
        <f t="shared" si="29"/>
        <v>33214.6478214995</v>
      </c>
      <c r="G83" s="42">
        <f t="shared" si="30"/>
        <v>8259</v>
      </c>
      <c r="H83" s="42">
        <f t="shared" si="20"/>
        <v>127852</v>
      </c>
      <c r="I83" s="42">
        <f t="shared" si="21"/>
        <v>129130.51999999999</v>
      </c>
      <c r="J83" s="41">
        <f t="shared" si="22"/>
        <v>13383</v>
      </c>
      <c r="K83" s="41">
        <f t="shared" si="23"/>
        <v>1487</v>
      </c>
      <c r="L83" s="41">
        <f t="shared" si="24"/>
        <v>0</v>
      </c>
      <c r="M83" s="42">
        <f t="shared" si="25"/>
        <v>3770</v>
      </c>
      <c r="N83" s="162">
        <v>32283.903937978601</v>
      </c>
      <c r="O83" s="162">
        <v>7994</v>
      </c>
      <c r="P83" s="162">
        <v>110806.09</v>
      </c>
      <c r="Q83" s="162">
        <v>13383</v>
      </c>
      <c r="R83" s="162">
        <v>3770</v>
      </c>
      <c r="S83" s="162">
        <v>493.56</v>
      </c>
      <c r="T83" s="162">
        <v>930.74388352090295</v>
      </c>
      <c r="U83" s="162">
        <v>265</v>
      </c>
      <c r="V83" s="162">
        <v>18324.43</v>
      </c>
      <c r="W83" s="162">
        <v>1487</v>
      </c>
      <c r="X83" s="162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76">
        <v>284.74774189999999</v>
      </c>
      <c r="AE83" s="165">
        <f>N83*Forutsetninger!$C$30</f>
        <v>34156.370366381365</v>
      </c>
      <c r="AF83" s="165">
        <f t="shared" si="26"/>
        <v>3810.7790298477003</v>
      </c>
      <c r="AG83" s="165">
        <f>S83*Forutsetninger!$C$24</f>
        <v>520.70579999999995</v>
      </c>
      <c r="AH83" s="165">
        <f>AE83+O83+AF83+R83*Forutsetninger!$C$24-AG83</f>
        <v>49417.793596229058</v>
      </c>
      <c r="AI83" s="165">
        <f>AH83+P83*Forutsetninger!$B$6</f>
        <v>56199.126304229059</v>
      </c>
      <c r="AJ83" s="165">
        <f>T83*Forutsetninger!$C$30</f>
        <v>984.72702876511539</v>
      </c>
      <c r="AK83" s="165">
        <f t="shared" si="27"/>
        <v>423.41989220529996</v>
      </c>
      <c r="AL83" s="165">
        <f>AJ83+U83+AK83+X83*Forutsetninger!$C$24</f>
        <v>1673.1469209704153</v>
      </c>
      <c r="AM83" s="164">
        <f>(T83)*Forutsetninger!$C$30+X83*Forutsetninger!$C$24+U83+V83*Forutsetninger!$B$6</f>
        <v>2371.1821447651155</v>
      </c>
      <c r="AN83" s="164">
        <f>Y83*Forutsetninger!$C$30+Z83+AA83*Forutsetninger!$B$6+AC83*Forutsetninger!$C$24</f>
        <v>0</v>
      </c>
    </row>
    <row r="84" spans="1:40" s="62" customFormat="1" ht="12.75" x14ac:dyDescent="0.2">
      <c r="A84">
        <v>2422015</v>
      </c>
      <c r="B84" t="s">
        <v>255</v>
      </c>
      <c r="C84" s="170">
        <v>2015</v>
      </c>
      <c r="D84" s="145">
        <f t="shared" si="28"/>
        <v>7436.8131822862997</v>
      </c>
      <c r="E84" s="146">
        <v>0</v>
      </c>
      <c r="F84" s="41">
        <f t="shared" si="29"/>
        <v>7436.8131822862997</v>
      </c>
      <c r="G84" s="42">
        <f t="shared" si="30"/>
        <v>2080</v>
      </c>
      <c r="H84" s="42">
        <f t="shared" si="20"/>
        <v>36294</v>
      </c>
      <c r="I84" s="42">
        <f t="shared" si="21"/>
        <v>36656.94</v>
      </c>
      <c r="J84" s="42">
        <f t="shared" si="22"/>
        <v>2192</v>
      </c>
      <c r="K84" s="42">
        <f t="shared" si="23"/>
        <v>0</v>
      </c>
      <c r="L84" s="41">
        <f t="shared" si="24"/>
        <v>0</v>
      </c>
      <c r="M84" s="42">
        <f t="shared" si="25"/>
        <v>150</v>
      </c>
      <c r="N84" s="162">
        <v>7436.8131822862997</v>
      </c>
      <c r="O84" s="162">
        <v>2080</v>
      </c>
      <c r="P84" s="162">
        <v>36656.94</v>
      </c>
      <c r="Q84" s="162">
        <v>2192</v>
      </c>
      <c r="R84" s="162">
        <v>150</v>
      </c>
      <c r="S84" s="162">
        <v>0</v>
      </c>
      <c r="T84" s="162">
        <v>0</v>
      </c>
      <c r="U84" s="162">
        <v>0</v>
      </c>
      <c r="V84" s="162">
        <v>0</v>
      </c>
      <c r="W84" s="162">
        <v>0</v>
      </c>
      <c r="X84" s="162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0</v>
      </c>
      <c r="AD84" s="176">
        <v>284.74774189999999</v>
      </c>
      <c r="AE84" s="165">
        <f>N84*Forutsetninger!$C$30</f>
        <v>7868.1483468589058</v>
      </c>
      <c r="AF84" s="166">
        <f t="shared" si="26"/>
        <v>624.16705024479995</v>
      </c>
      <c r="AG84" s="165">
        <f>S84*Forutsetninger!$C$24</f>
        <v>0</v>
      </c>
      <c r="AH84" s="165">
        <f>AE84+O84+AF84+R84*Forutsetninger!$C$24-AG84</f>
        <v>10730.565397103706</v>
      </c>
      <c r="AI84" s="166">
        <f>AH84+P84*Forutsetninger!$B$6</f>
        <v>12973.970125103706</v>
      </c>
      <c r="AJ84" s="165">
        <f>T84*Forutsetninger!$C$30</f>
        <v>0</v>
      </c>
      <c r="AK84" s="166">
        <f t="shared" si="27"/>
        <v>0</v>
      </c>
      <c r="AL84" s="165">
        <f>AJ84+U84+AK84+X84*Forutsetninger!$C$24</f>
        <v>0</v>
      </c>
      <c r="AM84" s="164">
        <f>(T84)*Forutsetninger!$C$30+X84*Forutsetninger!$C$24+U84+V84*Forutsetninger!$B$6</f>
        <v>0</v>
      </c>
      <c r="AN84" s="164">
        <f>Y84*Forutsetninger!$C$30+Z84+AA84*Forutsetninger!$B$6+AC84*Forutsetninger!$C$24</f>
        <v>0</v>
      </c>
    </row>
    <row r="85" spans="1:40" s="62" customFormat="1" ht="12.75" x14ac:dyDescent="0.2">
      <c r="A85">
        <v>2482015</v>
      </c>
      <c r="B85" t="s">
        <v>256</v>
      </c>
      <c r="C85" s="170">
        <v>2015</v>
      </c>
      <c r="D85" s="145">
        <f t="shared" si="28"/>
        <v>11605.0843903643</v>
      </c>
      <c r="E85" s="146">
        <v>0</v>
      </c>
      <c r="F85" s="41">
        <f t="shared" si="29"/>
        <v>11605.0843903643</v>
      </c>
      <c r="G85" s="42">
        <f t="shared" si="30"/>
        <v>3062</v>
      </c>
      <c r="H85" s="42">
        <f t="shared" si="20"/>
        <v>42250</v>
      </c>
      <c r="I85" s="42">
        <f t="shared" si="21"/>
        <v>42672.5</v>
      </c>
      <c r="J85" s="41">
        <f t="shared" si="22"/>
        <v>2558</v>
      </c>
      <c r="K85" s="41">
        <f t="shared" si="23"/>
        <v>0</v>
      </c>
      <c r="L85" s="41">
        <f t="shared" si="24"/>
        <v>0</v>
      </c>
      <c r="M85" s="42">
        <f t="shared" si="25"/>
        <v>241</v>
      </c>
      <c r="N85" s="162">
        <v>11605.0843903643</v>
      </c>
      <c r="O85" s="162">
        <v>3062</v>
      </c>
      <c r="P85" s="162">
        <v>42672.5</v>
      </c>
      <c r="Q85" s="162">
        <v>2558</v>
      </c>
      <c r="R85" s="162">
        <v>241</v>
      </c>
      <c r="S85" s="162">
        <v>0</v>
      </c>
      <c r="T85" s="162">
        <v>0</v>
      </c>
      <c r="U85" s="162">
        <v>0</v>
      </c>
      <c r="V85" s="162">
        <v>0</v>
      </c>
      <c r="W85" s="162">
        <v>0</v>
      </c>
      <c r="X85" s="162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0</v>
      </c>
      <c r="AD85" s="176">
        <v>286.0385478</v>
      </c>
      <c r="AE85" s="165">
        <f>N85*Forutsetninger!$C$30</f>
        <v>12278.17928500543</v>
      </c>
      <c r="AF85" s="165">
        <f t="shared" si="26"/>
        <v>731.68660527240002</v>
      </c>
      <c r="AG85" s="165">
        <f>S85*Forutsetninger!$C$24</f>
        <v>0</v>
      </c>
      <c r="AH85" s="165">
        <f>AE85+O85+AF85+R85*Forutsetninger!$C$24-AG85</f>
        <v>16326.120890277829</v>
      </c>
      <c r="AI85" s="165">
        <f>AH85+P85*Forutsetninger!$B$6</f>
        <v>18937.677890277828</v>
      </c>
      <c r="AJ85" s="165">
        <f>T85*Forutsetninger!$C$30</f>
        <v>0</v>
      </c>
      <c r="AK85" s="165">
        <f t="shared" si="27"/>
        <v>0</v>
      </c>
      <c r="AL85" s="165">
        <f>AJ85+U85+AK85+X85*Forutsetninger!$C$24</f>
        <v>0</v>
      </c>
      <c r="AM85" s="164">
        <f>(T85)*Forutsetninger!$C$30+X85*Forutsetninger!$C$24+U85+V85*Forutsetninger!$B$6</f>
        <v>0</v>
      </c>
      <c r="AN85" s="164">
        <f>Y85*Forutsetninger!$C$30+Z85+AA85*Forutsetninger!$B$6+AC85*Forutsetninger!$C$24</f>
        <v>0</v>
      </c>
    </row>
    <row r="86" spans="1:40" s="62" customFormat="1" ht="12.75" x14ac:dyDescent="0.2">
      <c r="A86">
        <v>2492015</v>
      </c>
      <c r="B86" t="s">
        <v>257</v>
      </c>
      <c r="C86" s="170">
        <v>2015</v>
      </c>
      <c r="D86" s="145">
        <f t="shared" si="28"/>
        <v>67361.537621359807</v>
      </c>
      <c r="E86" s="146">
        <v>246</v>
      </c>
      <c r="F86" s="41">
        <f t="shared" si="29"/>
        <v>67115.537621359807</v>
      </c>
      <c r="G86" s="42">
        <f t="shared" si="30"/>
        <v>32403</v>
      </c>
      <c r="H86" s="42">
        <f t="shared" si="20"/>
        <v>700935</v>
      </c>
      <c r="I86" s="42">
        <f t="shared" si="21"/>
        <v>707944.35</v>
      </c>
      <c r="J86" s="41">
        <f t="shared" si="22"/>
        <v>34911</v>
      </c>
      <c r="K86" s="41">
        <f t="shared" si="23"/>
        <v>18088</v>
      </c>
      <c r="L86" s="41">
        <f t="shared" si="24"/>
        <v>0</v>
      </c>
      <c r="M86" s="42">
        <f t="shared" si="25"/>
        <v>5116</v>
      </c>
      <c r="N86" s="162">
        <v>54852.277590149803</v>
      </c>
      <c r="O86" s="162">
        <v>19372</v>
      </c>
      <c r="P86" s="162">
        <v>425348.37</v>
      </c>
      <c r="Q86" s="162">
        <v>34911</v>
      </c>
      <c r="R86" s="162">
        <v>4230</v>
      </c>
      <c r="S86" s="162">
        <v>0</v>
      </c>
      <c r="T86" s="162">
        <v>12263.26003121</v>
      </c>
      <c r="U86" s="162">
        <v>13031</v>
      </c>
      <c r="V86" s="162">
        <v>282595.98</v>
      </c>
      <c r="W86" s="162">
        <v>18088</v>
      </c>
      <c r="X86" s="162">
        <v>886</v>
      </c>
      <c r="Y86" s="162">
        <v>0</v>
      </c>
      <c r="Z86" s="162">
        <v>0</v>
      </c>
      <c r="AA86" s="162">
        <v>0</v>
      </c>
      <c r="AB86" s="162">
        <v>0</v>
      </c>
      <c r="AC86" s="162">
        <v>0</v>
      </c>
      <c r="AD86" s="176">
        <v>257.06098230000003</v>
      </c>
      <c r="AE86" s="165">
        <f>N86*Forutsetninger!$C$30</f>
        <v>58033.709690378491</v>
      </c>
      <c r="AF86" s="165">
        <f t="shared" si="26"/>
        <v>8974.2559530753006</v>
      </c>
      <c r="AG86" s="165">
        <f>S86*Forutsetninger!$C$24</f>
        <v>0</v>
      </c>
      <c r="AH86" s="165">
        <f>AE86+O86+AF86+R86*Forutsetninger!$C$24-AG86</f>
        <v>90842.615643453784</v>
      </c>
      <c r="AI86" s="165">
        <f>AH86+P86*Forutsetninger!$B$6</f>
        <v>116873.93588745379</v>
      </c>
      <c r="AJ86" s="165">
        <f>T86*Forutsetninger!$C$30</f>
        <v>12974.52911302018</v>
      </c>
      <c r="AK86" s="165">
        <f t="shared" si="27"/>
        <v>4649.7190478424009</v>
      </c>
      <c r="AL86" s="165">
        <f>AJ86+U86+AK86+X86*Forutsetninger!$C$24</f>
        <v>31589.978160862582</v>
      </c>
      <c r="AM86" s="164">
        <f>(T86)*Forutsetninger!$C$30+X86*Forutsetninger!$C$24+U86+V86*Forutsetninger!$B$6</f>
        <v>44235.133089020179</v>
      </c>
      <c r="AN86" s="164">
        <f>Y86*Forutsetninger!$C$30+Z86+AA86*Forutsetninger!$B$6+AC86*Forutsetninger!$C$24</f>
        <v>0</v>
      </c>
    </row>
    <row r="87" spans="1:40" s="62" customFormat="1" ht="12.75" x14ac:dyDescent="0.2">
      <c r="A87">
        <v>2512015</v>
      </c>
      <c r="B87" t="s">
        <v>258</v>
      </c>
      <c r="C87" s="170">
        <v>2015</v>
      </c>
      <c r="D87" s="145">
        <f t="shared" si="28"/>
        <v>56094.329376905516</v>
      </c>
      <c r="E87" s="146">
        <v>0</v>
      </c>
      <c r="F87" s="41">
        <f t="shared" si="29"/>
        <v>56094.329376905516</v>
      </c>
      <c r="G87" s="42">
        <f t="shared" si="30"/>
        <v>13710</v>
      </c>
      <c r="H87" s="42">
        <f t="shared" si="20"/>
        <v>340318</v>
      </c>
      <c r="I87" s="42">
        <f t="shared" si="21"/>
        <v>343721.18</v>
      </c>
      <c r="J87" s="41">
        <f t="shared" si="22"/>
        <v>18090</v>
      </c>
      <c r="K87" s="41">
        <f t="shared" si="23"/>
        <v>16777</v>
      </c>
      <c r="L87" s="41">
        <f t="shared" si="24"/>
        <v>0</v>
      </c>
      <c r="M87" s="42">
        <f t="shared" si="25"/>
        <v>7131</v>
      </c>
      <c r="N87" s="162">
        <v>50254.576078801503</v>
      </c>
      <c r="O87" s="162">
        <v>10885</v>
      </c>
      <c r="P87" s="162">
        <v>277088.45</v>
      </c>
      <c r="Q87" s="162">
        <v>18090</v>
      </c>
      <c r="R87" s="162">
        <v>7131</v>
      </c>
      <c r="S87" s="162">
        <v>0</v>
      </c>
      <c r="T87" s="162">
        <v>5839.7532981040104</v>
      </c>
      <c r="U87" s="162">
        <v>2825</v>
      </c>
      <c r="V87" s="162">
        <v>66632.73</v>
      </c>
      <c r="W87" s="162">
        <v>16777</v>
      </c>
      <c r="X87" s="162">
        <v>0</v>
      </c>
      <c r="Y87" s="162">
        <v>0</v>
      </c>
      <c r="Z87" s="162">
        <v>0</v>
      </c>
      <c r="AA87" s="162">
        <v>0</v>
      </c>
      <c r="AB87" s="162">
        <v>0</v>
      </c>
      <c r="AC87" s="162">
        <v>0</v>
      </c>
      <c r="AD87" s="176">
        <v>284.7804931</v>
      </c>
      <c r="AE87" s="165">
        <f>N87*Forutsetninger!$C$30</f>
        <v>53169.34149137199</v>
      </c>
      <c r="AF87" s="165">
        <f t="shared" si="26"/>
        <v>5151.6791201790002</v>
      </c>
      <c r="AG87" s="165">
        <f>S87*Forutsetninger!$C$24</f>
        <v>0</v>
      </c>
      <c r="AH87" s="165">
        <f>AE87+O87+AF87+R87*Forutsetninger!$C$24-AG87</f>
        <v>76729.225611550995</v>
      </c>
      <c r="AI87" s="165">
        <f>AH87+P87*Forutsetninger!$B$6</f>
        <v>93687.038751550994</v>
      </c>
      <c r="AJ87" s="165">
        <f>T87*Forutsetninger!$C$30</f>
        <v>6178.4589893940429</v>
      </c>
      <c r="AK87" s="165">
        <f t="shared" si="27"/>
        <v>4777.7623327387</v>
      </c>
      <c r="AL87" s="165">
        <f>AJ87+U87+AK87+X87*Forutsetninger!$C$24</f>
        <v>13781.221322132744</v>
      </c>
      <c r="AM87" s="164">
        <f>(T87)*Forutsetninger!$C$30+X87*Forutsetninger!$C$24+U87+V87*Forutsetninger!$B$6</f>
        <v>13081.382065394042</v>
      </c>
      <c r="AN87" s="164">
        <f>Y87*Forutsetninger!$C$30+Z87+AA87*Forutsetninger!$B$6+AC87*Forutsetninger!$C$24</f>
        <v>0</v>
      </c>
    </row>
    <row r="88" spans="1:40" s="62" customFormat="1" ht="12.75" x14ac:dyDescent="0.2">
      <c r="A88">
        <v>2572015</v>
      </c>
      <c r="B88" t="s">
        <v>374</v>
      </c>
      <c r="C88" s="170">
        <v>2015</v>
      </c>
      <c r="D88" s="145">
        <f t="shared" si="28"/>
        <v>53266.398189205109</v>
      </c>
      <c r="E88" s="146">
        <v>0</v>
      </c>
      <c r="F88" s="41">
        <f t="shared" si="29"/>
        <v>53266.398189205109</v>
      </c>
      <c r="G88" s="42">
        <f t="shared" si="30"/>
        <v>21352</v>
      </c>
      <c r="H88" s="42">
        <f t="shared" si="20"/>
        <v>375835</v>
      </c>
      <c r="I88" s="42">
        <f t="shared" si="21"/>
        <v>379593.35</v>
      </c>
      <c r="J88" s="41">
        <f t="shared" si="22"/>
        <v>19861</v>
      </c>
      <c r="K88" s="41">
        <f t="shared" si="23"/>
        <v>3504</v>
      </c>
      <c r="L88" s="41">
        <f t="shared" si="24"/>
        <v>0</v>
      </c>
      <c r="M88" s="42">
        <f t="shared" si="25"/>
        <v>5530</v>
      </c>
      <c r="N88" s="162">
        <v>45319.496069633497</v>
      </c>
      <c r="O88" s="162">
        <v>19361</v>
      </c>
      <c r="P88" s="162">
        <v>305632.06</v>
      </c>
      <c r="Q88" s="162">
        <v>19861</v>
      </c>
      <c r="R88" s="162">
        <v>3030</v>
      </c>
      <c r="S88" s="162">
        <v>1645.2</v>
      </c>
      <c r="T88" s="162">
        <v>7946.9021195716095</v>
      </c>
      <c r="U88" s="162">
        <v>1991</v>
      </c>
      <c r="V88" s="162">
        <v>73961.289999999994</v>
      </c>
      <c r="W88" s="162">
        <v>3504</v>
      </c>
      <c r="X88" s="162">
        <v>2500</v>
      </c>
      <c r="Y88" s="162">
        <v>0</v>
      </c>
      <c r="Z88" s="162">
        <v>0</v>
      </c>
      <c r="AA88" s="162">
        <v>0</v>
      </c>
      <c r="AB88" s="162">
        <v>0</v>
      </c>
      <c r="AC88" s="162">
        <v>0</v>
      </c>
      <c r="AD88" s="176">
        <v>284.7804931</v>
      </c>
      <c r="AE88" s="165">
        <f>N88*Forutsetninger!$C$30</f>
        <v>47948.026841672239</v>
      </c>
      <c r="AF88" s="165">
        <f t="shared" si="26"/>
        <v>5656.0253734590997</v>
      </c>
      <c r="AG88" s="165">
        <f>S88*Forutsetninger!$C$24</f>
        <v>1735.6859999999999</v>
      </c>
      <c r="AH88" s="165">
        <f>AE88+O88+AF88+R88*Forutsetninger!$C$24-AG88</f>
        <v>74426.016215131327</v>
      </c>
      <c r="AI88" s="165">
        <f>AH88+P88*Forutsetninger!$B$6</f>
        <v>93130.698287131323</v>
      </c>
      <c r="AJ88" s="165">
        <f>T88*Forutsetninger!$C$30</f>
        <v>8407.8224425067638</v>
      </c>
      <c r="AK88" s="165">
        <f t="shared" si="27"/>
        <v>997.87084782240004</v>
      </c>
      <c r="AL88" s="165">
        <f>AJ88+U88+AK88+X88*Forutsetninger!$C$24</f>
        <v>14034.193290329164</v>
      </c>
      <c r="AM88" s="164">
        <f>(T88)*Forutsetninger!$C$30+X88*Forutsetninger!$C$24+U88+V88*Forutsetninger!$B$6</f>
        <v>17562.753390506761</v>
      </c>
      <c r="AN88" s="164">
        <f>Y88*Forutsetninger!$C$30+Z88+AA88*Forutsetninger!$B$6+AC88*Forutsetninger!$C$24</f>
        <v>0</v>
      </c>
    </row>
    <row r="89" spans="1:40" s="62" customFormat="1" ht="12.75" x14ac:dyDescent="0.2">
      <c r="A89">
        <v>2642015</v>
      </c>
      <c r="B89" t="s">
        <v>260</v>
      </c>
      <c r="C89" s="170">
        <v>2015</v>
      </c>
      <c r="D89" s="145">
        <f t="shared" si="28"/>
        <v>18633.8354073357</v>
      </c>
      <c r="E89" s="146">
        <v>0</v>
      </c>
      <c r="F89" s="41">
        <f t="shared" si="29"/>
        <v>18633.8354073357</v>
      </c>
      <c r="G89" s="42">
        <f t="shared" si="30"/>
        <v>12534</v>
      </c>
      <c r="H89" s="42">
        <f t="shared" si="20"/>
        <v>138850</v>
      </c>
      <c r="I89" s="42">
        <f t="shared" si="21"/>
        <v>140238.5</v>
      </c>
      <c r="J89" s="41">
        <f t="shared" si="22"/>
        <v>15091</v>
      </c>
      <c r="K89" s="41">
        <f t="shared" si="23"/>
        <v>0</v>
      </c>
      <c r="L89" s="41">
        <f t="shared" si="24"/>
        <v>0</v>
      </c>
      <c r="M89" s="42">
        <f t="shared" si="25"/>
        <v>709</v>
      </c>
      <c r="N89" s="162">
        <v>18633.8354073357</v>
      </c>
      <c r="O89" s="162">
        <v>12534</v>
      </c>
      <c r="P89" s="162">
        <v>140238.5</v>
      </c>
      <c r="Q89" s="162">
        <v>15091</v>
      </c>
      <c r="R89" s="162">
        <v>709</v>
      </c>
      <c r="S89" s="162">
        <v>0</v>
      </c>
      <c r="T89" s="162">
        <v>0</v>
      </c>
      <c r="U89" s="162">
        <v>0</v>
      </c>
      <c r="V89" s="162">
        <v>0</v>
      </c>
      <c r="W89" s="162">
        <v>0</v>
      </c>
      <c r="X89" s="162">
        <v>0</v>
      </c>
      <c r="Y89" s="162">
        <v>0</v>
      </c>
      <c r="Z89" s="162">
        <v>0</v>
      </c>
      <c r="AA89" s="162">
        <v>0</v>
      </c>
      <c r="AB89" s="162">
        <v>0</v>
      </c>
      <c r="AC89" s="162">
        <v>0</v>
      </c>
      <c r="AD89" s="176">
        <v>286.91705400000001</v>
      </c>
      <c r="AE89" s="165">
        <f>N89*Forutsetninger!$C$30</f>
        <v>19714.59786096117</v>
      </c>
      <c r="AF89" s="165">
        <f t="shared" si="26"/>
        <v>4329.8652619140003</v>
      </c>
      <c r="AG89" s="165">
        <f>S89*Forutsetninger!$C$24</f>
        <v>0</v>
      </c>
      <c r="AH89" s="165">
        <f>AE89+O89+AF89+R89*Forutsetninger!$C$24-AG89</f>
        <v>37326.45812287517</v>
      </c>
      <c r="AI89" s="165">
        <f>AH89+P89*Forutsetninger!$B$6</f>
        <v>45909.05432287517</v>
      </c>
      <c r="AJ89" s="165">
        <f>T89*Forutsetninger!$C$30</f>
        <v>0</v>
      </c>
      <c r="AK89" s="165">
        <f t="shared" si="27"/>
        <v>0</v>
      </c>
      <c r="AL89" s="165">
        <f>AJ89+U89+AK89+X89*Forutsetninger!$C$24</f>
        <v>0</v>
      </c>
      <c r="AM89" s="164">
        <f>(T89)*Forutsetninger!$C$30+X89*Forutsetninger!$C$24+U89+V89*Forutsetninger!$B$6</f>
        <v>0</v>
      </c>
      <c r="AN89" s="164">
        <f>Y89*Forutsetninger!$C$30+Z89+AA89*Forutsetninger!$B$6+AC89*Forutsetninger!$C$24</f>
        <v>0</v>
      </c>
    </row>
    <row r="90" spans="1:40" s="62" customFormat="1" ht="12.75" x14ac:dyDescent="0.2">
      <c r="A90">
        <v>2672015</v>
      </c>
      <c r="B90" t="s">
        <v>261</v>
      </c>
      <c r="C90" s="170">
        <v>2015</v>
      </c>
      <c r="D90" s="145">
        <f t="shared" si="28"/>
        <v>13182.6049830683</v>
      </c>
      <c r="E90" s="146">
        <v>0</v>
      </c>
      <c r="F90" s="41">
        <f t="shared" si="29"/>
        <v>13182.6049830683</v>
      </c>
      <c r="G90" s="42">
        <f t="shared" si="30"/>
        <v>3861</v>
      </c>
      <c r="H90" s="42">
        <f t="shared" si="20"/>
        <v>60790</v>
      </c>
      <c r="I90" s="42">
        <f t="shared" si="21"/>
        <v>61397.9</v>
      </c>
      <c r="J90" s="41">
        <f t="shared" si="22"/>
        <v>5672</v>
      </c>
      <c r="K90" s="41">
        <f t="shared" si="23"/>
        <v>0</v>
      </c>
      <c r="L90" s="41">
        <f t="shared" si="24"/>
        <v>0</v>
      </c>
      <c r="M90" s="42">
        <f t="shared" si="25"/>
        <v>354</v>
      </c>
      <c r="N90" s="162">
        <v>13182.6049830683</v>
      </c>
      <c r="O90" s="162">
        <v>3861</v>
      </c>
      <c r="P90" s="162">
        <v>61397.9</v>
      </c>
      <c r="Q90" s="162">
        <v>5672</v>
      </c>
      <c r="R90" s="162">
        <v>354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162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76">
        <v>284.74774189999999</v>
      </c>
      <c r="AE90" s="165">
        <f>N90*Forutsetninger!$C$30</f>
        <v>13947.196072086263</v>
      </c>
      <c r="AF90" s="165">
        <f t="shared" si="26"/>
        <v>1615.0891920567999</v>
      </c>
      <c r="AG90" s="165">
        <f>S90*Forutsetninger!$C$24</f>
        <v>0</v>
      </c>
      <c r="AH90" s="165">
        <f>AE90+O90+AF90+R90*Forutsetninger!$C$24-AG90</f>
        <v>19796.755264143063</v>
      </c>
      <c r="AI90" s="165">
        <f>AH90+P90*Forutsetninger!$B$6</f>
        <v>23554.306744143061</v>
      </c>
      <c r="AJ90" s="165">
        <f>T90*Forutsetninger!$C$30</f>
        <v>0</v>
      </c>
      <c r="AK90" s="165">
        <f t="shared" si="27"/>
        <v>0</v>
      </c>
      <c r="AL90" s="165">
        <f>AJ90+U90+AK90+X90*Forutsetninger!$C$24</f>
        <v>0</v>
      </c>
      <c r="AM90" s="164">
        <f>(T90)*Forutsetninger!$C$30+X90*Forutsetninger!$C$24+U90+V90*Forutsetninger!$B$6</f>
        <v>0</v>
      </c>
      <c r="AN90" s="164">
        <f>Y90*Forutsetninger!$C$30+Z90+AA90*Forutsetninger!$B$6+AC90*Forutsetninger!$C$24</f>
        <v>0</v>
      </c>
    </row>
    <row r="91" spans="1:40" s="62" customFormat="1" ht="12.75" x14ac:dyDescent="0.2">
      <c r="A91">
        <v>2692015</v>
      </c>
      <c r="B91" t="s">
        <v>262</v>
      </c>
      <c r="C91" s="170">
        <v>2015</v>
      </c>
      <c r="D91" s="145">
        <f t="shared" si="28"/>
        <v>129174.3180870974</v>
      </c>
      <c r="E91" s="146">
        <v>1422</v>
      </c>
      <c r="F91" s="41">
        <f t="shared" si="29"/>
        <v>127752.3180870974</v>
      </c>
      <c r="G91" s="42">
        <f t="shared" si="30"/>
        <v>55474</v>
      </c>
      <c r="H91" s="42">
        <f t="shared" si="20"/>
        <v>1250822</v>
      </c>
      <c r="I91" s="42">
        <f t="shared" si="21"/>
        <v>1263330.2200000002</v>
      </c>
      <c r="J91" s="41">
        <f t="shared" si="22"/>
        <v>40898</v>
      </c>
      <c r="K91" s="41">
        <f t="shared" si="23"/>
        <v>24164</v>
      </c>
      <c r="L91" s="41">
        <f t="shared" si="24"/>
        <v>0</v>
      </c>
      <c r="M91" s="42">
        <f t="shared" si="25"/>
        <v>12016</v>
      </c>
      <c r="N91" s="162">
        <v>100040.343778485</v>
      </c>
      <c r="O91" s="162">
        <v>35169</v>
      </c>
      <c r="P91" s="162">
        <v>692896.36</v>
      </c>
      <c r="Q91" s="162">
        <v>40898</v>
      </c>
      <c r="R91" s="162">
        <v>9722</v>
      </c>
      <c r="S91" s="162">
        <v>2402</v>
      </c>
      <c r="T91" s="162">
        <v>15542.7181877325</v>
      </c>
      <c r="U91" s="162">
        <v>12411</v>
      </c>
      <c r="V91" s="162">
        <v>277619.71000000002</v>
      </c>
      <c r="W91" s="162">
        <v>24164</v>
      </c>
      <c r="X91" s="162">
        <v>475</v>
      </c>
      <c r="Y91" s="162">
        <v>12169.2561208799</v>
      </c>
      <c r="Z91" s="162">
        <v>7894</v>
      </c>
      <c r="AA91" s="162">
        <v>292814.15000000002</v>
      </c>
      <c r="AB91" s="162">
        <v>0</v>
      </c>
      <c r="AC91" s="162">
        <v>1819</v>
      </c>
      <c r="AD91" s="176">
        <v>290.33327359999998</v>
      </c>
      <c r="AE91" s="165">
        <f>N91*Forutsetninger!$C$30</f>
        <v>105842.68371763713</v>
      </c>
      <c r="AF91" s="165">
        <f t="shared" si="26"/>
        <v>11874.050223692799</v>
      </c>
      <c r="AG91" s="165">
        <f>S91*Forutsetninger!$C$24</f>
        <v>2534.1099999999997</v>
      </c>
      <c r="AH91" s="165">
        <f>AE91+O91+AF91+R91*Forutsetninger!$C$24-AG91</f>
        <v>160608.33394132994</v>
      </c>
      <c r="AI91" s="165">
        <f>AH91+P91*Forutsetninger!$B$6</f>
        <v>203013.59117332994</v>
      </c>
      <c r="AJ91" s="165">
        <f>T91*Forutsetninger!$C$30</f>
        <v>16444.195842620986</v>
      </c>
      <c r="AK91" s="165">
        <f t="shared" si="27"/>
        <v>7015.6132232703994</v>
      </c>
      <c r="AL91" s="165">
        <f>AJ91+U91+AK91+X91*Forutsetninger!$C$24</f>
        <v>36371.934065891386</v>
      </c>
      <c r="AM91" s="164">
        <f>(T91)*Forutsetninger!$C$30+X91*Forutsetninger!$C$24+U91+V91*Forutsetninger!$B$6</f>
        <v>46346.647094620988</v>
      </c>
      <c r="AN91" s="164">
        <f>Y91*Forutsetninger!$C$30+Z91+AA91*Forutsetninger!$B$6+AC91*Forutsetninger!$C$24</f>
        <v>40608.34395589093</v>
      </c>
    </row>
    <row r="92" spans="1:40" s="62" customFormat="1" ht="12.75" x14ac:dyDescent="0.2">
      <c r="A92">
        <v>2712015</v>
      </c>
      <c r="B92" t="s">
        <v>263</v>
      </c>
      <c r="C92" s="170">
        <v>2015</v>
      </c>
      <c r="D92" s="145">
        <f t="shared" si="28"/>
        <v>960.16301608838899</v>
      </c>
      <c r="E92" s="146">
        <v>0</v>
      </c>
      <c r="F92" s="41">
        <f t="shared" si="29"/>
        <v>960.16301608838899</v>
      </c>
      <c r="G92" s="42">
        <f t="shared" si="30"/>
        <v>23</v>
      </c>
      <c r="H92" s="42">
        <f t="shared" si="20"/>
        <v>518</v>
      </c>
      <c r="I92" s="42">
        <f t="shared" si="21"/>
        <v>523.17999999999995</v>
      </c>
      <c r="J92" s="41">
        <f t="shared" si="22"/>
        <v>0</v>
      </c>
      <c r="K92" s="41">
        <f t="shared" si="23"/>
        <v>5216</v>
      </c>
      <c r="L92" s="41">
        <f t="shared" si="24"/>
        <v>0</v>
      </c>
      <c r="M92" s="42">
        <f t="shared" si="25"/>
        <v>0</v>
      </c>
      <c r="N92" s="162">
        <v>0</v>
      </c>
      <c r="O92" s="162">
        <v>0</v>
      </c>
      <c r="P92" s="162">
        <v>0</v>
      </c>
      <c r="Q92" s="162">
        <v>0</v>
      </c>
      <c r="R92" s="162">
        <v>0</v>
      </c>
      <c r="S92" s="162">
        <v>0</v>
      </c>
      <c r="T92" s="162">
        <v>960.16301608838899</v>
      </c>
      <c r="U92" s="162">
        <v>23</v>
      </c>
      <c r="V92" s="162">
        <v>523.17999999999995</v>
      </c>
      <c r="W92" s="162">
        <v>5216</v>
      </c>
      <c r="X92" s="162">
        <v>0</v>
      </c>
      <c r="Y92" s="162">
        <v>0</v>
      </c>
      <c r="Z92" s="162">
        <v>0</v>
      </c>
      <c r="AA92" s="162">
        <v>0</v>
      </c>
      <c r="AB92" s="162">
        <v>0</v>
      </c>
      <c r="AC92" s="162">
        <v>0</v>
      </c>
      <c r="AD92" s="176">
        <v>290.33327359999998</v>
      </c>
      <c r="AE92" s="165">
        <f>N92*Forutsetninger!$C$30</f>
        <v>0</v>
      </c>
      <c r="AF92" s="165">
        <f t="shared" si="26"/>
        <v>0</v>
      </c>
      <c r="AG92" s="165">
        <f>S92*Forutsetninger!$C$24</f>
        <v>0</v>
      </c>
      <c r="AH92" s="165">
        <f>AE92+O92+AF92+R92*Forutsetninger!$C$24-AG92</f>
        <v>0</v>
      </c>
      <c r="AI92" s="165">
        <f>AH92+P92*Forutsetninger!$B$6</f>
        <v>0</v>
      </c>
      <c r="AJ92" s="165">
        <f>T92*Forutsetninger!$C$30</f>
        <v>1015.8524710215156</v>
      </c>
      <c r="AK92" s="165">
        <f t="shared" si="27"/>
        <v>1514.3783550976</v>
      </c>
      <c r="AL92" s="165">
        <f>AJ92+U92+AK92+X92*Forutsetninger!$C$24</f>
        <v>2553.2308261191156</v>
      </c>
      <c r="AM92" s="164">
        <f>(T92)*Forutsetninger!$C$30+X92*Forutsetninger!$C$24+U92+V92*Forutsetninger!$B$6</f>
        <v>1070.8710870215157</v>
      </c>
      <c r="AN92" s="164">
        <f>Y92*Forutsetninger!$C$30+Z92+AA92*Forutsetninger!$B$6+AC92*Forutsetninger!$C$24</f>
        <v>0</v>
      </c>
    </row>
    <row r="93" spans="1:40" s="62" customFormat="1" ht="12.75" x14ac:dyDescent="0.2">
      <c r="A93">
        <v>2742015</v>
      </c>
      <c r="B93" t="s">
        <v>177</v>
      </c>
      <c r="C93" s="170">
        <v>2015</v>
      </c>
      <c r="D93" s="145">
        <f t="shared" si="28"/>
        <v>30601.754117366447</v>
      </c>
      <c r="E93" s="146">
        <v>0</v>
      </c>
      <c r="F93" s="41">
        <f t="shared" si="29"/>
        <v>30601.754117366447</v>
      </c>
      <c r="G93" s="42">
        <f t="shared" si="30"/>
        <v>11008</v>
      </c>
      <c r="H93" s="42">
        <f t="shared" si="20"/>
        <v>212662</v>
      </c>
      <c r="I93" s="42">
        <f t="shared" si="21"/>
        <v>214788.62</v>
      </c>
      <c r="J93" s="41">
        <f t="shared" si="22"/>
        <v>12666</v>
      </c>
      <c r="K93" s="41">
        <f t="shared" si="23"/>
        <v>2605</v>
      </c>
      <c r="L93" s="41">
        <f t="shared" si="24"/>
        <v>0</v>
      </c>
      <c r="M93" s="42">
        <f t="shared" si="25"/>
        <v>1683</v>
      </c>
      <c r="N93" s="162">
        <v>29801.818071380101</v>
      </c>
      <c r="O93" s="162">
        <v>9770</v>
      </c>
      <c r="P93" s="162">
        <v>204618.93</v>
      </c>
      <c r="Q93" s="162">
        <v>12666</v>
      </c>
      <c r="R93" s="162">
        <v>1683</v>
      </c>
      <c r="S93" s="162">
        <v>658.08</v>
      </c>
      <c r="T93" s="162">
        <v>799.93604598634602</v>
      </c>
      <c r="U93" s="162">
        <v>1238</v>
      </c>
      <c r="V93" s="162">
        <v>10169.69</v>
      </c>
      <c r="W93" s="162">
        <v>2605</v>
      </c>
      <c r="X93" s="162">
        <v>0</v>
      </c>
      <c r="Y93" s="162">
        <v>0</v>
      </c>
      <c r="Z93" s="162">
        <v>0</v>
      </c>
      <c r="AA93" s="162">
        <v>0</v>
      </c>
      <c r="AB93" s="162">
        <v>0</v>
      </c>
      <c r="AC93" s="162">
        <v>0</v>
      </c>
      <c r="AD93" s="176">
        <v>290.33327359999998</v>
      </c>
      <c r="AE93" s="165">
        <f>N93*Forutsetninger!$C$30</f>
        <v>31530.323519520149</v>
      </c>
      <c r="AF93" s="165">
        <f t="shared" si="26"/>
        <v>3677.3612434175998</v>
      </c>
      <c r="AG93" s="165">
        <f>S93*Forutsetninger!$C$24</f>
        <v>694.27440000000001</v>
      </c>
      <c r="AH93" s="165">
        <f>AE93+O93+AF93+R93*Forutsetninger!$C$24-AG93</f>
        <v>46058.975362937752</v>
      </c>
      <c r="AI93" s="165">
        <f>AH93+P93*Forutsetninger!$B$6</f>
        <v>58581.653878937752</v>
      </c>
      <c r="AJ93" s="165">
        <f>T93*Forutsetninger!$C$30</f>
        <v>846.33233665355408</v>
      </c>
      <c r="AK93" s="165">
        <f t="shared" si="27"/>
        <v>756.31817772800002</v>
      </c>
      <c r="AL93" s="165">
        <f>AJ93+U93+AK93+X93*Forutsetninger!$C$24</f>
        <v>2840.6505143815543</v>
      </c>
      <c r="AM93" s="164">
        <f>(T93)*Forutsetninger!$C$30+X93*Forutsetninger!$C$24+U93+V93*Forutsetninger!$B$6</f>
        <v>2706.7173646535543</v>
      </c>
      <c r="AN93" s="164">
        <f>Y93*Forutsetninger!$C$30+Z93+AA93*Forutsetninger!$B$6+AC93*Forutsetninger!$C$24</f>
        <v>0</v>
      </c>
    </row>
    <row r="94" spans="1:40" s="62" customFormat="1" ht="12.75" x14ac:dyDescent="0.2">
      <c r="A94">
        <v>2752015</v>
      </c>
      <c r="B94" t="s">
        <v>264</v>
      </c>
      <c r="C94" s="170">
        <v>2015</v>
      </c>
      <c r="D94" s="145">
        <f t="shared" si="28"/>
        <v>66777.184521890216</v>
      </c>
      <c r="E94" s="146">
        <v>0</v>
      </c>
      <c r="F94" s="41">
        <f t="shared" si="29"/>
        <v>66777.184521890216</v>
      </c>
      <c r="G94" s="42">
        <f t="shared" si="30"/>
        <v>21585</v>
      </c>
      <c r="H94" s="42">
        <f t="shared" si="20"/>
        <v>277404</v>
      </c>
      <c r="I94" s="42">
        <f t="shared" si="21"/>
        <v>280178.03999999998</v>
      </c>
      <c r="J94" s="41">
        <f t="shared" si="22"/>
        <v>36392</v>
      </c>
      <c r="K94" s="41">
        <f t="shared" si="23"/>
        <v>4650</v>
      </c>
      <c r="L94" s="41">
        <f t="shared" si="24"/>
        <v>0</v>
      </c>
      <c r="M94" s="42">
        <f t="shared" si="25"/>
        <v>4266</v>
      </c>
      <c r="N94" s="162">
        <v>61317.9890420062</v>
      </c>
      <c r="O94" s="162">
        <v>17917</v>
      </c>
      <c r="P94" s="162">
        <v>220263.83</v>
      </c>
      <c r="Q94" s="162">
        <v>36392</v>
      </c>
      <c r="R94" s="162">
        <v>3574</v>
      </c>
      <c r="S94" s="162">
        <v>0</v>
      </c>
      <c r="T94" s="162">
        <v>5459.1954798840197</v>
      </c>
      <c r="U94" s="162">
        <v>3668</v>
      </c>
      <c r="V94" s="162">
        <v>59914.21</v>
      </c>
      <c r="W94" s="162">
        <v>4650</v>
      </c>
      <c r="X94" s="162">
        <v>692</v>
      </c>
      <c r="Y94" s="162">
        <v>0</v>
      </c>
      <c r="Z94" s="162">
        <v>0</v>
      </c>
      <c r="AA94" s="162">
        <v>0</v>
      </c>
      <c r="AB94" s="162">
        <v>0</v>
      </c>
      <c r="AC94" s="162">
        <v>0</v>
      </c>
      <c r="AD94" s="176">
        <v>284.74774189999999</v>
      </c>
      <c r="AE94" s="165">
        <f>N94*Forutsetninger!$C$30</f>
        <v>64874.43240644256</v>
      </c>
      <c r="AF94" s="165">
        <f t="shared" si="26"/>
        <v>10362.539823224799</v>
      </c>
      <c r="AG94" s="165">
        <f>S94*Forutsetninger!$C$24</f>
        <v>0</v>
      </c>
      <c r="AH94" s="165">
        <f>AE94+O94+AF94+R94*Forutsetninger!$C$24-AG94</f>
        <v>96924.542229667364</v>
      </c>
      <c r="AI94" s="165">
        <f>AH94+P94*Forutsetninger!$B$6</f>
        <v>110404.68862566736</v>
      </c>
      <c r="AJ94" s="165">
        <f>T94*Forutsetninger!$C$30</f>
        <v>5775.8288177172935</v>
      </c>
      <c r="AK94" s="165">
        <f t="shared" si="27"/>
        <v>1324.0769998349999</v>
      </c>
      <c r="AL94" s="165">
        <f>AJ94+U94+AK94+X94*Forutsetninger!$C$24</f>
        <v>11497.965817552295</v>
      </c>
      <c r="AM94" s="164">
        <f>(T94)*Forutsetninger!$C$30+X94*Forutsetninger!$C$24+U94+V94*Forutsetninger!$B$6</f>
        <v>13840.638469717294</v>
      </c>
      <c r="AN94" s="164">
        <f>Y94*Forutsetninger!$C$30+Z94+AA94*Forutsetninger!$B$6+AC94*Forutsetninger!$C$24</f>
        <v>0</v>
      </c>
    </row>
    <row r="95" spans="1:40" s="62" customFormat="1" ht="12.75" x14ac:dyDescent="0.2">
      <c r="A95">
        <v>2872015</v>
      </c>
      <c r="B95" t="s">
        <v>178</v>
      </c>
      <c r="C95" s="170">
        <v>2015</v>
      </c>
      <c r="D95" s="145">
        <f t="shared" si="28"/>
        <v>0</v>
      </c>
      <c r="E95" s="146">
        <v>0</v>
      </c>
      <c r="F95" s="41">
        <f t="shared" si="29"/>
        <v>0</v>
      </c>
      <c r="G95" s="42">
        <f t="shared" si="30"/>
        <v>273</v>
      </c>
      <c r="H95" s="42">
        <f t="shared" si="20"/>
        <v>545</v>
      </c>
      <c r="I95" s="42">
        <f t="shared" si="21"/>
        <v>550.45000000000005</v>
      </c>
      <c r="J95" s="41">
        <f t="shared" si="22"/>
        <v>0</v>
      </c>
      <c r="K95" s="41">
        <f t="shared" si="23"/>
        <v>0</v>
      </c>
      <c r="L95" s="41">
        <f t="shared" si="24"/>
        <v>0</v>
      </c>
      <c r="M95" s="42">
        <f t="shared" si="25"/>
        <v>0</v>
      </c>
      <c r="N95" s="162">
        <v>0</v>
      </c>
      <c r="O95" s="162">
        <v>0</v>
      </c>
      <c r="P95" s="162">
        <v>0</v>
      </c>
      <c r="Q95" s="162">
        <v>0</v>
      </c>
      <c r="R95" s="162">
        <v>0</v>
      </c>
      <c r="S95" s="162">
        <v>0</v>
      </c>
      <c r="T95" s="162">
        <v>0</v>
      </c>
      <c r="U95" s="162">
        <v>273</v>
      </c>
      <c r="V95" s="162">
        <v>550.45000000000005</v>
      </c>
      <c r="W95" s="162">
        <v>0</v>
      </c>
      <c r="X95" s="162">
        <v>0</v>
      </c>
      <c r="Y95" s="162">
        <v>0</v>
      </c>
      <c r="Z95" s="162">
        <v>0</v>
      </c>
      <c r="AA95" s="162">
        <v>0</v>
      </c>
      <c r="AB95" s="162">
        <v>0</v>
      </c>
      <c r="AC95" s="162">
        <v>0</v>
      </c>
      <c r="AD95" s="176">
        <v>286.91705400000001</v>
      </c>
      <c r="AE95" s="165">
        <f>N95*Forutsetninger!$C$30</f>
        <v>0</v>
      </c>
      <c r="AF95" s="165">
        <f t="shared" si="26"/>
        <v>0</v>
      </c>
      <c r="AG95" s="165">
        <f>S95*Forutsetninger!$C$24</f>
        <v>0</v>
      </c>
      <c r="AH95" s="165">
        <f>AE95+O95+AF95+R95*Forutsetninger!$C$24-AG95</f>
        <v>0</v>
      </c>
      <c r="AI95" s="165">
        <f>AH95+P95*Forutsetninger!$B$6</f>
        <v>0</v>
      </c>
      <c r="AJ95" s="165">
        <f>T95*Forutsetninger!$C$30</f>
        <v>0</v>
      </c>
      <c r="AK95" s="165">
        <f t="shared" si="27"/>
        <v>0</v>
      </c>
      <c r="AL95" s="165">
        <f>AJ95+U95+AK95+X95*Forutsetninger!$C$24</f>
        <v>273</v>
      </c>
      <c r="AM95" s="164">
        <f>(T95)*Forutsetninger!$C$30+X95*Forutsetninger!$C$24+U95+V95*Forutsetninger!$B$6</f>
        <v>306.68754000000001</v>
      </c>
      <c r="AN95" s="164">
        <f>Y95*Forutsetninger!$C$30+Z95+AA95*Forutsetninger!$B$6+AC95*Forutsetninger!$C$24</f>
        <v>0</v>
      </c>
    </row>
    <row r="96" spans="1:40" s="62" customFormat="1" ht="12.75" x14ac:dyDescent="0.2">
      <c r="A96">
        <v>2882015</v>
      </c>
      <c r="B96" t="s">
        <v>265</v>
      </c>
      <c r="C96" s="170">
        <v>2015</v>
      </c>
      <c r="D96" s="145">
        <f t="shared" si="28"/>
        <v>1519.3203748558501</v>
      </c>
      <c r="E96" s="146">
        <v>0</v>
      </c>
      <c r="F96" s="41">
        <f t="shared" si="29"/>
        <v>1519.3203748558501</v>
      </c>
      <c r="G96" s="42">
        <f t="shared" si="30"/>
        <v>4071</v>
      </c>
      <c r="H96" s="42">
        <f t="shared" si="20"/>
        <v>16874</v>
      </c>
      <c r="I96" s="42">
        <f t="shared" si="21"/>
        <v>17042.740000000002</v>
      </c>
      <c r="J96" s="41">
        <f t="shared" si="22"/>
        <v>0</v>
      </c>
      <c r="K96" s="41">
        <f t="shared" si="23"/>
        <v>7894</v>
      </c>
      <c r="L96" s="41">
        <f t="shared" si="24"/>
        <v>0</v>
      </c>
      <c r="M96" s="42">
        <f t="shared" si="25"/>
        <v>0</v>
      </c>
      <c r="N96" s="162">
        <v>0</v>
      </c>
      <c r="O96" s="162">
        <v>0</v>
      </c>
      <c r="P96" s="162">
        <v>0</v>
      </c>
      <c r="Q96" s="162">
        <v>0</v>
      </c>
      <c r="R96" s="162">
        <v>0</v>
      </c>
      <c r="S96" s="162">
        <v>0</v>
      </c>
      <c r="T96" s="162">
        <v>1519.3203748558501</v>
      </c>
      <c r="U96" s="162">
        <v>4071</v>
      </c>
      <c r="V96" s="162">
        <v>17042.740000000002</v>
      </c>
      <c r="W96" s="162">
        <v>7894</v>
      </c>
      <c r="X96" s="162">
        <v>0</v>
      </c>
      <c r="Y96" s="162">
        <v>0</v>
      </c>
      <c r="Z96" s="162">
        <v>0</v>
      </c>
      <c r="AA96" s="162">
        <v>0</v>
      </c>
      <c r="AB96" s="162">
        <v>0</v>
      </c>
      <c r="AC96" s="162">
        <v>0</v>
      </c>
      <c r="AD96" s="176">
        <v>290.33327359999998</v>
      </c>
      <c r="AE96" s="165">
        <f>N96*Forutsetninger!$C$30</f>
        <v>0</v>
      </c>
      <c r="AF96" s="165">
        <f t="shared" si="26"/>
        <v>0</v>
      </c>
      <c r="AG96" s="165">
        <f>S96*Forutsetninger!$C$24</f>
        <v>0</v>
      </c>
      <c r="AH96" s="165">
        <f>AE96+O96+AF96+R96*Forutsetninger!$C$24-AG96</f>
        <v>0</v>
      </c>
      <c r="AI96" s="165">
        <f>AH96+P96*Forutsetninger!$B$6</f>
        <v>0</v>
      </c>
      <c r="AJ96" s="165">
        <f>T96*Forutsetninger!$C$30</f>
        <v>1607.4409565974895</v>
      </c>
      <c r="AK96" s="165">
        <f t="shared" si="27"/>
        <v>2291.8908617984002</v>
      </c>
      <c r="AL96" s="165">
        <f>AJ96+U96+AK96+X96*Forutsetninger!$C$24</f>
        <v>7970.3318183958891</v>
      </c>
      <c r="AM96" s="164">
        <f>(T96)*Forutsetninger!$C$30+X96*Forutsetninger!$C$24+U96+V96*Forutsetninger!$B$6</f>
        <v>6721.4566445974888</v>
      </c>
      <c r="AN96" s="164">
        <f>Y96*Forutsetninger!$C$30+Z96+AA96*Forutsetninger!$B$6+AC96*Forutsetninger!$C$24</f>
        <v>0</v>
      </c>
    </row>
    <row r="97" spans="1:40" s="62" customFormat="1" ht="12.75" x14ac:dyDescent="0.2">
      <c r="A97">
        <v>2942015</v>
      </c>
      <c r="B97" t="s">
        <v>266</v>
      </c>
      <c r="C97" s="170">
        <v>2015</v>
      </c>
      <c r="D97" s="145">
        <f t="shared" si="28"/>
        <v>2275</v>
      </c>
      <c r="E97" s="146">
        <v>0</v>
      </c>
      <c r="F97" s="41">
        <f t="shared" si="29"/>
        <v>2275</v>
      </c>
      <c r="G97" s="42">
        <f t="shared" si="30"/>
        <v>8932</v>
      </c>
      <c r="H97" s="42">
        <f t="shared" si="20"/>
        <v>103215</v>
      </c>
      <c r="I97" s="42">
        <f t="shared" si="21"/>
        <v>104247.15</v>
      </c>
      <c r="J97" s="41">
        <f t="shared" si="22"/>
        <v>4910</v>
      </c>
      <c r="K97" s="41">
        <f t="shared" si="23"/>
        <v>0</v>
      </c>
      <c r="L97" s="41">
        <f t="shared" si="24"/>
        <v>0</v>
      </c>
      <c r="M97" s="42">
        <f t="shared" si="25"/>
        <v>492</v>
      </c>
      <c r="N97" s="162">
        <v>2275</v>
      </c>
      <c r="O97" s="162">
        <v>8932</v>
      </c>
      <c r="P97" s="162">
        <v>104247.15</v>
      </c>
      <c r="Q97" s="162">
        <v>4910</v>
      </c>
      <c r="R97" s="162">
        <v>492</v>
      </c>
      <c r="S97" s="162">
        <v>0</v>
      </c>
      <c r="T97" s="162">
        <v>0</v>
      </c>
      <c r="U97" s="162">
        <v>0</v>
      </c>
      <c r="V97" s="162">
        <v>0</v>
      </c>
      <c r="W97" s="162">
        <v>0</v>
      </c>
      <c r="X97" s="162">
        <v>0</v>
      </c>
      <c r="Y97" s="162">
        <v>0</v>
      </c>
      <c r="Z97" s="162">
        <v>0</v>
      </c>
      <c r="AA97" s="162">
        <v>0</v>
      </c>
      <c r="AB97" s="162">
        <v>0</v>
      </c>
      <c r="AC97" s="162">
        <v>0</v>
      </c>
      <c r="AD97" s="176">
        <v>287.64486630000005</v>
      </c>
      <c r="AE97" s="165">
        <f>N97*Forutsetninger!$C$30</f>
        <v>2406.9500000000003</v>
      </c>
      <c r="AF97" s="165">
        <f t="shared" si="26"/>
        <v>1412.3362935330001</v>
      </c>
      <c r="AG97" s="165">
        <f>S97*Forutsetninger!$C$24</f>
        <v>0</v>
      </c>
      <c r="AH97" s="165">
        <f>AE97+O97+AF97+R97*Forutsetninger!$C$24-AG97</f>
        <v>13270.346293533001</v>
      </c>
      <c r="AI97" s="165">
        <f>AH97+P97*Forutsetninger!$B$6</f>
        <v>19650.271873532998</v>
      </c>
      <c r="AJ97" s="165">
        <f>T97*Forutsetninger!$C$30</f>
        <v>0</v>
      </c>
      <c r="AK97" s="165">
        <f t="shared" si="27"/>
        <v>0</v>
      </c>
      <c r="AL97" s="165">
        <f>AJ97+U97+AK97+X97*Forutsetninger!$C$24</f>
        <v>0</v>
      </c>
      <c r="AM97" s="164">
        <f>(T97)*Forutsetninger!$C$30+X97*Forutsetninger!$C$24+U97+V97*Forutsetninger!$B$6</f>
        <v>0</v>
      </c>
      <c r="AN97" s="164">
        <f>Y97*Forutsetninger!$C$30+Z97+AA97*Forutsetninger!$B$6+AC97*Forutsetninger!$C$24</f>
        <v>0</v>
      </c>
    </row>
    <row r="98" spans="1:40" s="62" customFormat="1" ht="14.25" customHeight="1" x14ac:dyDescent="0.2">
      <c r="A98">
        <v>2952015</v>
      </c>
      <c r="B98" t="s">
        <v>267</v>
      </c>
      <c r="C98" s="170">
        <v>2015</v>
      </c>
      <c r="D98" s="145">
        <f t="shared" si="28"/>
        <v>56379.011952841247</v>
      </c>
      <c r="E98" s="146">
        <v>0</v>
      </c>
      <c r="F98" s="41">
        <f t="shared" si="29"/>
        <v>56379.011952841247</v>
      </c>
      <c r="G98" s="42">
        <f t="shared" si="30"/>
        <v>11125</v>
      </c>
      <c r="H98" s="42">
        <f t="shared" si="20"/>
        <v>248815</v>
      </c>
      <c r="I98" s="42">
        <f t="shared" si="21"/>
        <v>251303.15</v>
      </c>
      <c r="J98" s="41">
        <f t="shared" si="22"/>
        <v>23139</v>
      </c>
      <c r="K98" s="41">
        <f t="shared" si="23"/>
        <v>6574</v>
      </c>
      <c r="L98" s="41">
        <f t="shared" si="24"/>
        <v>0</v>
      </c>
      <c r="M98" s="42">
        <f t="shared" si="25"/>
        <v>4458</v>
      </c>
      <c r="N98" s="162">
        <v>53231.747425711597</v>
      </c>
      <c r="O98" s="162">
        <v>9510</v>
      </c>
      <c r="P98" s="162">
        <v>221277.87</v>
      </c>
      <c r="Q98" s="162">
        <v>23139</v>
      </c>
      <c r="R98" s="162">
        <v>4203</v>
      </c>
      <c r="S98" s="162">
        <v>0</v>
      </c>
      <c r="T98" s="162">
        <v>3147.2645271296501</v>
      </c>
      <c r="U98" s="162">
        <v>1615</v>
      </c>
      <c r="V98" s="162">
        <v>30025.279999999999</v>
      </c>
      <c r="W98" s="162">
        <v>6574</v>
      </c>
      <c r="X98" s="162">
        <v>255</v>
      </c>
      <c r="Y98" s="162">
        <v>0</v>
      </c>
      <c r="Z98" s="162">
        <v>0</v>
      </c>
      <c r="AA98" s="162">
        <v>0</v>
      </c>
      <c r="AB98" s="162">
        <v>0</v>
      </c>
      <c r="AC98" s="162">
        <v>0</v>
      </c>
      <c r="AD98" s="176">
        <v>286.91705400000001</v>
      </c>
      <c r="AE98" s="165">
        <f>N98*Forutsetninger!$C$30</f>
        <v>56319.188776402872</v>
      </c>
      <c r="AF98" s="165">
        <f t="shared" si="26"/>
        <v>6638.9737125060001</v>
      </c>
      <c r="AG98" s="165">
        <f>S98*Forutsetninger!$C$24</f>
        <v>0</v>
      </c>
      <c r="AH98" s="165">
        <f>AE98+O98+AF98+R98*Forutsetninger!$C$24-AG98</f>
        <v>76902.327488908879</v>
      </c>
      <c r="AI98" s="165">
        <f>AH98+P98*Forutsetninger!$B$6</f>
        <v>90444.53313290888</v>
      </c>
      <c r="AJ98" s="165">
        <f>T98*Forutsetninger!$C$30</f>
        <v>3329.8058697031702</v>
      </c>
      <c r="AK98" s="165">
        <f t="shared" si="27"/>
        <v>1886.192712996</v>
      </c>
      <c r="AL98" s="165">
        <f>AJ98+U98+AK98+X98*Forutsetninger!$C$24</f>
        <v>7100.0235826991702</v>
      </c>
      <c r="AM98" s="164">
        <f>(T98)*Forutsetninger!$C$30+X98*Forutsetninger!$C$24+U98+V98*Forutsetninger!$B$6</f>
        <v>7051.3780057031699</v>
      </c>
      <c r="AN98" s="164">
        <f>Y98*Forutsetninger!$C$30+Z98+AA98*Forutsetninger!$B$6+AC98*Forutsetninger!$C$24</f>
        <v>0</v>
      </c>
    </row>
    <row r="99" spans="1:40" s="62" customFormat="1" ht="12.75" x14ac:dyDescent="0.2">
      <c r="A99">
        <v>3062015</v>
      </c>
      <c r="B99" t="s">
        <v>268</v>
      </c>
      <c r="C99" s="170">
        <v>2015</v>
      </c>
      <c r="D99" s="145">
        <f t="shared" si="28"/>
        <v>33148.499974553299</v>
      </c>
      <c r="E99" s="146">
        <v>0</v>
      </c>
      <c r="F99" s="41">
        <f t="shared" si="29"/>
        <v>33148.499974553299</v>
      </c>
      <c r="G99" s="42">
        <f t="shared" si="30"/>
        <v>12365</v>
      </c>
      <c r="H99" s="42">
        <f t="shared" ref="H99:H130" si="31">ROUND(I99/1.01,0)</f>
        <v>209401</v>
      </c>
      <c r="I99" s="42">
        <f t="shared" ref="I99:I130" si="32">P99+V99+AA99</f>
        <v>211495.01</v>
      </c>
      <c r="J99" s="41">
        <f t="shared" ref="J99:J130" si="33">Q99</f>
        <v>16402</v>
      </c>
      <c r="K99" s="41">
        <f t="shared" ref="K99:K130" si="34">W99</f>
        <v>0</v>
      </c>
      <c r="L99" s="41">
        <f t="shared" ref="L99:L130" si="35">AB99</f>
        <v>0</v>
      </c>
      <c r="M99" s="42">
        <f t="shared" ref="M99:M130" si="36">R99+X99+AC99</f>
        <v>2089</v>
      </c>
      <c r="N99" s="162">
        <v>33148.499974553299</v>
      </c>
      <c r="O99" s="162">
        <v>12365</v>
      </c>
      <c r="P99" s="162">
        <v>211495.01</v>
      </c>
      <c r="Q99" s="162">
        <v>16402</v>
      </c>
      <c r="R99" s="162">
        <v>2089</v>
      </c>
      <c r="S99" s="162">
        <v>65.8</v>
      </c>
      <c r="T99" s="162">
        <v>0</v>
      </c>
      <c r="U99" s="162">
        <v>0</v>
      </c>
      <c r="V99" s="162">
        <v>0</v>
      </c>
      <c r="W99" s="162">
        <v>0</v>
      </c>
      <c r="X99" s="162">
        <v>0</v>
      </c>
      <c r="Y99" s="162">
        <v>0</v>
      </c>
      <c r="Z99" s="162">
        <v>0</v>
      </c>
      <c r="AA99" s="162">
        <v>0</v>
      </c>
      <c r="AB99" s="162">
        <v>0</v>
      </c>
      <c r="AC99" s="162">
        <v>0</v>
      </c>
      <c r="AD99" s="176">
        <v>286.91705400000001</v>
      </c>
      <c r="AE99" s="165">
        <f>N99*Forutsetninger!$C$30</f>
        <v>35071.11297307739</v>
      </c>
      <c r="AF99" s="165">
        <f t="shared" ref="AF99:AF130" si="37">(Q99*AD99)/1000</f>
        <v>4706.0135197079999</v>
      </c>
      <c r="AG99" s="165">
        <f>S99*Forutsetninger!$C$24</f>
        <v>69.418999999999997</v>
      </c>
      <c r="AH99" s="165">
        <f>AE99+O99+AF99+R99*Forutsetninger!$C$24-AG99</f>
        <v>54276.602492785387</v>
      </c>
      <c r="AI99" s="165">
        <f>AH99+P99*Forutsetninger!$B$6</f>
        <v>67220.097104785382</v>
      </c>
      <c r="AJ99" s="165">
        <f>T99*Forutsetninger!$C$30</f>
        <v>0</v>
      </c>
      <c r="AK99" s="165">
        <f t="shared" ref="AK99:AK130" si="38">(W99*AD99)/1000</f>
        <v>0</v>
      </c>
      <c r="AL99" s="165">
        <f>AJ99+U99+AK99+X99*Forutsetninger!$C$24</f>
        <v>0</v>
      </c>
      <c r="AM99" s="164">
        <f>(T99)*Forutsetninger!$C$30+X99*Forutsetninger!$C$24+U99+V99*Forutsetninger!$B$6</f>
        <v>0</v>
      </c>
      <c r="AN99" s="164">
        <f>Y99*Forutsetninger!$C$30+Z99+AA99*Forutsetninger!$B$6+AC99*Forutsetninger!$C$24</f>
        <v>0</v>
      </c>
    </row>
    <row r="100" spans="1:40" s="62" customFormat="1" ht="12.75" x14ac:dyDescent="0.2">
      <c r="A100">
        <v>3072015</v>
      </c>
      <c r="B100" t="s">
        <v>179</v>
      </c>
      <c r="C100" s="170">
        <v>2015</v>
      </c>
      <c r="D100" s="145">
        <f t="shared" si="28"/>
        <v>381</v>
      </c>
      <c r="E100" s="146">
        <v>0</v>
      </c>
      <c r="F100" s="41">
        <f t="shared" si="29"/>
        <v>381</v>
      </c>
      <c r="G100" s="42">
        <f t="shared" ref="G100:G131" si="39">O100+U100+Z100</f>
        <v>74</v>
      </c>
      <c r="H100" s="42">
        <f t="shared" si="31"/>
        <v>972</v>
      </c>
      <c r="I100" s="42">
        <f t="shared" si="32"/>
        <v>981.72</v>
      </c>
      <c r="J100" s="41">
        <f t="shared" si="33"/>
        <v>0</v>
      </c>
      <c r="K100" s="41">
        <f t="shared" si="34"/>
        <v>0</v>
      </c>
      <c r="L100" s="41">
        <f t="shared" si="35"/>
        <v>0</v>
      </c>
      <c r="M100" s="42">
        <f t="shared" si="36"/>
        <v>0</v>
      </c>
      <c r="N100" s="162">
        <v>0</v>
      </c>
      <c r="O100" s="162">
        <v>0</v>
      </c>
      <c r="P100" s="162">
        <v>0</v>
      </c>
      <c r="Q100" s="162">
        <v>0</v>
      </c>
      <c r="R100" s="162">
        <v>0</v>
      </c>
      <c r="S100" s="162">
        <v>0</v>
      </c>
      <c r="T100" s="162">
        <v>381</v>
      </c>
      <c r="U100" s="162">
        <v>74</v>
      </c>
      <c r="V100" s="162">
        <v>981.72</v>
      </c>
      <c r="W100" s="162">
        <v>0</v>
      </c>
      <c r="X100" s="162">
        <v>0</v>
      </c>
      <c r="Y100" s="162">
        <v>0</v>
      </c>
      <c r="Z100" s="162">
        <v>0</v>
      </c>
      <c r="AA100" s="162">
        <v>0</v>
      </c>
      <c r="AB100" s="162">
        <v>0</v>
      </c>
      <c r="AC100" s="162">
        <v>0</v>
      </c>
      <c r="AD100" s="176">
        <v>286.91705400000001</v>
      </c>
      <c r="AE100" s="165">
        <f>N100*Forutsetninger!$C$30</f>
        <v>0</v>
      </c>
      <c r="AF100" s="165">
        <f t="shared" si="37"/>
        <v>0</v>
      </c>
      <c r="AG100" s="165">
        <f>S100*Forutsetninger!$C$24</f>
        <v>0</v>
      </c>
      <c r="AH100" s="165">
        <f>AE100+O100+AF100+R100*Forutsetninger!$C$24-AG100</f>
        <v>0</v>
      </c>
      <c r="AI100" s="165">
        <f>AH100+P100*Forutsetninger!$B$6</f>
        <v>0</v>
      </c>
      <c r="AJ100" s="165">
        <f>T100*Forutsetninger!$C$30</f>
        <v>403.09800000000001</v>
      </c>
      <c r="AK100" s="165">
        <f t="shared" si="38"/>
        <v>0</v>
      </c>
      <c r="AL100" s="165">
        <f>AJ100+U100+AK100+X100*Forutsetninger!$C$24</f>
        <v>477.09800000000001</v>
      </c>
      <c r="AM100" s="164">
        <f>(T100)*Forutsetninger!$C$30+X100*Forutsetninger!$C$24+U100+V100*Forutsetninger!$B$6</f>
        <v>537.17926399999999</v>
      </c>
      <c r="AN100" s="164">
        <f>Y100*Forutsetninger!$C$30+Z100+AA100*Forutsetninger!$B$6+AC100*Forutsetninger!$C$24</f>
        <v>0</v>
      </c>
    </row>
    <row r="101" spans="1:40" s="62" customFormat="1" ht="12.75" x14ac:dyDescent="0.2">
      <c r="A101">
        <v>3112015</v>
      </c>
      <c r="B101" t="s">
        <v>269</v>
      </c>
      <c r="C101" s="170">
        <v>2015</v>
      </c>
      <c r="D101" s="145">
        <f t="shared" si="28"/>
        <v>100938.2329351544</v>
      </c>
      <c r="E101" s="146">
        <v>0</v>
      </c>
      <c r="F101" s="41">
        <f t="shared" si="29"/>
        <v>100938.2329351544</v>
      </c>
      <c r="G101" s="42">
        <f t="shared" si="39"/>
        <v>44798</v>
      </c>
      <c r="H101" s="42">
        <f t="shared" si="31"/>
        <v>750742</v>
      </c>
      <c r="I101" s="42">
        <f t="shared" si="32"/>
        <v>758249.41999999993</v>
      </c>
      <c r="J101" s="41">
        <f t="shared" si="33"/>
        <v>34507</v>
      </c>
      <c r="K101" s="41">
        <f t="shared" si="34"/>
        <v>25115</v>
      </c>
      <c r="L101" s="41">
        <f t="shared" si="35"/>
        <v>0</v>
      </c>
      <c r="M101" s="42">
        <f t="shared" si="36"/>
        <v>6178</v>
      </c>
      <c r="N101" s="162">
        <v>75648.038886034599</v>
      </c>
      <c r="O101" s="162">
        <v>29722</v>
      </c>
      <c r="P101" s="162">
        <v>417477.44</v>
      </c>
      <c r="Q101" s="162">
        <v>34507</v>
      </c>
      <c r="R101" s="162">
        <v>5620</v>
      </c>
      <c r="S101" s="162">
        <v>0</v>
      </c>
      <c r="T101" s="162">
        <v>25290.1940491198</v>
      </c>
      <c r="U101" s="162">
        <v>15076</v>
      </c>
      <c r="V101" s="162">
        <v>340771.98</v>
      </c>
      <c r="W101" s="162">
        <v>25115</v>
      </c>
      <c r="X101" s="162">
        <v>558</v>
      </c>
      <c r="Y101" s="162">
        <v>0</v>
      </c>
      <c r="Z101" s="162">
        <v>0</v>
      </c>
      <c r="AA101" s="162">
        <v>0</v>
      </c>
      <c r="AB101" s="162">
        <v>0</v>
      </c>
      <c r="AC101" s="162">
        <v>0</v>
      </c>
      <c r="AD101" s="176">
        <v>290.33327359999998</v>
      </c>
      <c r="AE101" s="165">
        <f>N101*Forutsetninger!$C$30</f>
        <v>80035.625141424607</v>
      </c>
      <c r="AF101" s="165">
        <f t="shared" si="37"/>
        <v>10018.530272115198</v>
      </c>
      <c r="AG101" s="165">
        <f>S101*Forutsetninger!$C$24</f>
        <v>0</v>
      </c>
      <c r="AH101" s="165">
        <f>AE101+O101+AF101+R101*Forutsetninger!$C$24-AG101</f>
        <v>125705.25541353981</v>
      </c>
      <c r="AI101" s="165">
        <f>AH101+P101*Forutsetninger!$B$6</f>
        <v>151254.87474153982</v>
      </c>
      <c r="AJ101" s="165">
        <f>T101*Forutsetninger!$C$30</f>
        <v>26757.025303968749</v>
      </c>
      <c r="AK101" s="165">
        <f t="shared" si="38"/>
        <v>7291.7201664639997</v>
      </c>
      <c r="AL101" s="165">
        <f>AJ101+U101+AK101+X101*Forutsetninger!$C$24</f>
        <v>49713.435470432756</v>
      </c>
      <c r="AM101" s="164">
        <f>(T101)*Forutsetninger!$C$30+X101*Forutsetninger!$C$24+U101+V101*Forutsetninger!$B$6</f>
        <v>63276.960479968744</v>
      </c>
      <c r="AN101" s="164">
        <f>Y101*Forutsetninger!$C$30+Z101+AA101*Forutsetninger!$B$6+AC101*Forutsetninger!$C$24</f>
        <v>0</v>
      </c>
    </row>
    <row r="102" spans="1:40" s="62" customFormat="1" ht="12.75" x14ac:dyDescent="0.2">
      <c r="A102">
        <v>3432015</v>
      </c>
      <c r="B102" t="s">
        <v>180</v>
      </c>
      <c r="C102" s="170">
        <v>2015</v>
      </c>
      <c r="D102" s="145">
        <f t="shared" si="28"/>
        <v>12100.887970251089</v>
      </c>
      <c r="E102" s="146">
        <v>0</v>
      </c>
      <c r="F102" s="41">
        <f t="shared" si="29"/>
        <v>12100.887970251089</v>
      </c>
      <c r="G102" s="42">
        <f t="shared" si="39"/>
        <v>8458</v>
      </c>
      <c r="H102" s="42">
        <f t="shared" si="31"/>
        <v>106445</v>
      </c>
      <c r="I102" s="42">
        <f t="shared" si="32"/>
        <v>107509.45</v>
      </c>
      <c r="J102" s="41">
        <f t="shared" si="33"/>
        <v>4278</v>
      </c>
      <c r="K102" s="41">
        <f t="shared" si="34"/>
        <v>550</v>
      </c>
      <c r="L102" s="41">
        <f t="shared" si="35"/>
        <v>0</v>
      </c>
      <c r="M102" s="42">
        <f t="shared" si="36"/>
        <v>123</v>
      </c>
      <c r="N102" s="162">
        <v>9681.7701548725599</v>
      </c>
      <c r="O102" s="162">
        <v>7221</v>
      </c>
      <c r="P102" s="162">
        <v>82786.67</v>
      </c>
      <c r="Q102" s="162">
        <v>4278</v>
      </c>
      <c r="R102" s="162">
        <v>123</v>
      </c>
      <c r="S102" s="162">
        <v>0</v>
      </c>
      <c r="T102" s="162">
        <v>2419.1178153785299</v>
      </c>
      <c r="U102" s="162">
        <v>1237</v>
      </c>
      <c r="V102" s="162">
        <v>24722.78</v>
      </c>
      <c r="W102" s="162">
        <v>550</v>
      </c>
      <c r="X102" s="162">
        <v>0</v>
      </c>
      <c r="Y102" s="162">
        <v>0</v>
      </c>
      <c r="Z102" s="162">
        <v>0</v>
      </c>
      <c r="AA102" s="162">
        <v>0</v>
      </c>
      <c r="AB102" s="162">
        <v>0</v>
      </c>
      <c r="AC102" s="162">
        <v>0</v>
      </c>
      <c r="AD102" s="176">
        <v>284.74774189999999</v>
      </c>
      <c r="AE102" s="165">
        <f>N102*Forutsetninger!$C$30</f>
        <v>10243.312823855169</v>
      </c>
      <c r="AF102" s="165">
        <f t="shared" si="37"/>
        <v>1218.1508398481999</v>
      </c>
      <c r="AG102" s="165">
        <f>S102*Forutsetninger!$C$24</f>
        <v>0</v>
      </c>
      <c r="AH102" s="165">
        <f>AE102+O102+AF102+R102*Forutsetninger!$C$24-AG102</f>
        <v>18812.228663703369</v>
      </c>
      <c r="AI102" s="165">
        <f>AH102+P102*Forutsetninger!$B$6</f>
        <v>23878.772867703367</v>
      </c>
      <c r="AJ102" s="165">
        <f>T102*Forutsetninger!$C$30</f>
        <v>2559.4266486704846</v>
      </c>
      <c r="AK102" s="165">
        <f t="shared" si="38"/>
        <v>156.611258045</v>
      </c>
      <c r="AL102" s="165">
        <f>AJ102+U102+AK102+X102*Forutsetninger!$C$24</f>
        <v>3953.0379067154845</v>
      </c>
      <c r="AM102" s="164">
        <f>(T102)*Forutsetninger!$C$30+X102*Forutsetninger!$C$24+U102+V102*Forutsetninger!$B$6</f>
        <v>5309.4607846704839</v>
      </c>
      <c r="AN102" s="164">
        <f>Y102*Forutsetninger!$C$30+Z102+AA102*Forutsetninger!$B$6+AC102*Forutsetninger!$C$24</f>
        <v>0</v>
      </c>
    </row>
    <row r="103" spans="1:40" s="62" customFormat="1" ht="12.75" x14ac:dyDescent="0.2">
      <c r="A103">
        <v>3492015</v>
      </c>
      <c r="B103" t="s">
        <v>270</v>
      </c>
      <c r="C103" s="170">
        <v>2015</v>
      </c>
      <c r="D103" s="145">
        <f t="shared" si="28"/>
        <v>33924.540081714404</v>
      </c>
      <c r="E103" s="146">
        <v>0</v>
      </c>
      <c r="F103" s="41">
        <f t="shared" si="29"/>
        <v>33924.540081714404</v>
      </c>
      <c r="G103" s="42">
        <f t="shared" si="39"/>
        <v>9952</v>
      </c>
      <c r="H103" s="42">
        <f t="shared" si="31"/>
        <v>192600</v>
      </c>
      <c r="I103" s="42">
        <f t="shared" si="32"/>
        <v>194526</v>
      </c>
      <c r="J103" s="41">
        <f t="shared" si="33"/>
        <v>7500</v>
      </c>
      <c r="K103" s="41">
        <f t="shared" si="34"/>
        <v>2500</v>
      </c>
      <c r="L103" s="41">
        <f t="shared" si="35"/>
        <v>0</v>
      </c>
      <c r="M103" s="42">
        <f t="shared" si="36"/>
        <v>654</v>
      </c>
      <c r="N103" s="162">
        <v>33870.048031113198</v>
      </c>
      <c r="O103" s="162">
        <v>9432</v>
      </c>
      <c r="P103" s="162">
        <v>186811.62</v>
      </c>
      <c r="Q103" s="162">
        <v>7500</v>
      </c>
      <c r="R103" s="162">
        <v>654</v>
      </c>
      <c r="S103" s="162">
        <v>0</v>
      </c>
      <c r="T103" s="162">
        <v>54.492050601205399</v>
      </c>
      <c r="U103" s="162">
        <v>520</v>
      </c>
      <c r="V103" s="162">
        <v>7714.38</v>
      </c>
      <c r="W103" s="162">
        <v>2500</v>
      </c>
      <c r="X103" s="162">
        <v>0</v>
      </c>
      <c r="Y103" s="162">
        <v>0</v>
      </c>
      <c r="Z103" s="162">
        <v>0</v>
      </c>
      <c r="AA103" s="162">
        <v>0</v>
      </c>
      <c r="AB103" s="162">
        <v>0</v>
      </c>
      <c r="AC103" s="162">
        <v>0</v>
      </c>
      <c r="AD103" s="176">
        <v>284.7804931</v>
      </c>
      <c r="AE103" s="165">
        <f>N103*Forutsetninger!$C$30</f>
        <v>35834.510816917762</v>
      </c>
      <c r="AF103" s="165">
        <f t="shared" si="37"/>
        <v>2135.85369825</v>
      </c>
      <c r="AG103" s="165">
        <f>S103*Forutsetninger!$C$24</f>
        <v>0</v>
      </c>
      <c r="AH103" s="165">
        <f>AE103+O103+AF103+R103*Forutsetninger!$C$24-AG103</f>
        <v>48092.334515167764</v>
      </c>
      <c r="AI103" s="165">
        <f>AH103+P103*Forutsetninger!$B$6</f>
        <v>59525.205659167761</v>
      </c>
      <c r="AJ103" s="165">
        <f>T103*Forutsetninger!$C$30</f>
        <v>57.652589536075318</v>
      </c>
      <c r="AK103" s="165">
        <f t="shared" si="38"/>
        <v>711.95123274999992</v>
      </c>
      <c r="AL103" s="165">
        <f>AJ103+U103+AK103+X103*Forutsetninger!$C$24</f>
        <v>1289.6038222860752</v>
      </c>
      <c r="AM103" s="164">
        <f>(T103)*Forutsetninger!$C$30+X103*Forutsetninger!$C$24+U103+V103*Forutsetninger!$B$6</f>
        <v>1049.7726455360753</v>
      </c>
      <c r="AN103" s="164">
        <f>Y103*Forutsetninger!$C$30+Z103+AA103*Forutsetninger!$B$6+AC103*Forutsetninger!$C$24</f>
        <v>0</v>
      </c>
    </row>
    <row r="104" spans="1:40" s="62" customFormat="1" ht="12.75" x14ac:dyDescent="0.2">
      <c r="A104">
        <v>3542015</v>
      </c>
      <c r="B104" t="s">
        <v>271</v>
      </c>
      <c r="C104" s="170">
        <v>2015</v>
      </c>
      <c r="D104" s="145">
        <f t="shared" si="28"/>
        <v>87113.041563936698</v>
      </c>
      <c r="E104" s="146">
        <v>0</v>
      </c>
      <c r="F104" s="41">
        <f t="shared" si="29"/>
        <v>87113.041563936698</v>
      </c>
      <c r="G104" s="42">
        <f t="shared" si="39"/>
        <v>46194</v>
      </c>
      <c r="H104" s="42">
        <f t="shared" si="31"/>
        <v>979095</v>
      </c>
      <c r="I104" s="42">
        <f t="shared" si="32"/>
        <v>988885.95</v>
      </c>
      <c r="J104" s="41">
        <f t="shared" si="33"/>
        <v>28518</v>
      </c>
      <c r="K104" s="41">
        <f t="shared" si="34"/>
        <v>14174</v>
      </c>
      <c r="L104" s="41">
        <f t="shared" si="35"/>
        <v>0</v>
      </c>
      <c r="M104" s="42">
        <f t="shared" si="36"/>
        <v>34314</v>
      </c>
      <c r="N104" s="162">
        <v>73757.144887215603</v>
      </c>
      <c r="O104" s="162">
        <v>32834</v>
      </c>
      <c r="P104" s="162">
        <v>564025.41</v>
      </c>
      <c r="Q104" s="162">
        <v>28518</v>
      </c>
      <c r="R104" s="162">
        <v>17345</v>
      </c>
      <c r="S104" s="162">
        <v>0</v>
      </c>
      <c r="T104" s="162">
        <v>13355.8966767211</v>
      </c>
      <c r="U104" s="162">
        <v>13360</v>
      </c>
      <c r="V104" s="162">
        <v>424860.54</v>
      </c>
      <c r="W104" s="162">
        <v>14174</v>
      </c>
      <c r="X104" s="162">
        <v>16969</v>
      </c>
      <c r="Y104" s="162">
        <v>0</v>
      </c>
      <c r="Z104" s="162">
        <v>0</v>
      </c>
      <c r="AA104" s="162">
        <v>0</v>
      </c>
      <c r="AB104" s="162">
        <v>0</v>
      </c>
      <c r="AC104" s="162">
        <v>0</v>
      </c>
      <c r="AD104" s="176">
        <v>257.06098230000003</v>
      </c>
      <c r="AE104" s="165">
        <f>N104*Forutsetninger!$C$30</f>
        <v>78035.059290674108</v>
      </c>
      <c r="AF104" s="165">
        <f t="shared" si="37"/>
        <v>7330.8650932314013</v>
      </c>
      <c r="AG104" s="165">
        <f>S104*Forutsetninger!$C$24</f>
        <v>0</v>
      </c>
      <c r="AH104" s="165">
        <f>AE104+O104+AF104+R104*Forutsetninger!$C$24-AG104</f>
        <v>136498.89938390552</v>
      </c>
      <c r="AI104" s="165">
        <f>AH104+P104*Forutsetninger!$B$6</f>
        <v>171017.2544759055</v>
      </c>
      <c r="AJ104" s="165">
        <f>T104*Forutsetninger!$C$30</f>
        <v>14130.538683970924</v>
      </c>
      <c r="AK104" s="165">
        <f t="shared" si="38"/>
        <v>3643.5823631202006</v>
      </c>
      <c r="AL104" s="165">
        <f>AJ104+U104+AK104+X104*Forutsetninger!$C$24</f>
        <v>49036.416047091123</v>
      </c>
      <c r="AM104" s="164">
        <f>(T104)*Forutsetninger!$C$30+X104*Forutsetninger!$C$24+U104+V104*Forutsetninger!$B$6</f>
        <v>71394.298731970921</v>
      </c>
      <c r="AN104" s="164">
        <f>Y104*Forutsetninger!$C$30+Z104+AA104*Forutsetninger!$B$6+AC104*Forutsetninger!$C$24</f>
        <v>0</v>
      </c>
    </row>
    <row r="105" spans="1:40" s="62" customFormat="1" ht="12.75" x14ac:dyDescent="0.2">
      <c r="A105">
        <v>3732015</v>
      </c>
      <c r="B105" t="s">
        <v>272</v>
      </c>
      <c r="C105" s="170">
        <v>2015</v>
      </c>
      <c r="D105" s="145">
        <f t="shared" si="28"/>
        <v>9905.3514773901297</v>
      </c>
      <c r="E105" s="146">
        <v>0</v>
      </c>
      <c r="F105" s="41">
        <f t="shared" si="29"/>
        <v>9905.3514773901297</v>
      </c>
      <c r="G105" s="42">
        <f t="shared" si="39"/>
        <v>2326</v>
      </c>
      <c r="H105" s="42">
        <f t="shared" si="31"/>
        <v>40039</v>
      </c>
      <c r="I105" s="42">
        <f t="shared" si="32"/>
        <v>40439.39</v>
      </c>
      <c r="J105" s="41">
        <f t="shared" si="33"/>
        <v>3213</v>
      </c>
      <c r="K105" s="41">
        <f t="shared" si="34"/>
        <v>0</v>
      </c>
      <c r="L105" s="41">
        <f t="shared" si="35"/>
        <v>0</v>
      </c>
      <c r="M105" s="42">
        <f t="shared" si="36"/>
        <v>138</v>
      </c>
      <c r="N105" s="162">
        <v>9905.3514773901297</v>
      </c>
      <c r="O105" s="162">
        <v>2326</v>
      </c>
      <c r="P105" s="162">
        <v>40439.39</v>
      </c>
      <c r="Q105" s="162">
        <v>3213</v>
      </c>
      <c r="R105" s="162">
        <v>138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162">
        <v>0</v>
      </c>
      <c r="Y105" s="162">
        <v>0</v>
      </c>
      <c r="Z105" s="162">
        <v>0</v>
      </c>
      <c r="AA105" s="162">
        <v>0</v>
      </c>
      <c r="AB105" s="162">
        <v>0</v>
      </c>
      <c r="AC105" s="162">
        <v>0</v>
      </c>
      <c r="AD105" s="176">
        <v>284.74774189999999</v>
      </c>
      <c r="AE105" s="165">
        <f>N105*Forutsetninger!$C$30</f>
        <v>10479.861863078757</v>
      </c>
      <c r="AF105" s="165">
        <f t="shared" si="37"/>
        <v>914.89449472469994</v>
      </c>
      <c r="AG105" s="165">
        <f>S105*Forutsetninger!$C$24</f>
        <v>0</v>
      </c>
      <c r="AH105" s="165">
        <f>AE105+O105+AF105+R105*Forutsetninger!$C$24-AG105</f>
        <v>13866.346357803457</v>
      </c>
      <c r="AI105" s="165">
        <f>AH105+P105*Forutsetninger!$B$6</f>
        <v>16341.237025803457</v>
      </c>
      <c r="AJ105" s="165">
        <f>T105*Forutsetninger!$C$30</f>
        <v>0</v>
      </c>
      <c r="AK105" s="165">
        <f t="shared" si="38"/>
        <v>0</v>
      </c>
      <c r="AL105" s="165">
        <f>AJ105+U105+AK105+X105*Forutsetninger!$C$24</f>
        <v>0</v>
      </c>
      <c r="AM105" s="164">
        <f>(T105)*Forutsetninger!$C$30+X105*Forutsetninger!$C$24+U105+V105*Forutsetninger!$B$6</f>
        <v>0</v>
      </c>
      <c r="AN105" s="164">
        <f>Y105*Forutsetninger!$C$30+Z105+AA105*Forutsetninger!$B$6+AC105*Forutsetninger!$C$24</f>
        <v>0</v>
      </c>
    </row>
    <row r="106" spans="1:40" s="62" customFormat="1" ht="12.75" x14ac:dyDescent="0.2">
      <c r="A106">
        <v>4182015</v>
      </c>
      <c r="B106" t="s">
        <v>273</v>
      </c>
      <c r="C106" s="170">
        <v>2015</v>
      </c>
      <c r="D106" s="145">
        <f t="shared" si="28"/>
        <v>11367.4770943286</v>
      </c>
      <c r="E106" s="146">
        <v>0</v>
      </c>
      <c r="F106" s="41">
        <f t="shared" si="29"/>
        <v>11367.4770943286</v>
      </c>
      <c r="G106" s="42">
        <f t="shared" si="39"/>
        <v>3396</v>
      </c>
      <c r="H106" s="42">
        <f t="shared" si="31"/>
        <v>43175</v>
      </c>
      <c r="I106" s="42">
        <f t="shared" si="32"/>
        <v>43606.75</v>
      </c>
      <c r="J106" s="41">
        <f t="shared" si="33"/>
        <v>2324</v>
      </c>
      <c r="K106" s="41">
        <f t="shared" si="34"/>
        <v>0</v>
      </c>
      <c r="L106" s="41">
        <f t="shared" si="35"/>
        <v>0</v>
      </c>
      <c r="M106" s="42">
        <f t="shared" si="36"/>
        <v>722</v>
      </c>
      <c r="N106" s="162">
        <v>11367.4770943286</v>
      </c>
      <c r="O106" s="162">
        <v>3396</v>
      </c>
      <c r="P106" s="162">
        <v>43606.75</v>
      </c>
      <c r="Q106" s="162">
        <v>2324</v>
      </c>
      <c r="R106" s="162">
        <v>722</v>
      </c>
      <c r="S106" s="162">
        <v>164.52</v>
      </c>
      <c r="T106" s="162">
        <v>0</v>
      </c>
      <c r="U106" s="162">
        <v>0</v>
      </c>
      <c r="V106" s="162">
        <v>0</v>
      </c>
      <c r="W106" s="162">
        <v>0</v>
      </c>
      <c r="X106" s="162">
        <v>0</v>
      </c>
      <c r="Y106" s="162">
        <v>0</v>
      </c>
      <c r="Z106" s="162">
        <v>0</v>
      </c>
      <c r="AA106" s="162">
        <v>0</v>
      </c>
      <c r="AB106" s="162">
        <v>0</v>
      </c>
      <c r="AC106" s="162">
        <v>0</v>
      </c>
      <c r="AD106" s="176">
        <v>284.74774189999999</v>
      </c>
      <c r="AE106" s="165">
        <f>N106*Forutsetninger!$C$30</f>
        <v>12026.79076579966</v>
      </c>
      <c r="AF106" s="165">
        <f t="shared" si="37"/>
        <v>661.75375217560008</v>
      </c>
      <c r="AG106" s="165">
        <f>S106*Forutsetninger!$C$24</f>
        <v>173.5686</v>
      </c>
      <c r="AH106" s="165">
        <f>AE106+O106+AF106+R106*Forutsetninger!$C$24-AG106</f>
        <v>16672.685917975261</v>
      </c>
      <c r="AI106" s="165">
        <f>AH106+P106*Forutsetninger!$B$6</f>
        <v>19341.419017975262</v>
      </c>
      <c r="AJ106" s="165">
        <f>T106*Forutsetninger!$C$30</f>
        <v>0</v>
      </c>
      <c r="AK106" s="165">
        <f t="shared" si="38"/>
        <v>0</v>
      </c>
      <c r="AL106" s="165">
        <f>AJ106+U106+AK106+X106*Forutsetninger!$C$24</f>
        <v>0</v>
      </c>
      <c r="AM106" s="164">
        <f>(T106)*Forutsetninger!$C$30+X106*Forutsetninger!$C$24+U106+V106*Forutsetninger!$B$6</f>
        <v>0</v>
      </c>
      <c r="AN106" s="164">
        <f>Y106*Forutsetninger!$C$30+Z106+AA106*Forutsetninger!$B$6+AC106*Forutsetninger!$C$24</f>
        <v>0</v>
      </c>
    </row>
    <row r="107" spans="1:40" s="62" customFormat="1" ht="12.75" x14ac:dyDescent="0.2">
      <c r="A107">
        <v>4332015</v>
      </c>
      <c r="B107" t="s">
        <v>375</v>
      </c>
      <c r="C107" s="170">
        <v>2015</v>
      </c>
      <c r="D107" s="145">
        <f t="shared" si="28"/>
        <v>68548.599959483545</v>
      </c>
      <c r="E107" s="146">
        <v>403</v>
      </c>
      <c r="F107" s="41">
        <f t="shared" si="29"/>
        <v>68145.599959483545</v>
      </c>
      <c r="G107" s="42">
        <f t="shared" si="39"/>
        <v>30567</v>
      </c>
      <c r="H107" s="42">
        <f t="shared" si="31"/>
        <v>396402</v>
      </c>
      <c r="I107" s="42">
        <f t="shared" si="32"/>
        <v>400366.02</v>
      </c>
      <c r="J107" s="41">
        <f t="shared" si="33"/>
        <v>25206</v>
      </c>
      <c r="K107" s="41">
        <f t="shared" si="34"/>
        <v>7529</v>
      </c>
      <c r="L107" s="41">
        <f t="shared" si="35"/>
        <v>0</v>
      </c>
      <c r="M107" s="42">
        <f t="shared" si="36"/>
        <v>8566</v>
      </c>
      <c r="N107" s="162">
        <v>63295.555988280801</v>
      </c>
      <c r="O107" s="162">
        <v>24455</v>
      </c>
      <c r="P107" s="162">
        <v>325793.68</v>
      </c>
      <c r="Q107" s="162">
        <v>25206</v>
      </c>
      <c r="R107" s="162">
        <v>8093</v>
      </c>
      <c r="S107" s="162">
        <v>0</v>
      </c>
      <c r="T107" s="162">
        <v>4559.9960404880003</v>
      </c>
      <c r="U107" s="162">
        <v>5897</v>
      </c>
      <c r="V107" s="162">
        <v>71945.33</v>
      </c>
      <c r="W107" s="162">
        <v>7529</v>
      </c>
      <c r="X107" s="162">
        <v>473</v>
      </c>
      <c r="Y107" s="162">
        <v>290.04793071474597</v>
      </c>
      <c r="Z107" s="162">
        <v>215</v>
      </c>
      <c r="AA107" s="162">
        <v>2627.01</v>
      </c>
      <c r="AB107" s="162">
        <v>0</v>
      </c>
      <c r="AC107" s="162">
        <v>0</v>
      </c>
      <c r="AD107" s="176">
        <v>257.06098230000003</v>
      </c>
      <c r="AE107" s="165">
        <f>N107*Forutsetninger!$C$30</f>
        <v>66966.698235601085</v>
      </c>
      <c r="AF107" s="165">
        <f t="shared" si="37"/>
        <v>6479.4791198538014</v>
      </c>
      <c r="AG107" s="165">
        <f>S107*Forutsetninger!$C$24</f>
        <v>0</v>
      </c>
      <c r="AH107" s="165">
        <f>AE107+O107+AF107+R107*Forutsetninger!$C$24-AG107</f>
        <v>106439.29235545489</v>
      </c>
      <c r="AI107" s="165">
        <f>AH107+P107*Forutsetninger!$B$6</f>
        <v>126377.86557145489</v>
      </c>
      <c r="AJ107" s="165">
        <f>T107*Forutsetninger!$C$30</f>
        <v>4824.4758108363048</v>
      </c>
      <c r="AK107" s="165">
        <f t="shared" si="38"/>
        <v>1935.4121357367001</v>
      </c>
      <c r="AL107" s="165">
        <f>AJ107+U107+AK107+X107*Forutsetninger!$C$24</f>
        <v>13155.902946573005</v>
      </c>
      <c r="AM107" s="164">
        <f>(T107)*Forutsetninger!$C$30+X107*Forutsetninger!$C$24+U107+V107*Forutsetninger!$B$6</f>
        <v>15623.545006836306</v>
      </c>
      <c r="AN107" s="164">
        <f>Y107*Forutsetninger!$C$30+Z107+AA107*Forutsetninger!$B$6+AC107*Forutsetninger!$C$24</f>
        <v>682.64372269620128</v>
      </c>
    </row>
    <row r="108" spans="1:40" s="62" customFormat="1" ht="12.75" x14ac:dyDescent="0.2">
      <c r="A108">
        <v>4472015</v>
      </c>
      <c r="B108" t="s">
        <v>181</v>
      </c>
      <c r="C108" s="170">
        <v>2015</v>
      </c>
      <c r="D108" s="145">
        <f t="shared" si="28"/>
        <v>23566.13867855581</v>
      </c>
      <c r="E108" s="146">
        <v>0</v>
      </c>
      <c r="F108" s="41">
        <f t="shared" si="29"/>
        <v>23566.13867855581</v>
      </c>
      <c r="G108" s="42">
        <f t="shared" si="39"/>
        <v>12642</v>
      </c>
      <c r="H108" s="42">
        <f t="shared" si="31"/>
        <v>99164</v>
      </c>
      <c r="I108" s="42">
        <f t="shared" si="32"/>
        <v>100155.64</v>
      </c>
      <c r="J108" s="41">
        <f t="shared" si="33"/>
        <v>0</v>
      </c>
      <c r="K108" s="41">
        <f t="shared" si="34"/>
        <v>2019</v>
      </c>
      <c r="L108" s="41">
        <f t="shared" si="35"/>
        <v>0</v>
      </c>
      <c r="M108" s="42">
        <f t="shared" si="36"/>
        <v>0</v>
      </c>
      <c r="N108" s="162">
        <v>0</v>
      </c>
      <c r="O108" s="162">
        <v>0</v>
      </c>
      <c r="P108" s="162">
        <v>0</v>
      </c>
      <c r="Q108" s="162">
        <v>0</v>
      </c>
      <c r="R108" s="162">
        <v>0</v>
      </c>
      <c r="S108" s="162">
        <v>0</v>
      </c>
      <c r="T108" s="162">
        <v>2462.7016360263101</v>
      </c>
      <c r="U108" s="162">
        <v>1714</v>
      </c>
      <c r="V108" s="162">
        <v>27844.69</v>
      </c>
      <c r="W108" s="162">
        <v>2019</v>
      </c>
      <c r="X108" s="162">
        <v>0</v>
      </c>
      <c r="Y108" s="162">
        <v>21103.437042529498</v>
      </c>
      <c r="Z108" s="162">
        <v>10928</v>
      </c>
      <c r="AA108" s="162">
        <v>72310.95</v>
      </c>
      <c r="AB108" s="162">
        <v>0</v>
      </c>
      <c r="AC108" s="162">
        <v>0</v>
      </c>
      <c r="AD108" s="176">
        <v>284.74774189999999</v>
      </c>
      <c r="AE108" s="165">
        <f>N108*Forutsetninger!$C$30</f>
        <v>0</v>
      </c>
      <c r="AF108" s="165">
        <f t="shared" si="37"/>
        <v>0</v>
      </c>
      <c r="AG108" s="165">
        <f>S108*Forutsetninger!$C$24</f>
        <v>0</v>
      </c>
      <c r="AH108" s="165">
        <f>AE108+O108+AF108+R108*Forutsetninger!$C$24-AG108</f>
        <v>0</v>
      </c>
      <c r="AI108" s="165">
        <f>AH108+P108*Forutsetninger!$B$6</f>
        <v>0</v>
      </c>
      <c r="AJ108" s="165">
        <f>T108*Forutsetninger!$C$30</f>
        <v>2605.538330915836</v>
      </c>
      <c r="AK108" s="165">
        <f t="shared" si="38"/>
        <v>574.90569089610005</v>
      </c>
      <c r="AL108" s="165">
        <f>AJ108+U108+AK108+X108*Forutsetninger!$C$24</f>
        <v>4894.4440218119362</v>
      </c>
      <c r="AM108" s="164">
        <f>(T108)*Forutsetninger!$C$30+X108*Forutsetninger!$C$24+U108+V108*Forutsetninger!$B$6</f>
        <v>6023.6333589158357</v>
      </c>
      <c r="AN108" s="164">
        <f>Y108*Forutsetninger!$C$30+Z108+AA108*Forutsetninger!$B$6+AC108*Forutsetninger!$C$24</f>
        <v>37680.866530996209</v>
      </c>
    </row>
    <row r="109" spans="1:40" s="62" customFormat="1" ht="12.75" x14ac:dyDescent="0.2">
      <c r="A109">
        <v>4602015</v>
      </c>
      <c r="B109" t="s">
        <v>140</v>
      </c>
      <c r="C109" s="170">
        <v>2015</v>
      </c>
      <c r="D109" s="145">
        <f t="shared" si="28"/>
        <v>195746.15455267785</v>
      </c>
      <c r="E109" s="146">
        <v>367</v>
      </c>
      <c r="F109" s="41">
        <f t="shared" si="29"/>
        <v>195379.15455267785</v>
      </c>
      <c r="G109" s="42">
        <f t="shared" si="39"/>
        <v>93476</v>
      </c>
      <c r="H109" s="42">
        <f t="shared" si="31"/>
        <v>1507196</v>
      </c>
      <c r="I109" s="42">
        <f t="shared" si="32"/>
        <v>1522267.96</v>
      </c>
      <c r="J109" s="41">
        <f t="shared" si="33"/>
        <v>86300</v>
      </c>
      <c r="K109" s="41">
        <f t="shared" si="34"/>
        <v>54857</v>
      </c>
      <c r="L109" s="41">
        <f t="shared" si="35"/>
        <v>0</v>
      </c>
      <c r="M109" s="42">
        <f t="shared" si="36"/>
        <v>16297</v>
      </c>
      <c r="N109" s="162">
        <v>145555.15045250699</v>
      </c>
      <c r="O109" s="162">
        <v>64242</v>
      </c>
      <c r="P109" s="162">
        <v>889152.49</v>
      </c>
      <c r="Q109" s="162">
        <v>86300</v>
      </c>
      <c r="R109" s="162">
        <v>12183</v>
      </c>
      <c r="S109" s="162">
        <v>0</v>
      </c>
      <c r="T109" s="162">
        <v>49489.416388204401</v>
      </c>
      <c r="U109" s="162">
        <v>28327</v>
      </c>
      <c r="V109" s="162">
        <v>627082.74</v>
      </c>
      <c r="W109" s="162">
        <v>54857</v>
      </c>
      <c r="X109" s="162">
        <v>4086</v>
      </c>
      <c r="Y109" s="162">
        <v>334.587711966455</v>
      </c>
      <c r="Z109" s="162">
        <v>907</v>
      </c>
      <c r="AA109" s="162">
        <v>6032.73</v>
      </c>
      <c r="AB109" s="162">
        <v>0</v>
      </c>
      <c r="AC109" s="162">
        <v>28</v>
      </c>
      <c r="AD109" s="176">
        <v>290.33327359999998</v>
      </c>
      <c r="AE109" s="165">
        <f>N109*Forutsetninger!$C$30</f>
        <v>153997.3491787524</v>
      </c>
      <c r="AF109" s="165">
        <f t="shared" si="37"/>
        <v>25055.761511680001</v>
      </c>
      <c r="AG109" s="165">
        <f>S109*Forutsetninger!$C$24</f>
        <v>0</v>
      </c>
      <c r="AH109" s="165">
        <f>AE109+O109+AF109+R109*Forutsetninger!$C$24-AG109</f>
        <v>256148.1756904324</v>
      </c>
      <c r="AI109" s="165">
        <f>AH109+P109*Forutsetninger!$B$6</f>
        <v>310564.3080784324</v>
      </c>
      <c r="AJ109" s="165">
        <f>T109*Forutsetninger!$C$30</f>
        <v>52359.802538720258</v>
      </c>
      <c r="AK109" s="165">
        <f t="shared" si="38"/>
        <v>15926.8123898752</v>
      </c>
      <c r="AL109" s="165">
        <f>AJ109+U109+AK109+X109*Forutsetninger!$C$24</f>
        <v>100924.34492859544</v>
      </c>
      <c r="AM109" s="164">
        <f>(T109)*Forutsetninger!$C$30+X109*Forutsetninger!$C$24+U109+V109*Forutsetninger!$B$6</f>
        <v>123374.99622672025</v>
      </c>
      <c r="AN109" s="164">
        <f>Y109*Forutsetninger!$C$30+Z109+AA109*Forutsetninger!$B$6+AC109*Forutsetninger!$C$24</f>
        <v>1659.7368752605094</v>
      </c>
    </row>
    <row r="110" spans="1:40" s="62" customFormat="1" ht="12.75" x14ac:dyDescent="0.2">
      <c r="A110">
        <v>4642015</v>
      </c>
      <c r="B110" t="s">
        <v>275</v>
      </c>
      <c r="C110" s="170">
        <v>2015</v>
      </c>
      <c r="D110" s="145">
        <f t="shared" si="28"/>
        <v>58865.695112666654</v>
      </c>
      <c r="E110" s="146">
        <v>0</v>
      </c>
      <c r="F110" s="41">
        <f t="shared" si="29"/>
        <v>58865.695112666654</v>
      </c>
      <c r="G110" s="42">
        <f t="shared" si="39"/>
        <v>18109</v>
      </c>
      <c r="H110" s="42">
        <f t="shared" si="31"/>
        <v>220516</v>
      </c>
      <c r="I110" s="42">
        <f t="shared" si="32"/>
        <v>222721.16</v>
      </c>
      <c r="J110" s="41">
        <f t="shared" si="33"/>
        <v>13846</v>
      </c>
      <c r="K110" s="41">
        <f t="shared" si="34"/>
        <v>8900</v>
      </c>
      <c r="L110" s="41">
        <f t="shared" si="35"/>
        <v>0</v>
      </c>
      <c r="M110" s="42">
        <f t="shared" si="36"/>
        <v>6901</v>
      </c>
      <c r="N110" s="162">
        <v>55735.933437475003</v>
      </c>
      <c r="O110" s="162">
        <v>15559</v>
      </c>
      <c r="P110" s="162">
        <v>169270.95</v>
      </c>
      <c r="Q110" s="162">
        <v>13846</v>
      </c>
      <c r="R110" s="162">
        <v>3796</v>
      </c>
      <c r="S110" s="162">
        <v>0</v>
      </c>
      <c r="T110" s="162">
        <v>3129.7616751916498</v>
      </c>
      <c r="U110" s="162">
        <v>2550</v>
      </c>
      <c r="V110" s="162">
        <v>53450.21</v>
      </c>
      <c r="W110" s="162">
        <v>8900</v>
      </c>
      <c r="X110" s="162">
        <v>3105</v>
      </c>
      <c r="Y110" s="162">
        <v>0</v>
      </c>
      <c r="Z110" s="162">
        <v>0</v>
      </c>
      <c r="AA110" s="162">
        <v>0</v>
      </c>
      <c r="AB110" s="162">
        <v>0</v>
      </c>
      <c r="AC110" s="162">
        <v>0</v>
      </c>
      <c r="AD110" s="176">
        <v>257.06098230000003</v>
      </c>
      <c r="AE110" s="165">
        <f>N110*Forutsetninger!$C$30</f>
        <v>58968.617576848555</v>
      </c>
      <c r="AF110" s="165">
        <f t="shared" si="37"/>
        <v>3559.2663609258007</v>
      </c>
      <c r="AG110" s="165">
        <f>S110*Forutsetninger!$C$24</f>
        <v>0</v>
      </c>
      <c r="AH110" s="165">
        <f>AE110+O110+AF110+R110*Forutsetninger!$C$24-AG110</f>
        <v>82091.663937774356</v>
      </c>
      <c r="AI110" s="165">
        <f>AH110+P110*Forutsetninger!$B$6</f>
        <v>92451.046077774357</v>
      </c>
      <c r="AJ110" s="165">
        <f>T110*Forutsetninger!$C$30</f>
        <v>3311.2878523527656</v>
      </c>
      <c r="AK110" s="165">
        <f t="shared" si="38"/>
        <v>2287.8427424700003</v>
      </c>
      <c r="AL110" s="165">
        <f>AJ110+U110+AK110+X110*Forutsetninger!$C$24</f>
        <v>11424.905594822765</v>
      </c>
      <c r="AM110" s="164">
        <f>(T110)*Forutsetninger!$C$30+X110*Forutsetninger!$C$24+U110+V110*Forutsetninger!$B$6</f>
        <v>12408.215704352764</v>
      </c>
      <c r="AN110" s="164">
        <f>Y110*Forutsetninger!$C$30+Z110+AA110*Forutsetninger!$B$6+AC110*Forutsetninger!$C$24</f>
        <v>0</v>
      </c>
    </row>
    <row r="111" spans="1:40" s="62" customFormat="1" ht="12.75" x14ac:dyDescent="0.2">
      <c r="A111">
        <v>4842015</v>
      </c>
      <c r="B111" t="s">
        <v>182</v>
      </c>
      <c r="C111" s="170">
        <v>2015</v>
      </c>
      <c r="D111" s="145">
        <f t="shared" si="28"/>
        <v>618.41367272857406</v>
      </c>
      <c r="E111" s="146">
        <v>0</v>
      </c>
      <c r="F111" s="41">
        <f t="shared" si="29"/>
        <v>618.41367272857406</v>
      </c>
      <c r="G111" s="42">
        <f t="shared" si="39"/>
        <v>2766</v>
      </c>
      <c r="H111" s="42">
        <f t="shared" si="31"/>
        <v>50956</v>
      </c>
      <c r="I111" s="42">
        <f t="shared" si="32"/>
        <v>51465.56</v>
      </c>
      <c r="J111" s="41">
        <f t="shared" si="33"/>
        <v>0</v>
      </c>
      <c r="K111" s="41">
        <f t="shared" si="34"/>
        <v>4125</v>
      </c>
      <c r="L111" s="41">
        <f t="shared" si="35"/>
        <v>0</v>
      </c>
      <c r="M111" s="42">
        <f t="shared" si="36"/>
        <v>0</v>
      </c>
      <c r="N111" s="162">
        <v>0</v>
      </c>
      <c r="O111" s="162">
        <v>0</v>
      </c>
      <c r="P111" s="162">
        <v>0</v>
      </c>
      <c r="Q111" s="162">
        <v>0</v>
      </c>
      <c r="R111" s="162">
        <v>0</v>
      </c>
      <c r="S111" s="162">
        <v>0</v>
      </c>
      <c r="T111" s="162">
        <v>618.41367272857406</v>
      </c>
      <c r="U111" s="162">
        <v>2766</v>
      </c>
      <c r="V111" s="162">
        <v>51465.56</v>
      </c>
      <c r="W111" s="162">
        <v>4125</v>
      </c>
      <c r="X111" s="162">
        <v>0</v>
      </c>
      <c r="Y111" s="162">
        <v>0</v>
      </c>
      <c r="Z111" s="162">
        <v>0</v>
      </c>
      <c r="AA111" s="162">
        <v>0</v>
      </c>
      <c r="AB111" s="162">
        <v>0</v>
      </c>
      <c r="AC111" s="162">
        <v>0</v>
      </c>
      <c r="AD111" s="176">
        <v>290.33327359999998</v>
      </c>
      <c r="AE111" s="165">
        <f>N111*Forutsetninger!$C$30</f>
        <v>0</v>
      </c>
      <c r="AF111" s="165">
        <f t="shared" si="37"/>
        <v>0</v>
      </c>
      <c r="AG111" s="165">
        <f>S111*Forutsetninger!$C$24</f>
        <v>0</v>
      </c>
      <c r="AH111" s="165">
        <f>AE111+O111+AF111+R111*Forutsetninger!$C$24-AG111</f>
        <v>0</v>
      </c>
      <c r="AI111" s="165">
        <f>AH111+P111*Forutsetninger!$B$6</f>
        <v>0</v>
      </c>
      <c r="AJ111" s="165">
        <f>T111*Forutsetninger!$C$30</f>
        <v>654.28166574683144</v>
      </c>
      <c r="AK111" s="165">
        <f t="shared" si="38"/>
        <v>1197.6247535999998</v>
      </c>
      <c r="AL111" s="165">
        <f>AJ111+U111+AK111+X111*Forutsetninger!$C$24</f>
        <v>4617.9064193468312</v>
      </c>
      <c r="AM111" s="164">
        <f>(T111)*Forutsetninger!$C$30+X111*Forutsetninger!$C$24+U111+V111*Forutsetninger!$B$6</f>
        <v>6569.9739377468313</v>
      </c>
      <c r="AN111" s="164">
        <f>Y111*Forutsetninger!$C$30+Z111+AA111*Forutsetninger!$B$6+AC111*Forutsetninger!$C$24</f>
        <v>0</v>
      </c>
    </row>
    <row r="112" spans="1:40" s="62" customFormat="1" ht="12.75" x14ac:dyDescent="0.2">
      <c r="A112">
        <v>5032015</v>
      </c>
      <c r="B112" t="s">
        <v>376</v>
      </c>
      <c r="C112" s="170">
        <v>2015</v>
      </c>
      <c r="D112" s="145">
        <f t="shared" si="28"/>
        <v>156133.60897960738</v>
      </c>
      <c r="E112" s="146">
        <v>0</v>
      </c>
      <c r="F112" s="41">
        <f t="shared" si="29"/>
        <v>156133.60897960738</v>
      </c>
      <c r="G112" s="42">
        <f t="shared" si="39"/>
        <v>53609</v>
      </c>
      <c r="H112" s="42">
        <f t="shared" si="31"/>
        <v>1055739</v>
      </c>
      <c r="I112" s="42">
        <f t="shared" si="32"/>
        <v>1066296.3899999999</v>
      </c>
      <c r="J112" s="41">
        <f t="shared" si="33"/>
        <v>73934</v>
      </c>
      <c r="K112" s="41">
        <f t="shared" si="34"/>
        <v>17398</v>
      </c>
      <c r="L112" s="41">
        <f t="shared" si="35"/>
        <v>0</v>
      </c>
      <c r="M112" s="42">
        <f t="shared" si="36"/>
        <v>24895</v>
      </c>
      <c r="N112" s="162">
        <v>135405.211543468</v>
      </c>
      <c r="O112" s="162">
        <v>41518</v>
      </c>
      <c r="P112" s="162">
        <v>904248.96</v>
      </c>
      <c r="Q112" s="162">
        <v>73934</v>
      </c>
      <c r="R112" s="162">
        <v>22837</v>
      </c>
      <c r="S112" s="162">
        <v>0</v>
      </c>
      <c r="T112" s="162">
        <v>18400.941969137701</v>
      </c>
      <c r="U112" s="162">
        <v>10553</v>
      </c>
      <c r="V112" s="162">
        <v>144712.79999999999</v>
      </c>
      <c r="W112" s="162">
        <v>17398</v>
      </c>
      <c r="X112" s="162">
        <v>2058</v>
      </c>
      <c r="Y112" s="162">
        <v>2327.4554670016801</v>
      </c>
      <c r="Z112" s="162">
        <v>1538</v>
      </c>
      <c r="AA112" s="162">
        <v>17334.63</v>
      </c>
      <c r="AB112" s="162">
        <v>0</v>
      </c>
      <c r="AC112" s="162">
        <v>0</v>
      </c>
      <c r="AD112" s="176">
        <v>284.7804931</v>
      </c>
      <c r="AE112" s="165">
        <f>N112*Forutsetninger!$C$30</f>
        <v>143258.71381298915</v>
      </c>
      <c r="AF112" s="165">
        <f t="shared" si="37"/>
        <v>21054.9609768554</v>
      </c>
      <c r="AG112" s="165">
        <f>S112*Forutsetninger!$C$24</f>
        <v>0</v>
      </c>
      <c r="AH112" s="165">
        <f>AE112+O112+AF112+R112*Forutsetninger!$C$24-AG112</f>
        <v>229924.70978984455</v>
      </c>
      <c r="AI112" s="165">
        <f>AH112+P112*Forutsetninger!$B$6</f>
        <v>285264.74614184455</v>
      </c>
      <c r="AJ112" s="165">
        <f>T112*Forutsetninger!$C$30</f>
        <v>19468.196603347689</v>
      </c>
      <c r="AK112" s="165">
        <f t="shared" si="38"/>
        <v>4954.6110189538003</v>
      </c>
      <c r="AL112" s="165">
        <f>AJ112+U112+AK112+X112*Forutsetninger!$C$24</f>
        <v>37146.997622301489</v>
      </c>
      <c r="AM112" s="164">
        <f>(T112)*Forutsetninger!$C$30+X112*Forutsetninger!$C$24+U112+V112*Forutsetninger!$B$6</f>
        <v>41048.809963347689</v>
      </c>
      <c r="AN112" s="164">
        <f>Y112*Forutsetninger!$C$30+Z112+AA112*Forutsetninger!$B$6+AC112*Forutsetninger!$C$24</f>
        <v>5061.3272400877777</v>
      </c>
    </row>
    <row r="113" spans="1:40" s="62" customFormat="1" ht="12.75" x14ac:dyDescent="0.2">
      <c r="A113">
        <v>5112015</v>
      </c>
      <c r="B113" t="s">
        <v>277</v>
      </c>
      <c r="C113" s="170">
        <v>2015</v>
      </c>
      <c r="D113" s="145">
        <f t="shared" si="28"/>
        <v>336727.6147168859</v>
      </c>
      <c r="E113" s="146">
        <v>675</v>
      </c>
      <c r="F113" s="41">
        <f t="shared" si="29"/>
        <v>336052.6147168859</v>
      </c>
      <c r="G113" s="42">
        <f t="shared" si="39"/>
        <v>158317</v>
      </c>
      <c r="H113" s="42">
        <f t="shared" si="31"/>
        <v>2773453</v>
      </c>
      <c r="I113" s="42">
        <f t="shared" si="32"/>
        <v>2801187.53</v>
      </c>
      <c r="J113" s="41">
        <f t="shared" si="33"/>
        <v>198320</v>
      </c>
      <c r="K113" s="41">
        <f t="shared" si="34"/>
        <v>75194</v>
      </c>
      <c r="L113" s="41">
        <f t="shared" si="35"/>
        <v>0</v>
      </c>
      <c r="M113" s="42">
        <f t="shared" si="36"/>
        <v>28003</v>
      </c>
      <c r="N113" s="162">
        <v>219893.918583091</v>
      </c>
      <c r="O113" s="162">
        <v>111890</v>
      </c>
      <c r="P113" s="162">
        <v>2122728.11</v>
      </c>
      <c r="Q113" s="162">
        <v>198320</v>
      </c>
      <c r="R113" s="162">
        <v>13791</v>
      </c>
      <c r="S113" s="162">
        <v>19491.03</v>
      </c>
      <c r="T113" s="162">
        <v>116176.649875167</v>
      </c>
      <c r="U113" s="162">
        <v>45177</v>
      </c>
      <c r="V113" s="162">
        <v>661633.82999999996</v>
      </c>
      <c r="W113" s="162">
        <v>75194</v>
      </c>
      <c r="X113" s="162">
        <v>14212</v>
      </c>
      <c r="Y113" s="162">
        <v>-17.9537413721124</v>
      </c>
      <c r="Z113" s="162">
        <v>1250</v>
      </c>
      <c r="AA113" s="162">
        <v>16825.59</v>
      </c>
      <c r="AB113" s="162">
        <v>0</v>
      </c>
      <c r="AC113" s="162">
        <v>0</v>
      </c>
      <c r="AD113" s="176">
        <v>284.7804931</v>
      </c>
      <c r="AE113" s="165">
        <f>N113*Forutsetninger!$C$30</f>
        <v>232647.76586091029</v>
      </c>
      <c r="AF113" s="165">
        <f t="shared" si="37"/>
        <v>56477.667391592004</v>
      </c>
      <c r="AG113" s="165">
        <f>S113*Forutsetninger!$C$24</f>
        <v>20563.036649999998</v>
      </c>
      <c r="AH113" s="165">
        <f>AE113+O113+AF113+R113*Forutsetninger!$C$24-AG113</f>
        <v>395001.90160250227</v>
      </c>
      <c r="AI113" s="165">
        <f>AH113+P113*Forutsetninger!$B$6</f>
        <v>524912.86193450226</v>
      </c>
      <c r="AJ113" s="165">
        <f>T113*Forutsetninger!$C$30</f>
        <v>122914.89556792669</v>
      </c>
      <c r="AK113" s="165">
        <f t="shared" si="38"/>
        <v>21413.784398161399</v>
      </c>
      <c r="AL113" s="165">
        <f>AJ113+U113+AK113+X113*Forutsetninger!$C$24</f>
        <v>204499.3399660881</v>
      </c>
      <c r="AM113" s="164">
        <f>(T113)*Forutsetninger!$C$30+X113*Forutsetninger!$C$24+U113+V113*Forutsetninger!$B$6</f>
        <v>223577.54596392671</v>
      </c>
      <c r="AN113" s="164">
        <f>Y113*Forutsetninger!$C$30+Z113+AA113*Forutsetninger!$B$6+AC113*Forutsetninger!$C$24</f>
        <v>2260.7310496283053</v>
      </c>
    </row>
    <row r="114" spans="1:40" s="62" customFormat="1" ht="12.75" x14ac:dyDescent="0.2">
      <c r="A114">
        <v>5122015</v>
      </c>
      <c r="B114" t="s">
        <v>183</v>
      </c>
      <c r="C114" s="170">
        <v>2015</v>
      </c>
      <c r="D114" s="145">
        <f t="shared" si="28"/>
        <v>1635</v>
      </c>
      <c r="E114" s="146">
        <v>0</v>
      </c>
      <c r="F114" s="41">
        <f t="shared" si="29"/>
        <v>1635</v>
      </c>
      <c r="G114" s="42">
        <f t="shared" si="39"/>
        <v>1108</v>
      </c>
      <c r="H114" s="42">
        <f t="shared" si="31"/>
        <v>12313</v>
      </c>
      <c r="I114" s="42">
        <f t="shared" si="32"/>
        <v>12436.130000000001</v>
      </c>
      <c r="J114" s="41">
        <f t="shared" si="33"/>
        <v>0</v>
      </c>
      <c r="K114" s="41">
        <f t="shared" si="34"/>
        <v>0</v>
      </c>
      <c r="L114" s="41">
        <f t="shared" si="35"/>
        <v>0</v>
      </c>
      <c r="M114" s="42">
        <f t="shared" si="36"/>
        <v>0</v>
      </c>
      <c r="N114" s="162">
        <v>730</v>
      </c>
      <c r="O114" s="162">
        <v>593</v>
      </c>
      <c r="P114" s="162">
        <v>9268.77</v>
      </c>
      <c r="Q114" s="162">
        <v>0</v>
      </c>
      <c r="R114" s="162">
        <v>0</v>
      </c>
      <c r="S114" s="162">
        <v>0</v>
      </c>
      <c r="T114" s="162">
        <v>905</v>
      </c>
      <c r="U114" s="162">
        <v>515</v>
      </c>
      <c r="V114" s="162">
        <v>3167.36</v>
      </c>
      <c r="W114" s="162">
        <v>0</v>
      </c>
      <c r="X114" s="162">
        <v>0</v>
      </c>
      <c r="Y114" s="162">
        <v>0</v>
      </c>
      <c r="Z114" s="162">
        <v>0</v>
      </c>
      <c r="AA114" s="162">
        <v>0</v>
      </c>
      <c r="AB114" s="162">
        <v>0</v>
      </c>
      <c r="AC114" s="162">
        <v>0</v>
      </c>
      <c r="AD114" s="176">
        <v>284.7804931</v>
      </c>
      <c r="AE114" s="165">
        <f>N114*Forutsetninger!$C$30</f>
        <v>772.34</v>
      </c>
      <c r="AF114" s="165">
        <f t="shared" si="37"/>
        <v>0</v>
      </c>
      <c r="AG114" s="165">
        <f>S114*Forutsetninger!$C$24</f>
        <v>0</v>
      </c>
      <c r="AH114" s="165">
        <f>AE114+O114+AF114+R114*Forutsetninger!$C$24-AG114</f>
        <v>1365.3400000000001</v>
      </c>
      <c r="AI114" s="165">
        <f>AH114+P114*Forutsetninger!$B$6</f>
        <v>1932.5887240000002</v>
      </c>
      <c r="AJ114" s="165">
        <f>T114*Forutsetninger!$C$30</f>
        <v>957.49</v>
      </c>
      <c r="AK114" s="165">
        <f t="shared" si="38"/>
        <v>0</v>
      </c>
      <c r="AL114" s="165">
        <f>AJ114+U114+AK114+X114*Forutsetninger!$C$24</f>
        <v>1472.49</v>
      </c>
      <c r="AM114" s="164">
        <f>(T114)*Forutsetninger!$C$30+X114*Forutsetninger!$C$24+U114+V114*Forutsetninger!$B$6</f>
        <v>1666.3324319999999</v>
      </c>
      <c r="AN114" s="164">
        <f>Y114*Forutsetninger!$C$30+Z114+AA114*Forutsetninger!$B$6+AC114*Forutsetninger!$C$24</f>
        <v>0</v>
      </c>
    </row>
    <row r="115" spans="1:40" s="62" customFormat="1" ht="12.75" x14ac:dyDescent="0.2">
      <c r="A115">
        <v>5422015</v>
      </c>
      <c r="B115" t="s">
        <v>278</v>
      </c>
      <c r="C115" s="170">
        <v>2015</v>
      </c>
      <c r="D115" s="145">
        <f t="shared" si="28"/>
        <v>40897.541616457376</v>
      </c>
      <c r="E115" s="146">
        <v>0</v>
      </c>
      <c r="F115" s="41">
        <f t="shared" si="29"/>
        <v>40897.541616457376</v>
      </c>
      <c r="G115" s="42">
        <f t="shared" si="39"/>
        <v>13668</v>
      </c>
      <c r="H115" s="42">
        <f t="shared" si="31"/>
        <v>212489</v>
      </c>
      <c r="I115" s="42">
        <f t="shared" si="32"/>
        <v>214613.88999999998</v>
      </c>
      <c r="J115" s="41">
        <f t="shared" si="33"/>
        <v>19775</v>
      </c>
      <c r="K115" s="41">
        <f t="shared" si="34"/>
        <v>0</v>
      </c>
      <c r="L115" s="41">
        <f t="shared" si="35"/>
        <v>0</v>
      </c>
      <c r="M115" s="42">
        <f t="shared" si="36"/>
        <v>2648</v>
      </c>
      <c r="N115" s="162">
        <v>40613.836309713603</v>
      </c>
      <c r="O115" s="162">
        <v>13567</v>
      </c>
      <c r="P115" s="162">
        <v>213897.8</v>
      </c>
      <c r="Q115" s="162">
        <v>19775</v>
      </c>
      <c r="R115" s="162">
        <v>2648</v>
      </c>
      <c r="S115" s="162">
        <v>921.31</v>
      </c>
      <c r="T115" s="162">
        <v>283.70530674377602</v>
      </c>
      <c r="U115" s="162">
        <v>101</v>
      </c>
      <c r="V115" s="162">
        <v>716.09</v>
      </c>
      <c r="W115" s="162">
        <v>0</v>
      </c>
      <c r="X115" s="162">
        <v>0</v>
      </c>
      <c r="Y115" s="162">
        <v>0</v>
      </c>
      <c r="Z115" s="162">
        <v>0</v>
      </c>
      <c r="AA115" s="162">
        <v>0</v>
      </c>
      <c r="AB115" s="162">
        <v>0</v>
      </c>
      <c r="AC115" s="162">
        <v>0</v>
      </c>
      <c r="AD115" s="176">
        <v>286.91705400000001</v>
      </c>
      <c r="AE115" s="165">
        <f>N115*Forutsetninger!$C$30</f>
        <v>42969.438815676993</v>
      </c>
      <c r="AF115" s="165">
        <f t="shared" si="37"/>
        <v>5673.7847428499999</v>
      </c>
      <c r="AG115" s="165">
        <f>S115*Forutsetninger!$C$24</f>
        <v>971.98204999999984</v>
      </c>
      <c r="AH115" s="165">
        <f>AE115+O115+AF115+R115*Forutsetninger!$C$24-AG115</f>
        <v>64031.881508526996</v>
      </c>
      <c r="AI115" s="165">
        <f>AH115+P115*Forutsetninger!$B$6</f>
        <v>77122.426868526993</v>
      </c>
      <c r="AJ115" s="165">
        <f>T115*Forutsetninger!$C$30</f>
        <v>300.16021453491504</v>
      </c>
      <c r="AK115" s="165">
        <f t="shared" si="38"/>
        <v>0</v>
      </c>
      <c r="AL115" s="165">
        <f>AJ115+U115+AK115+X115*Forutsetninger!$C$24</f>
        <v>401.16021453491504</v>
      </c>
      <c r="AM115" s="164">
        <f>(T115)*Forutsetninger!$C$30+X115*Forutsetninger!$C$24+U115+V115*Forutsetninger!$B$6</f>
        <v>444.98492253491503</v>
      </c>
      <c r="AN115" s="164">
        <f>Y115*Forutsetninger!$C$30+Z115+AA115*Forutsetninger!$B$6+AC115*Forutsetninger!$C$24</f>
        <v>0</v>
      </c>
    </row>
    <row r="116" spans="1:40" s="62" customFormat="1" ht="12.75" x14ac:dyDescent="0.2">
      <c r="A116">
        <v>5662015</v>
      </c>
      <c r="B116" t="s">
        <v>279</v>
      </c>
      <c r="C116" s="170">
        <v>2015</v>
      </c>
      <c r="D116" s="145">
        <f t="shared" si="28"/>
        <v>509412.84414811432</v>
      </c>
      <c r="E116" s="146">
        <v>2418</v>
      </c>
      <c r="F116" s="41">
        <f t="shared" si="29"/>
        <v>506994.84414811432</v>
      </c>
      <c r="G116" s="42">
        <f t="shared" si="39"/>
        <v>292832</v>
      </c>
      <c r="H116" s="42">
        <f t="shared" si="31"/>
        <v>4015360</v>
      </c>
      <c r="I116" s="42">
        <f t="shared" si="32"/>
        <v>4055513.5999999996</v>
      </c>
      <c r="J116" s="41">
        <f t="shared" si="33"/>
        <v>234298</v>
      </c>
      <c r="K116" s="41">
        <f t="shared" si="34"/>
        <v>136011</v>
      </c>
      <c r="L116" s="41">
        <f t="shared" si="35"/>
        <v>0</v>
      </c>
      <c r="M116" s="42">
        <f t="shared" si="36"/>
        <v>96439</v>
      </c>
      <c r="N116" s="162">
        <v>401420.03798740602</v>
      </c>
      <c r="O116" s="162">
        <v>188032</v>
      </c>
      <c r="P116" s="162">
        <v>2661408.58</v>
      </c>
      <c r="Q116" s="162">
        <v>234298</v>
      </c>
      <c r="R116" s="162">
        <v>71005</v>
      </c>
      <c r="S116" s="162">
        <v>28396.31</v>
      </c>
      <c r="T116" s="162">
        <v>95516.209070288794</v>
      </c>
      <c r="U116" s="162">
        <v>83627</v>
      </c>
      <c r="V116" s="162">
        <v>1155390.51</v>
      </c>
      <c r="W116" s="162">
        <v>136011</v>
      </c>
      <c r="X116" s="162">
        <v>25434</v>
      </c>
      <c r="Y116" s="162">
        <v>10058.5970904195</v>
      </c>
      <c r="Z116" s="162">
        <v>21173</v>
      </c>
      <c r="AA116" s="162">
        <v>238714.51</v>
      </c>
      <c r="AB116" s="162">
        <v>0</v>
      </c>
      <c r="AC116" s="162">
        <v>0</v>
      </c>
      <c r="AD116" s="176">
        <v>284.74774189999999</v>
      </c>
      <c r="AE116" s="165">
        <f>N116*Forutsetninger!$C$30</f>
        <v>424702.40019067557</v>
      </c>
      <c r="AF116" s="165">
        <f t="shared" si="37"/>
        <v>66715.826431686204</v>
      </c>
      <c r="AG116" s="165">
        <f>S116*Forutsetninger!$C$24</f>
        <v>29958.107049999999</v>
      </c>
      <c r="AH116" s="165">
        <f>AE116+O116+AF116+R116*Forutsetninger!$C$24-AG116</f>
        <v>724402.39457236184</v>
      </c>
      <c r="AI116" s="165">
        <f>AH116+P116*Forutsetninger!$B$6</f>
        <v>887280.59966836183</v>
      </c>
      <c r="AJ116" s="165">
        <f>T116*Forutsetninger!$C$30</f>
        <v>101056.14919636554</v>
      </c>
      <c r="AK116" s="165">
        <f t="shared" si="38"/>
        <v>38728.825123560899</v>
      </c>
      <c r="AL116" s="165">
        <f>AJ116+U116+AK116+X116*Forutsetninger!$C$24</f>
        <v>250244.84431992646</v>
      </c>
      <c r="AM116" s="164">
        <f>(T116)*Forutsetninger!$C$30+X116*Forutsetninger!$C$24+U116+V116*Forutsetninger!$B$6</f>
        <v>282225.91840836557</v>
      </c>
      <c r="AN116" s="164">
        <f>Y116*Forutsetninger!$C$30+Z116+AA116*Forutsetninger!$B$6+AC116*Forutsetninger!$C$24</f>
        <v>46424.323733663834</v>
      </c>
    </row>
    <row r="117" spans="1:40" s="62" customFormat="1" ht="12.75" x14ac:dyDescent="0.2">
      <c r="A117">
        <v>5742015</v>
      </c>
      <c r="B117" t="s">
        <v>280</v>
      </c>
      <c r="C117" s="170">
        <v>2015</v>
      </c>
      <c r="D117" s="145">
        <f t="shared" si="28"/>
        <v>442544.28103378002</v>
      </c>
      <c r="E117" s="146">
        <v>1197</v>
      </c>
      <c r="F117" s="41">
        <f t="shared" si="29"/>
        <v>441347.28103378002</v>
      </c>
      <c r="G117" s="42">
        <f t="shared" si="39"/>
        <v>198040</v>
      </c>
      <c r="H117" s="42">
        <f t="shared" si="31"/>
        <v>3505919</v>
      </c>
      <c r="I117" s="42">
        <f t="shared" si="32"/>
        <v>3540978.19</v>
      </c>
      <c r="J117" s="41">
        <f t="shared" si="33"/>
        <v>153611</v>
      </c>
      <c r="K117" s="41">
        <f t="shared" si="34"/>
        <v>207904</v>
      </c>
      <c r="L117" s="41">
        <f t="shared" si="35"/>
        <v>0</v>
      </c>
      <c r="M117" s="42">
        <f t="shared" si="36"/>
        <v>54453</v>
      </c>
      <c r="N117" s="162">
        <v>337902.480024349</v>
      </c>
      <c r="O117" s="162">
        <v>153909</v>
      </c>
      <c r="P117" s="162">
        <v>2955059.01</v>
      </c>
      <c r="Q117" s="162">
        <v>153611</v>
      </c>
      <c r="R117" s="162">
        <v>35764</v>
      </c>
      <c r="S117" s="162">
        <v>0</v>
      </c>
      <c r="T117" s="162">
        <v>103291.801009431</v>
      </c>
      <c r="U117" s="162">
        <v>43267</v>
      </c>
      <c r="V117" s="162">
        <v>582770</v>
      </c>
      <c r="W117" s="162">
        <v>207904</v>
      </c>
      <c r="X117" s="162">
        <v>18328</v>
      </c>
      <c r="Y117" s="162">
        <v>153</v>
      </c>
      <c r="Z117" s="162">
        <v>864</v>
      </c>
      <c r="AA117" s="162">
        <v>3149.18</v>
      </c>
      <c r="AB117" s="162">
        <v>0</v>
      </c>
      <c r="AC117" s="162">
        <v>361</v>
      </c>
      <c r="AD117" s="176">
        <v>286.91705400000001</v>
      </c>
      <c r="AE117" s="165">
        <f>N117*Forutsetninger!$C$30</f>
        <v>357500.82386576128</v>
      </c>
      <c r="AF117" s="165">
        <f t="shared" si="37"/>
        <v>44073.615581994003</v>
      </c>
      <c r="AG117" s="165">
        <f>S117*Forutsetninger!$C$24</f>
        <v>0</v>
      </c>
      <c r="AH117" s="165">
        <f>AE117+O117+AF117+R117*Forutsetninger!$C$24-AG117</f>
        <v>593214.45944775525</v>
      </c>
      <c r="AI117" s="165">
        <f>AH117+P117*Forutsetninger!$B$6</f>
        <v>774064.07085975516</v>
      </c>
      <c r="AJ117" s="165">
        <f>T117*Forutsetninger!$C$30</f>
        <v>109282.725467978</v>
      </c>
      <c r="AK117" s="165">
        <f t="shared" si="38"/>
        <v>59651.203194816</v>
      </c>
      <c r="AL117" s="165">
        <f>AJ117+U117+AK117+X117*Forutsetninger!$C$24</f>
        <v>231536.96866279401</v>
      </c>
      <c r="AM117" s="164">
        <f>(T117)*Forutsetninger!$C$30+X117*Forutsetninger!$C$24+U117+V117*Forutsetninger!$B$6</f>
        <v>207551.289467978</v>
      </c>
      <c r="AN117" s="164">
        <f>Y117*Forutsetninger!$C$30+Z117+AA117*Forutsetninger!$B$6+AC117*Forutsetninger!$C$24</f>
        <v>1599.4588160000001</v>
      </c>
    </row>
    <row r="118" spans="1:40" s="62" customFormat="1" ht="12.75" x14ac:dyDescent="0.2">
      <c r="A118">
        <v>5782015</v>
      </c>
      <c r="B118" t="s">
        <v>281</v>
      </c>
      <c r="C118" s="170">
        <v>2015</v>
      </c>
      <c r="D118" s="145">
        <f t="shared" si="28"/>
        <v>11251.3572893415</v>
      </c>
      <c r="E118" s="146">
        <v>0</v>
      </c>
      <c r="F118" s="41">
        <f t="shared" si="29"/>
        <v>11251.3572893415</v>
      </c>
      <c r="G118" s="42">
        <f t="shared" si="39"/>
        <v>4600</v>
      </c>
      <c r="H118" s="42">
        <f t="shared" si="31"/>
        <v>74384</v>
      </c>
      <c r="I118" s="42">
        <f t="shared" si="32"/>
        <v>75127.839999999997</v>
      </c>
      <c r="J118" s="41">
        <f t="shared" si="33"/>
        <v>4456</v>
      </c>
      <c r="K118" s="41">
        <f t="shared" si="34"/>
        <v>0</v>
      </c>
      <c r="L118" s="41">
        <f t="shared" si="35"/>
        <v>0</v>
      </c>
      <c r="M118" s="42">
        <f t="shared" si="36"/>
        <v>289</v>
      </c>
      <c r="N118" s="162">
        <v>11251.3572893415</v>
      </c>
      <c r="O118" s="162">
        <v>4600</v>
      </c>
      <c r="P118" s="162">
        <v>75127.839999999997</v>
      </c>
      <c r="Q118" s="162">
        <v>4456</v>
      </c>
      <c r="R118" s="162">
        <v>289</v>
      </c>
      <c r="S118" s="162">
        <v>32.9</v>
      </c>
      <c r="T118" s="162">
        <v>0</v>
      </c>
      <c r="U118" s="162">
        <v>0</v>
      </c>
      <c r="V118" s="162">
        <v>0</v>
      </c>
      <c r="W118" s="162">
        <v>0</v>
      </c>
      <c r="X118" s="162">
        <v>0</v>
      </c>
      <c r="Y118" s="162">
        <v>0</v>
      </c>
      <c r="Z118" s="162">
        <v>0</v>
      </c>
      <c r="AA118" s="162">
        <v>0</v>
      </c>
      <c r="AB118" s="162">
        <v>0</v>
      </c>
      <c r="AC118" s="162">
        <v>0</v>
      </c>
      <c r="AD118" s="176">
        <v>286.91705400000001</v>
      </c>
      <c r="AE118" s="165">
        <f>N118*Forutsetninger!$C$30</f>
        <v>11903.936012123308</v>
      </c>
      <c r="AF118" s="165">
        <f t="shared" si="37"/>
        <v>1278.5023926240001</v>
      </c>
      <c r="AG118" s="165">
        <f>S118*Forutsetninger!$C$24</f>
        <v>34.709499999999998</v>
      </c>
      <c r="AH118" s="165">
        <f>AE118+O118+AF118+R118*Forutsetninger!$C$24-AG118</f>
        <v>18052.623904747306</v>
      </c>
      <c r="AI118" s="165">
        <f>AH118+P118*Forutsetninger!$B$6</f>
        <v>22650.447712747307</v>
      </c>
      <c r="AJ118" s="165">
        <f>T118*Forutsetninger!$C$30</f>
        <v>0</v>
      </c>
      <c r="AK118" s="165">
        <f t="shared" si="38"/>
        <v>0</v>
      </c>
      <c r="AL118" s="165">
        <f>AJ118+U118+AK118+X118*Forutsetninger!$C$24</f>
        <v>0</v>
      </c>
      <c r="AM118" s="164">
        <f>(T118)*Forutsetninger!$C$30+X118*Forutsetninger!$C$24+U118+V118*Forutsetninger!$B$6</f>
        <v>0</v>
      </c>
      <c r="AN118" s="164">
        <f>Y118*Forutsetninger!$C$30+Z118+AA118*Forutsetninger!$B$6+AC118*Forutsetninger!$C$24</f>
        <v>0</v>
      </c>
    </row>
    <row r="119" spans="1:40" s="62" customFormat="1" ht="12.75" x14ac:dyDescent="0.2">
      <c r="A119">
        <v>5912015</v>
      </c>
      <c r="B119" t="s">
        <v>348</v>
      </c>
      <c r="C119" s="170">
        <v>2015</v>
      </c>
      <c r="D119" s="145">
        <f t="shared" si="28"/>
        <v>28960.305599508778</v>
      </c>
      <c r="E119" s="146">
        <v>0</v>
      </c>
      <c r="F119" s="41">
        <f t="shared" si="29"/>
        <v>28960.305599508778</v>
      </c>
      <c r="G119" s="42">
        <f t="shared" si="39"/>
        <v>18232</v>
      </c>
      <c r="H119" s="42">
        <f t="shared" si="31"/>
        <v>270500</v>
      </c>
      <c r="I119" s="42">
        <f t="shared" si="32"/>
        <v>273205</v>
      </c>
      <c r="J119" s="41">
        <f t="shared" si="33"/>
        <v>17668</v>
      </c>
      <c r="K119" s="41">
        <f t="shared" si="34"/>
        <v>1712</v>
      </c>
      <c r="L119" s="41">
        <f t="shared" si="35"/>
        <v>0</v>
      </c>
      <c r="M119" s="42">
        <f t="shared" si="36"/>
        <v>1289</v>
      </c>
      <c r="N119" s="162">
        <v>26902.722499031199</v>
      </c>
      <c r="O119" s="162">
        <v>16048</v>
      </c>
      <c r="P119" s="162">
        <v>223009.01</v>
      </c>
      <c r="Q119" s="162">
        <v>17668</v>
      </c>
      <c r="R119" s="162">
        <v>1289</v>
      </c>
      <c r="S119" s="162">
        <v>0</v>
      </c>
      <c r="T119" s="162">
        <v>2057.58310047758</v>
      </c>
      <c r="U119" s="162">
        <v>2184</v>
      </c>
      <c r="V119" s="162">
        <v>50195.99</v>
      </c>
      <c r="W119" s="162">
        <v>1712</v>
      </c>
      <c r="X119" s="162">
        <v>0</v>
      </c>
      <c r="Y119" s="162">
        <v>0</v>
      </c>
      <c r="Z119" s="162">
        <v>0</v>
      </c>
      <c r="AA119" s="162">
        <v>0</v>
      </c>
      <c r="AB119" s="162">
        <v>0</v>
      </c>
      <c r="AC119" s="162">
        <v>0</v>
      </c>
      <c r="AD119" s="176">
        <v>286.91705400000001</v>
      </c>
      <c r="AE119" s="165">
        <f>N119*Forutsetninger!$C$30</f>
        <v>28463.080403975011</v>
      </c>
      <c r="AF119" s="165">
        <f t="shared" si="37"/>
        <v>5069.250510072</v>
      </c>
      <c r="AG119" s="165">
        <f>S119*Forutsetninger!$C$24</f>
        <v>0</v>
      </c>
      <c r="AH119" s="165">
        <f>AE119+O119+AF119+R119*Forutsetninger!$C$24-AG119</f>
        <v>50940.225914047005</v>
      </c>
      <c r="AI119" s="165">
        <f>AH119+P119*Forutsetninger!$B$6</f>
        <v>64588.377326047004</v>
      </c>
      <c r="AJ119" s="165">
        <f>T119*Forutsetninger!$C$30</f>
        <v>2176.9229203052796</v>
      </c>
      <c r="AK119" s="165">
        <f t="shared" si="38"/>
        <v>491.20199644800005</v>
      </c>
      <c r="AL119" s="165">
        <f>AJ119+U119+AK119+X119*Forutsetninger!$C$24</f>
        <v>4852.1249167532806</v>
      </c>
      <c r="AM119" s="164">
        <f>(T119)*Forutsetninger!$C$30+X119*Forutsetninger!$C$24+U119+V119*Forutsetninger!$B$6</f>
        <v>7432.9175083052796</v>
      </c>
      <c r="AN119" s="164">
        <f>Y119*Forutsetninger!$C$30+Z119+AA119*Forutsetninger!$B$6+AC119*Forutsetninger!$C$24</f>
        <v>0</v>
      </c>
    </row>
    <row r="120" spans="1:40" s="62" customFormat="1" ht="12.75" x14ac:dyDescent="0.2">
      <c r="A120">
        <v>5932015</v>
      </c>
      <c r="B120" t="s">
        <v>283</v>
      </c>
      <c r="C120" s="170">
        <v>2015</v>
      </c>
      <c r="D120" s="145">
        <f t="shared" si="28"/>
        <v>12754.817316318</v>
      </c>
      <c r="E120" s="146">
        <v>0</v>
      </c>
      <c r="F120" s="41">
        <f t="shared" si="29"/>
        <v>12754.817316318</v>
      </c>
      <c r="G120" s="42">
        <f t="shared" si="39"/>
        <v>2856</v>
      </c>
      <c r="H120" s="42">
        <f t="shared" si="31"/>
        <v>28294</v>
      </c>
      <c r="I120" s="42">
        <f t="shared" si="32"/>
        <v>28576.94</v>
      </c>
      <c r="J120" s="41">
        <f t="shared" si="33"/>
        <v>3853</v>
      </c>
      <c r="K120" s="41">
        <f t="shared" si="34"/>
        <v>0</v>
      </c>
      <c r="L120" s="41">
        <f t="shared" si="35"/>
        <v>0</v>
      </c>
      <c r="M120" s="42">
        <f t="shared" si="36"/>
        <v>244</v>
      </c>
      <c r="N120" s="162">
        <v>12754.817316318</v>
      </c>
      <c r="O120" s="162">
        <v>2856</v>
      </c>
      <c r="P120" s="162">
        <v>28576.94</v>
      </c>
      <c r="Q120" s="162">
        <v>3853</v>
      </c>
      <c r="R120" s="162">
        <v>244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162">
        <v>0</v>
      </c>
      <c r="Y120" s="162">
        <v>0</v>
      </c>
      <c r="Z120" s="162">
        <v>0</v>
      </c>
      <c r="AA120" s="162">
        <v>0</v>
      </c>
      <c r="AB120" s="162">
        <v>0</v>
      </c>
      <c r="AC120" s="162">
        <v>0</v>
      </c>
      <c r="AD120" s="176">
        <v>290.33327359999998</v>
      </c>
      <c r="AE120" s="165">
        <f>N120*Forutsetninger!$C$30</f>
        <v>13494.596720664445</v>
      </c>
      <c r="AF120" s="165">
        <f t="shared" si="37"/>
        <v>1118.6541031807999</v>
      </c>
      <c r="AG120" s="165">
        <f>S120*Forutsetninger!$C$24</f>
        <v>0</v>
      </c>
      <c r="AH120" s="165">
        <f>AE120+O120+AF120+R120*Forutsetninger!$C$24-AG120</f>
        <v>17726.670823845245</v>
      </c>
      <c r="AI120" s="165">
        <f>AH120+P120*Forutsetninger!$B$6</f>
        <v>19475.579551845243</v>
      </c>
      <c r="AJ120" s="165">
        <f>T120*Forutsetninger!$C$30</f>
        <v>0</v>
      </c>
      <c r="AK120" s="165">
        <f t="shared" si="38"/>
        <v>0</v>
      </c>
      <c r="AL120" s="165">
        <f>AJ120+U120+AK120+X120*Forutsetninger!$C$24</f>
        <v>0</v>
      </c>
      <c r="AM120" s="164">
        <f>(T120)*Forutsetninger!$C$30+X120*Forutsetninger!$C$24+U120+V120*Forutsetninger!$B$6</f>
        <v>0</v>
      </c>
      <c r="AN120" s="164">
        <f>Y120*Forutsetninger!$C$30+Z120+AA120*Forutsetninger!$B$6+AC120*Forutsetninger!$C$24</f>
        <v>0</v>
      </c>
    </row>
    <row r="121" spans="1:40" s="62" customFormat="1" ht="12.75" x14ac:dyDescent="0.2">
      <c r="A121">
        <v>5992015</v>
      </c>
      <c r="B121" t="s">
        <v>284</v>
      </c>
      <c r="C121" s="170">
        <v>2015</v>
      </c>
      <c r="D121" s="145">
        <f t="shared" si="28"/>
        <v>20004.627479305898</v>
      </c>
      <c r="E121" s="146">
        <v>0</v>
      </c>
      <c r="F121" s="41">
        <f t="shared" si="29"/>
        <v>20004.627479305898</v>
      </c>
      <c r="G121" s="42">
        <f t="shared" si="39"/>
        <v>6360</v>
      </c>
      <c r="H121" s="41">
        <f t="shared" si="31"/>
        <v>78320</v>
      </c>
      <c r="I121" s="42">
        <f t="shared" si="32"/>
        <v>79103.199999999997</v>
      </c>
      <c r="J121" s="41">
        <f t="shared" si="33"/>
        <v>6194</v>
      </c>
      <c r="K121" s="41">
        <f t="shared" si="34"/>
        <v>0</v>
      </c>
      <c r="L121" s="41">
        <f t="shared" si="35"/>
        <v>0</v>
      </c>
      <c r="M121" s="42">
        <f t="shared" si="36"/>
        <v>989</v>
      </c>
      <c r="N121" s="162">
        <v>20004.627479305898</v>
      </c>
      <c r="O121" s="162">
        <v>6360</v>
      </c>
      <c r="P121" s="162">
        <v>79103.199999999997</v>
      </c>
      <c r="Q121" s="162">
        <v>6194</v>
      </c>
      <c r="R121" s="162">
        <v>989</v>
      </c>
      <c r="S121" s="162">
        <v>427.75</v>
      </c>
      <c r="T121" s="162">
        <v>0</v>
      </c>
      <c r="U121" s="162">
        <v>0</v>
      </c>
      <c r="V121" s="162">
        <v>0</v>
      </c>
      <c r="W121" s="162">
        <v>0</v>
      </c>
      <c r="X121" s="162">
        <v>0</v>
      </c>
      <c r="Y121" s="162">
        <v>0</v>
      </c>
      <c r="Z121" s="162">
        <v>0</v>
      </c>
      <c r="AA121" s="162">
        <v>0</v>
      </c>
      <c r="AB121" s="162">
        <v>0</v>
      </c>
      <c r="AC121" s="162">
        <v>0</v>
      </c>
      <c r="AD121" s="176">
        <v>290.33327359999998</v>
      </c>
      <c r="AE121" s="165">
        <f>N121*Forutsetninger!$C$30</f>
        <v>21164.895873105641</v>
      </c>
      <c r="AF121" s="165">
        <f t="shared" si="37"/>
        <v>1798.3242966783998</v>
      </c>
      <c r="AG121" s="165">
        <f>S121*Forutsetninger!$C$24</f>
        <v>451.27624999999995</v>
      </c>
      <c r="AH121" s="165">
        <f>AE121+O121+AF121+R121*Forutsetninger!$C$24-AG121</f>
        <v>29915.338919784041</v>
      </c>
      <c r="AI121" s="165">
        <f>AH121+P121*Forutsetninger!$B$6</f>
        <v>34756.454759784043</v>
      </c>
      <c r="AJ121" s="165">
        <f>T121*Forutsetninger!$C$30</f>
        <v>0</v>
      </c>
      <c r="AK121" s="165">
        <f t="shared" si="38"/>
        <v>0</v>
      </c>
      <c r="AL121" s="165">
        <f>AJ121+U121+AK121+X121*Forutsetninger!$C$24</f>
        <v>0</v>
      </c>
      <c r="AM121" s="164">
        <f>(T121)*Forutsetninger!$C$30+X121*Forutsetninger!$C$24+U121+V121*Forutsetninger!$B$6</f>
        <v>0</v>
      </c>
      <c r="AN121" s="164">
        <f>Y121*Forutsetninger!$C$30+Z121+AA121*Forutsetninger!$B$6+AC121*Forutsetninger!$C$24</f>
        <v>0</v>
      </c>
    </row>
    <row r="122" spans="1:40" s="62" customFormat="1" ht="12.75" x14ac:dyDescent="0.2">
      <c r="A122">
        <v>6112015</v>
      </c>
      <c r="B122" t="s">
        <v>285</v>
      </c>
      <c r="C122" s="170">
        <v>2015</v>
      </c>
      <c r="D122" s="145">
        <f t="shared" si="28"/>
        <v>419365.43472335604</v>
      </c>
      <c r="E122" s="146">
        <v>629</v>
      </c>
      <c r="F122" s="41">
        <f t="shared" si="29"/>
        <v>418736.43472335604</v>
      </c>
      <c r="G122" s="42">
        <f t="shared" si="39"/>
        <v>244593</v>
      </c>
      <c r="H122" s="42">
        <f t="shared" si="31"/>
        <v>3285398</v>
      </c>
      <c r="I122" s="42">
        <f t="shared" si="32"/>
        <v>3318251.98</v>
      </c>
      <c r="J122" s="41">
        <f t="shared" si="33"/>
        <v>247293</v>
      </c>
      <c r="K122" s="41">
        <f t="shared" si="34"/>
        <v>187985</v>
      </c>
      <c r="L122" s="41">
        <f t="shared" si="35"/>
        <v>0</v>
      </c>
      <c r="M122" s="42">
        <f t="shared" si="36"/>
        <v>42363</v>
      </c>
      <c r="N122" s="162">
        <v>294221.22147968702</v>
      </c>
      <c r="O122" s="162">
        <v>177169</v>
      </c>
      <c r="P122" s="162">
        <v>2199714.35</v>
      </c>
      <c r="Q122" s="162">
        <v>247293</v>
      </c>
      <c r="R122" s="162">
        <v>32475</v>
      </c>
      <c r="S122" s="162">
        <v>0</v>
      </c>
      <c r="T122" s="162">
        <v>124515.213243669</v>
      </c>
      <c r="U122" s="162">
        <v>67424</v>
      </c>
      <c r="V122" s="162">
        <v>1118537.6299999999</v>
      </c>
      <c r="W122" s="162">
        <v>187985</v>
      </c>
      <c r="X122" s="162">
        <v>9888</v>
      </c>
      <c r="Y122" s="162">
        <v>0</v>
      </c>
      <c r="Z122" s="162">
        <v>0</v>
      </c>
      <c r="AA122" s="162">
        <v>0</v>
      </c>
      <c r="AB122" s="162">
        <v>0</v>
      </c>
      <c r="AC122" s="162">
        <v>0</v>
      </c>
      <c r="AD122" s="176">
        <v>284.7804931</v>
      </c>
      <c r="AE122" s="165">
        <f>N122*Forutsetninger!$C$30</f>
        <v>311286.05232550891</v>
      </c>
      <c r="AF122" s="165">
        <f t="shared" si="37"/>
        <v>70424.222480178301</v>
      </c>
      <c r="AG122" s="165">
        <f>S122*Forutsetninger!$C$24</f>
        <v>0</v>
      </c>
      <c r="AH122" s="165">
        <f>AE122+O122+AF122+R122*Forutsetninger!$C$24-AG122</f>
        <v>593140.39980568725</v>
      </c>
      <c r="AI122" s="165">
        <f>AH122+P122*Forutsetninger!$B$6</f>
        <v>727762.91802568722</v>
      </c>
      <c r="AJ122" s="165">
        <f>T122*Forutsetninger!$C$30</f>
        <v>131737.09561180181</v>
      </c>
      <c r="AK122" s="165">
        <f t="shared" si="38"/>
        <v>53534.460995403497</v>
      </c>
      <c r="AL122" s="165">
        <f>AJ122+U122+AK122+X122*Forutsetninger!$C$24</f>
        <v>263127.39660720533</v>
      </c>
      <c r="AM122" s="164">
        <f>(T122)*Forutsetninger!$C$30+X122*Forutsetninger!$C$24+U122+V122*Forutsetninger!$B$6</f>
        <v>278047.43856780179</v>
      </c>
      <c r="AN122" s="164">
        <f>Y122*Forutsetninger!$C$30+Z122+AA122*Forutsetninger!$B$6+AC122*Forutsetninger!$C$24</f>
        <v>0</v>
      </c>
    </row>
    <row r="123" spans="1:40" s="62" customFormat="1" ht="12.75" x14ac:dyDescent="0.2">
      <c r="A123">
        <v>6132015</v>
      </c>
      <c r="B123" t="s">
        <v>286</v>
      </c>
      <c r="C123" s="170">
        <v>2015</v>
      </c>
      <c r="D123" s="145">
        <f t="shared" si="28"/>
        <v>24511.8757080582</v>
      </c>
      <c r="E123" s="146">
        <v>0</v>
      </c>
      <c r="F123" s="41">
        <f t="shared" si="29"/>
        <v>24511.8757080582</v>
      </c>
      <c r="G123" s="42">
        <f t="shared" si="39"/>
        <v>15143</v>
      </c>
      <c r="H123" s="42">
        <f t="shared" si="31"/>
        <v>197769</v>
      </c>
      <c r="I123" s="42">
        <f t="shared" si="32"/>
        <v>199746.69</v>
      </c>
      <c r="J123" s="42">
        <f t="shared" si="33"/>
        <v>22931</v>
      </c>
      <c r="K123" s="42">
        <f t="shared" si="34"/>
        <v>0</v>
      </c>
      <c r="L123" s="41">
        <f t="shared" si="35"/>
        <v>0</v>
      </c>
      <c r="M123" s="42">
        <f t="shared" si="36"/>
        <v>2071</v>
      </c>
      <c r="N123" s="162">
        <v>24511.8757080582</v>
      </c>
      <c r="O123" s="162">
        <v>15143</v>
      </c>
      <c r="P123" s="162">
        <v>199746.69</v>
      </c>
      <c r="Q123" s="162">
        <v>22931</v>
      </c>
      <c r="R123" s="162">
        <v>2071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162">
        <v>0</v>
      </c>
      <c r="Y123" s="162">
        <v>0</v>
      </c>
      <c r="Z123" s="162">
        <v>0</v>
      </c>
      <c r="AA123" s="162">
        <v>0</v>
      </c>
      <c r="AB123" s="162">
        <v>0</v>
      </c>
      <c r="AC123" s="162">
        <v>0</v>
      </c>
      <c r="AD123" s="176">
        <v>290.33327359999998</v>
      </c>
      <c r="AE123" s="165">
        <f>N123*Forutsetninger!$C$30</f>
        <v>25933.564499125576</v>
      </c>
      <c r="AF123" s="166">
        <f t="shared" si="37"/>
        <v>6657.6322969215998</v>
      </c>
      <c r="AG123" s="165">
        <f>S123*Forutsetninger!$C$24</f>
        <v>0</v>
      </c>
      <c r="AH123" s="165">
        <f>AE123+O123+AF123+R123*Forutsetninger!$C$24-AG123</f>
        <v>49919.101796047173</v>
      </c>
      <c r="AI123" s="166">
        <f>AH123+P123*Forutsetninger!$B$6</f>
        <v>62143.599224047168</v>
      </c>
      <c r="AJ123" s="165">
        <f>T123*Forutsetninger!$C$30</f>
        <v>0</v>
      </c>
      <c r="AK123" s="166">
        <f t="shared" si="38"/>
        <v>0</v>
      </c>
      <c r="AL123" s="165">
        <f>AJ123+U123+AK123+X123*Forutsetninger!$C$24</f>
        <v>0</v>
      </c>
      <c r="AM123" s="164">
        <f>(T123)*Forutsetninger!$C$30+X123*Forutsetninger!$C$24+U123+V123*Forutsetninger!$B$6</f>
        <v>0</v>
      </c>
      <c r="AN123" s="164">
        <f>Y123*Forutsetninger!$C$30+Z123+AA123*Forutsetninger!$B$6+AC123*Forutsetninger!$C$24</f>
        <v>0</v>
      </c>
    </row>
    <row r="124" spans="1:40" s="62" customFormat="1" ht="12.75" x14ac:dyDescent="0.2">
      <c r="A124">
        <v>6142015</v>
      </c>
      <c r="B124" t="s">
        <v>287</v>
      </c>
      <c r="C124" s="170">
        <v>2015</v>
      </c>
      <c r="D124" s="145">
        <f t="shared" si="28"/>
        <v>49539.051194142899</v>
      </c>
      <c r="E124" s="146">
        <v>0</v>
      </c>
      <c r="F124" s="41">
        <f t="shared" si="29"/>
        <v>49539.051194142899</v>
      </c>
      <c r="G124" s="42">
        <f t="shared" si="39"/>
        <v>23367</v>
      </c>
      <c r="H124" s="42">
        <f t="shared" si="31"/>
        <v>350376</v>
      </c>
      <c r="I124" s="42">
        <f t="shared" si="32"/>
        <v>353879.76</v>
      </c>
      <c r="J124" s="41">
        <f t="shared" si="33"/>
        <v>57573</v>
      </c>
      <c r="K124" s="41">
        <f t="shared" si="34"/>
        <v>0</v>
      </c>
      <c r="L124" s="41">
        <f t="shared" si="35"/>
        <v>0</v>
      </c>
      <c r="M124" s="42">
        <f t="shared" si="36"/>
        <v>3497</v>
      </c>
      <c r="N124" s="162">
        <v>49539.051194142899</v>
      </c>
      <c r="O124" s="162">
        <v>23367</v>
      </c>
      <c r="P124" s="162">
        <v>353879.76</v>
      </c>
      <c r="Q124" s="162">
        <v>57573</v>
      </c>
      <c r="R124" s="162">
        <v>3497</v>
      </c>
      <c r="S124" s="162">
        <v>704.14</v>
      </c>
      <c r="T124" s="162">
        <v>0</v>
      </c>
      <c r="U124" s="162">
        <v>0</v>
      </c>
      <c r="V124" s="162">
        <v>0</v>
      </c>
      <c r="W124" s="162">
        <v>0</v>
      </c>
      <c r="X124" s="162">
        <v>0</v>
      </c>
      <c r="Y124" s="162">
        <v>0</v>
      </c>
      <c r="Z124" s="162">
        <v>0</v>
      </c>
      <c r="AA124" s="162">
        <v>0</v>
      </c>
      <c r="AB124" s="162">
        <v>0</v>
      </c>
      <c r="AC124" s="162">
        <v>0</v>
      </c>
      <c r="AD124" s="176">
        <v>286.91705400000001</v>
      </c>
      <c r="AE124" s="165">
        <f>N124*Forutsetninger!$C$30</f>
        <v>52412.316163403193</v>
      </c>
      <c r="AF124" s="165">
        <f t="shared" si="37"/>
        <v>16518.675549942</v>
      </c>
      <c r="AG124" s="165">
        <f>S124*Forutsetninger!$C$24</f>
        <v>742.8676999999999</v>
      </c>
      <c r="AH124" s="165">
        <f>AE124+O124+AF124+R124*Forutsetninger!$C$24-AG124</f>
        <v>95244.459013345186</v>
      </c>
      <c r="AI124" s="165">
        <f>AH124+P124*Forutsetninger!$B$6</f>
        <v>116901.90032534518</v>
      </c>
      <c r="AJ124" s="165">
        <f>T124*Forutsetninger!$C$30</f>
        <v>0</v>
      </c>
      <c r="AK124" s="165">
        <f t="shared" si="38"/>
        <v>0</v>
      </c>
      <c r="AL124" s="165">
        <f>AJ124+U124+AK124+X124*Forutsetninger!$C$24</f>
        <v>0</v>
      </c>
      <c r="AM124" s="164">
        <f>(T124)*Forutsetninger!$C$30+X124*Forutsetninger!$C$24+U124+V124*Forutsetninger!$B$6</f>
        <v>0</v>
      </c>
      <c r="AN124" s="164">
        <f>Y124*Forutsetninger!$C$30+Z124+AA124*Forutsetninger!$B$6+AC124*Forutsetninger!$C$24</f>
        <v>0</v>
      </c>
    </row>
    <row r="125" spans="1:40" s="62" customFormat="1" ht="12.75" x14ac:dyDescent="0.2">
      <c r="A125">
        <v>6152015</v>
      </c>
      <c r="B125" t="s">
        <v>347</v>
      </c>
      <c r="C125" s="170">
        <v>2015</v>
      </c>
      <c r="D125" s="145">
        <f t="shared" si="28"/>
        <v>129835.7104176564</v>
      </c>
      <c r="E125" s="146">
        <v>495</v>
      </c>
      <c r="F125" s="41">
        <f t="shared" si="29"/>
        <v>129340.7104176564</v>
      </c>
      <c r="G125" s="42">
        <f t="shared" si="39"/>
        <v>76676</v>
      </c>
      <c r="H125" s="42">
        <f t="shared" si="31"/>
        <v>1039935</v>
      </c>
      <c r="I125" s="42">
        <f t="shared" si="32"/>
        <v>1050334.3499999999</v>
      </c>
      <c r="J125" s="41">
        <f t="shared" si="33"/>
        <v>84127</v>
      </c>
      <c r="K125" s="41">
        <f t="shared" si="34"/>
        <v>99206</v>
      </c>
      <c r="L125" s="41">
        <f t="shared" si="35"/>
        <v>0</v>
      </c>
      <c r="M125" s="42">
        <f t="shared" si="36"/>
        <v>11433</v>
      </c>
      <c r="N125" s="162">
        <v>82006.532731546598</v>
      </c>
      <c r="O125" s="162">
        <v>44558</v>
      </c>
      <c r="P125" s="162">
        <v>528711.77</v>
      </c>
      <c r="Q125" s="162">
        <v>84127</v>
      </c>
      <c r="R125" s="162">
        <v>4074</v>
      </c>
      <c r="S125" s="162">
        <v>0</v>
      </c>
      <c r="T125" s="162">
        <v>47334.177686109797</v>
      </c>
      <c r="U125" s="162">
        <v>31676</v>
      </c>
      <c r="V125" s="162">
        <v>515321.19</v>
      </c>
      <c r="W125" s="162">
        <v>99206</v>
      </c>
      <c r="X125" s="162">
        <v>7359</v>
      </c>
      <c r="Y125" s="162">
        <v>0</v>
      </c>
      <c r="Z125" s="162">
        <v>442</v>
      </c>
      <c r="AA125" s="162">
        <v>6301.39</v>
      </c>
      <c r="AB125" s="162">
        <v>0</v>
      </c>
      <c r="AC125" s="162">
        <v>0</v>
      </c>
      <c r="AD125" s="176">
        <v>286.8518833</v>
      </c>
      <c r="AE125" s="165">
        <f>N125*Forutsetninger!$C$30</f>
        <v>86762.911629976312</v>
      </c>
      <c r="AF125" s="165">
        <f t="shared" si="37"/>
        <v>24131.9883863791</v>
      </c>
      <c r="AG125" s="165">
        <f>S125*Forutsetninger!$C$24</f>
        <v>0</v>
      </c>
      <c r="AH125" s="165">
        <f>AE125+O125+AF125+R125*Forutsetninger!$C$24-AG125</f>
        <v>159750.97001635539</v>
      </c>
      <c r="AI125" s="165">
        <f>AH125+P125*Forutsetninger!$B$6</f>
        <v>192108.13034035539</v>
      </c>
      <c r="AJ125" s="165">
        <f>T125*Forutsetninger!$C$30</f>
        <v>50079.559991904171</v>
      </c>
      <c r="AK125" s="165">
        <f t="shared" si="38"/>
        <v>28457.427934659801</v>
      </c>
      <c r="AL125" s="165">
        <f>AJ125+U125+AK125+X125*Forutsetninger!$C$24</f>
        <v>117976.73292656397</v>
      </c>
      <c r="AM125" s="164">
        <f>(T125)*Forutsetninger!$C$30+X125*Forutsetninger!$C$24+U125+V125*Forutsetninger!$B$6</f>
        <v>121056.96181990419</v>
      </c>
      <c r="AN125" s="164">
        <f>Y125*Forutsetninger!$C$30+Z125+AA125*Forutsetninger!$B$6+AC125*Forutsetninger!$C$24</f>
        <v>827.64506800000004</v>
      </c>
    </row>
    <row r="126" spans="1:40" s="62" customFormat="1" ht="12.75" x14ac:dyDescent="0.2">
      <c r="A126">
        <v>6242015</v>
      </c>
      <c r="B126" t="s">
        <v>289</v>
      </c>
      <c r="C126" s="170">
        <v>2015</v>
      </c>
      <c r="D126" s="145">
        <f t="shared" si="28"/>
        <v>387480.55768854852</v>
      </c>
      <c r="E126" s="146">
        <v>1227</v>
      </c>
      <c r="F126" s="41">
        <f t="shared" si="29"/>
        <v>386253.55768854852</v>
      </c>
      <c r="G126" s="42">
        <f t="shared" si="39"/>
        <v>197096</v>
      </c>
      <c r="H126" s="42">
        <f t="shared" si="31"/>
        <v>3877473</v>
      </c>
      <c r="I126" s="42">
        <f t="shared" si="32"/>
        <v>3916247.7299999995</v>
      </c>
      <c r="J126" s="41">
        <f t="shared" si="33"/>
        <v>203838</v>
      </c>
      <c r="K126" s="41">
        <f t="shared" si="34"/>
        <v>187433</v>
      </c>
      <c r="L126" s="41">
        <f t="shared" si="35"/>
        <v>0</v>
      </c>
      <c r="M126" s="42">
        <f t="shared" si="36"/>
        <v>60022</v>
      </c>
      <c r="N126" s="162">
        <v>318665.66519398201</v>
      </c>
      <c r="O126" s="162">
        <v>136245</v>
      </c>
      <c r="P126" s="162">
        <v>2648300.7999999998</v>
      </c>
      <c r="Q126" s="162">
        <v>203838</v>
      </c>
      <c r="R126" s="162">
        <v>55956</v>
      </c>
      <c r="S126" s="162">
        <v>0</v>
      </c>
      <c r="T126" s="162">
        <v>67484.892494566506</v>
      </c>
      <c r="U126" s="162">
        <v>60302</v>
      </c>
      <c r="V126" s="162">
        <v>1260998.1299999999</v>
      </c>
      <c r="W126" s="162">
        <v>187433</v>
      </c>
      <c r="X126" s="162">
        <v>4066</v>
      </c>
      <c r="Y126" s="162">
        <v>103</v>
      </c>
      <c r="Z126" s="162">
        <v>549</v>
      </c>
      <c r="AA126" s="162">
        <v>6948.8</v>
      </c>
      <c r="AB126" s="162">
        <v>0</v>
      </c>
      <c r="AC126" s="162">
        <v>0</v>
      </c>
      <c r="AD126" s="176">
        <v>284.7804931</v>
      </c>
      <c r="AE126" s="165">
        <f>N126*Forutsetninger!$C$30</f>
        <v>337148.27377523301</v>
      </c>
      <c r="AF126" s="165">
        <f t="shared" si="37"/>
        <v>58049.086152517804</v>
      </c>
      <c r="AG126" s="165">
        <f>S126*Forutsetninger!$C$24</f>
        <v>0</v>
      </c>
      <c r="AH126" s="165">
        <f>AE126+O126+AF126+R126*Forutsetninger!$C$24-AG126</f>
        <v>590475.93992775073</v>
      </c>
      <c r="AI126" s="165">
        <f>AH126+P126*Forutsetninger!$B$6</f>
        <v>752551.94888775074</v>
      </c>
      <c r="AJ126" s="165">
        <f>T126*Forutsetninger!$C$30</f>
        <v>71399.016259251366</v>
      </c>
      <c r="AK126" s="165">
        <f t="shared" si="38"/>
        <v>53377.262163212297</v>
      </c>
      <c r="AL126" s="165">
        <f>AJ126+U126+AK126+X126*Forutsetninger!$C$24</f>
        <v>189367.90842246366</v>
      </c>
      <c r="AM126" s="164">
        <f>(T126)*Forutsetninger!$C$30+X126*Forutsetninger!$C$24+U126+V126*Forutsetninger!$B$6</f>
        <v>213163.73181525135</v>
      </c>
      <c r="AN126" s="164">
        <f>Y126*Forutsetninger!$C$30+Z126+AA126*Forutsetninger!$B$6+AC126*Forutsetninger!$C$24</f>
        <v>1083.24056</v>
      </c>
    </row>
    <row r="127" spans="1:40" s="62" customFormat="1" ht="12.75" x14ac:dyDescent="0.2">
      <c r="A127">
        <v>6252015</v>
      </c>
      <c r="B127" t="s">
        <v>377</v>
      </c>
      <c r="C127" s="170">
        <v>2015</v>
      </c>
      <c r="D127" s="145">
        <f t="shared" si="28"/>
        <v>33973.006997268043</v>
      </c>
      <c r="E127" s="146">
        <v>0</v>
      </c>
      <c r="F127" s="41">
        <f t="shared" si="29"/>
        <v>33973.006997268043</v>
      </c>
      <c r="G127" s="42">
        <f t="shared" si="39"/>
        <v>15990</v>
      </c>
      <c r="H127" s="42">
        <f t="shared" si="31"/>
        <v>260996</v>
      </c>
      <c r="I127" s="42">
        <f t="shared" si="32"/>
        <v>263605.95999999996</v>
      </c>
      <c r="J127" s="41">
        <f t="shared" si="33"/>
        <v>20035</v>
      </c>
      <c r="K127" s="41">
        <f t="shared" si="34"/>
        <v>5805</v>
      </c>
      <c r="L127" s="41">
        <f t="shared" si="35"/>
        <v>0</v>
      </c>
      <c r="M127" s="42">
        <f t="shared" si="36"/>
        <v>3290</v>
      </c>
      <c r="N127" s="162">
        <v>33676.769592154902</v>
      </c>
      <c r="O127" s="162">
        <v>14171</v>
      </c>
      <c r="P127" s="162">
        <v>206774.27</v>
      </c>
      <c r="Q127" s="162">
        <v>20035</v>
      </c>
      <c r="R127" s="162">
        <v>3290</v>
      </c>
      <c r="S127" s="162">
        <v>0</v>
      </c>
      <c r="T127" s="162">
        <v>296.23740511314099</v>
      </c>
      <c r="U127" s="162">
        <v>1819</v>
      </c>
      <c r="V127" s="162">
        <v>56831.69</v>
      </c>
      <c r="W127" s="162">
        <v>5805</v>
      </c>
      <c r="X127" s="162">
        <v>0</v>
      </c>
      <c r="Y127" s="162">
        <v>0</v>
      </c>
      <c r="Z127" s="162">
        <v>0</v>
      </c>
      <c r="AA127" s="162">
        <v>0</v>
      </c>
      <c r="AB127" s="162">
        <v>0</v>
      </c>
      <c r="AC127" s="162">
        <v>0</v>
      </c>
      <c r="AD127" s="176">
        <v>284.74774189999999</v>
      </c>
      <c r="AE127" s="165">
        <f>N127*Forutsetninger!$C$30</f>
        <v>35630.022228499889</v>
      </c>
      <c r="AF127" s="165">
        <f t="shared" si="37"/>
        <v>5704.9210089665003</v>
      </c>
      <c r="AG127" s="165">
        <f>S127*Forutsetninger!$C$24</f>
        <v>0</v>
      </c>
      <c r="AH127" s="165">
        <f>AE127+O127+AF127+R127*Forutsetninger!$C$24-AG127</f>
        <v>58976.893237466385</v>
      </c>
      <c r="AI127" s="165">
        <f>AH127+P127*Forutsetninger!$B$6</f>
        <v>71631.478561466385</v>
      </c>
      <c r="AJ127" s="165">
        <f>T127*Forutsetninger!$C$30</f>
        <v>313.41917460970319</v>
      </c>
      <c r="AK127" s="165">
        <f t="shared" si="38"/>
        <v>1652.9606417294999</v>
      </c>
      <c r="AL127" s="165">
        <f>AJ127+U127+AK127+X127*Forutsetninger!$C$24</f>
        <v>3785.379816339203</v>
      </c>
      <c r="AM127" s="164">
        <f>(T127)*Forutsetninger!$C$30+X127*Forutsetninger!$C$24+U127+V127*Forutsetninger!$B$6</f>
        <v>5610.5186026097035</v>
      </c>
      <c r="AN127" s="164">
        <f>Y127*Forutsetninger!$C$30+Z127+AA127*Forutsetninger!$B$6+AC127*Forutsetninger!$C$24</f>
        <v>0</v>
      </c>
    </row>
    <row r="128" spans="1:40" s="62" customFormat="1" ht="12.75" x14ac:dyDescent="0.2">
      <c r="A128">
        <v>6372015</v>
      </c>
      <c r="B128" t="s">
        <v>291</v>
      </c>
      <c r="C128" s="170">
        <v>2015</v>
      </c>
      <c r="D128" s="145">
        <f t="shared" si="28"/>
        <v>44615.342306886996</v>
      </c>
      <c r="E128" s="146">
        <v>0</v>
      </c>
      <c r="F128" s="41">
        <f t="shared" si="29"/>
        <v>44615.342306886996</v>
      </c>
      <c r="G128" s="42">
        <f t="shared" si="39"/>
        <v>13575</v>
      </c>
      <c r="H128" s="42">
        <f t="shared" si="31"/>
        <v>216789</v>
      </c>
      <c r="I128" s="42">
        <f t="shared" si="32"/>
        <v>218956.89</v>
      </c>
      <c r="J128" s="41">
        <f t="shared" si="33"/>
        <v>22550</v>
      </c>
      <c r="K128" s="41">
        <f t="shared" si="34"/>
        <v>5821</v>
      </c>
      <c r="L128" s="41">
        <f t="shared" si="35"/>
        <v>0</v>
      </c>
      <c r="M128" s="42">
        <f t="shared" si="36"/>
        <v>3427</v>
      </c>
      <c r="N128" s="162">
        <v>34484.067205671498</v>
      </c>
      <c r="O128" s="162">
        <v>8503</v>
      </c>
      <c r="P128" s="162">
        <v>148600.29</v>
      </c>
      <c r="Q128" s="162">
        <v>22550</v>
      </c>
      <c r="R128" s="162">
        <v>2442</v>
      </c>
      <c r="S128" s="162">
        <v>0</v>
      </c>
      <c r="T128" s="162">
        <v>10131.2751012155</v>
      </c>
      <c r="U128" s="162">
        <v>5072</v>
      </c>
      <c r="V128" s="162">
        <v>70356.600000000006</v>
      </c>
      <c r="W128" s="162">
        <v>5821</v>
      </c>
      <c r="X128" s="162">
        <v>985</v>
      </c>
      <c r="Y128" s="162">
        <v>0</v>
      </c>
      <c r="Z128" s="162">
        <v>0</v>
      </c>
      <c r="AA128" s="162">
        <v>0</v>
      </c>
      <c r="AB128" s="162">
        <v>0</v>
      </c>
      <c r="AC128" s="162">
        <v>0</v>
      </c>
      <c r="AD128" s="176">
        <v>257.06098230000003</v>
      </c>
      <c r="AE128" s="165">
        <f>N128*Forutsetninger!$C$30</f>
        <v>36484.143103600443</v>
      </c>
      <c r="AF128" s="165">
        <f t="shared" si="37"/>
        <v>5796.7251508650006</v>
      </c>
      <c r="AG128" s="165">
        <f>S128*Forutsetninger!$C$24</f>
        <v>0</v>
      </c>
      <c r="AH128" s="165">
        <f>AE128+O128+AF128+R128*Forutsetninger!$C$24-AG128</f>
        <v>53360.178254465442</v>
      </c>
      <c r="AI128" s="165">
        <f>AH128+P128*Forutsetninger!$B$6</f>
        <v>62454.51600246544</v>
      </c>
      <c r="AJ128" s="165">
        <f>T128*Forutsetninger!$C$30</f>
        <v>10718.889057086</v>
      </c>
      <c r="AK128" s="165">
        <f t="shared" si="38"/>
        <v>1496.3519779683002</v>
      </c>
      <c r="AL128" s="165">
        <f>AJ128+U128+AK128+X128*Forutsetninger!$C$24</f>
        <v>18326.416035054299</v>
      </c>
      <c r="AM128" s="164">
        <f>(T128)*Forutsetninger!$C$30+X128*Forutsetninger!$C$24+U128+V128*Forutsetninger!$B$6</f>
        <v>21135.887977085997</v>
      </c>
      <c r="AN128" s="164">
        <f>Y128*Forutsetninger!$C$30+Z128+AA128*Forutsetninger!$B$6+AC128*Forutsetninger!$C$24</f>
        <v>0</v>
      </c>
    </row>
    <row r="129" spans="1:40" s="62" customFormat="1" ht="12.75" x14ac:dyDescent="0.2">
      <c r="A129">
        <v>6522015</v>
      </c>
      <c r="B129" t="s">
        <v>292</v>
      </c>
      <c r="C129" s="170">
        <v>2015</v>
      </c>
      <c r="D129" s="145">
        <f t="shared" si="28"/>
        <v>447.65515417655098</v>
      </c>
      <c r="E129" s="146">
        <v>0</v>
      </c>
      <c r="F129" s="41">
        <f t="shared" si="29"/>
        <v>447.65515417655098</v>
      </c>
      <c r="G129" s="42">
        <f t="shared" si="39"/>
        <v>138</v>
      </c>
      <c r="H129" s="42">
        <f t="shared" si="31"/>
        <v>3663</v>
      </c>
      <c r="I129" s="42">
        <f t="shared" si="32"/>
        <v>3699.63</v>
      </c>
      <c r="J129" s="41">
        <f t="shared" si="33"/>
        <v>0</v>
      </c>
      <c r="K129" s="41">
        <f t="shared" si="34"/>
        <v>0</v>
      </c>
      <c r="L129" s="41">
        <f t="shared" si="35"/>
        <v>0</v>
      </c>
      <c r="M129" s="42">
        <f t="shared" si="36"/>
        <v>0</v>
      </c>
      <c r="N129" s="162">
        <v>447.65515417655098</v>
      </c>
      <c r="O129" s="162">
        <v>138</v>
      </c>
      <c r="P129" s="162">
        <v>3699.63</v>
      </c>
      <c r="Q129" s="162">
        <v>0</v>
      </c>
      <c r="R129" s="162">
        <v>0</v>
      </c>
      <c r="S129" s="162">
        <v>0</v>
      </c>
      <c r="T129" s="162">
        <v>0</v>
      </c>
      <c r="U129" s="162">
        <v>0</v>
      </c>
      <c r="V129" s="162">
        <v>0</v>
      </c>
      <c r="W129" s="162">
        <v>0</v>
      </c>
      <c r="X129" s="162">
        <v>0</v>
      </c>
      <c r="Y129" s="162">
        <v>0</v>
      </c>
      <c r="Z129" s="162">
        <v>0</v>
      </c>
      <c r="AA129" s="162">
        <v>0</v>
      </c>
      <c r="AB129" s="162">
        <v>0</v>
      </c>
      <c r="AC129" s="162">
        <v>0</v>
      </c>
      <c r="AD129" s="176">
        <v>290.33327359999998</v>
      </c>
      <c r="AE129" s="165">
        <f>N129*Forutsetninger!$C$30</f>
        <v>473.61915311879096</v>
      </c>
      <c r="AF129" s="165">
        <f t="shared" si="37"/>
        <v>0</v>
      </c>
      <c r="AG129" s="165">
        <f>S129*Forutsetninger!$C$24</f>
        <v>0</v>
      </c>
      <c r="AH129" s="165">
        <f>AE129+O129+AF129+R129*Forutsetninger!$C$24-AG129</f>
        <v>611.61915311879102</v>
      </c>
      <c r="AI129" s="165">
        <f>AH129+P129*Forutsetninger!$B$6</f>
        <v>838.03650911879095</v>
      </c>
      <c r="AJ129" s="165">
        <f>T129*Forutsetninger!$C$30</f>
        <v>0</v>
      </c>
      <c r="AK129" s="165">
        <f t="shared" si="38"/>
        <v>0</v>
      </c>
      <c r="AL129" s="165">
        <f>AJ129+U129+AK129+X129*Forutsetninger!$C$24</f>
        <v>0</v>
      </c>
      <c r="AM129" s="164">
        <f>(T129)*Forutsetninger!$C$30+X129*Forutsetninger!$C$24+U129+V129*Forutsetninger!$B$6</f>
        <v>0</v>
      </c>
      <c r="AN129" s="164">
        <f>Y129*Forutsetninger!$C$30+Z129+AA129*Forutsetninger!$B$6+AC129*Forutsetninger!$C$24</f>
        <v>0</v>
      </c>
    </row>
    <row r="130" spans="1:40" s="62" customFormat="1" ht="12.75" x14ac:dyDescent="0.2">
      <c r="A130">
        <v>6592015</v>
      </c>
      <c r="B130" t="s">
        <v>184</v>
      </c>
      <c r="C130" s="170">
        <v>2015</v>
      </c>
      <c r="D130" s="145">
        <f t="shared" si="28"/>
        <v>22550.46681030386</v>
      </c>
      <c r="E130" s="146">
        <v>0</v>
      </c>
      <c r="F130" s="41">
        <f t="shared" si="29"/>
        <v>22550.46681030386</v>
      </c>
      <c r="G130" s="42">
        <f t="shared" si="39"/>
        <v>12182</v>
      </c>
      <c r="H130" s="42">
        <f t="shared" si="31"/>
        <v>192821</v>
      </c>
      <c r="I130" s="42">
        <f t="shared" si="32"/>
        <v>194749.21</v>
      </c>
      <c r="J130" s="41">
        <f t="shared" si="33"/>
        <v>16731</v>
      </c>
      <c r="K130" s="41">
        <f t="shared" si="34"/>
        <v>1217</v>
      </c>
      <c r="L130" s="41">
        <f t="shared" si="35"/>
        <v>0</v>
      </c>
      <c r="M130" s="42">
        <f t="shared" si="36"/>
        <v>948</v>
      </c>
      <c r="N130" s="162">
        <v>21364.193142925</v>
      </c>
      <c r="O130" s="162">
        <v>11471</v>
      </c>
      <c r="P130" s="162">
        <v>188068.06</v>
      </c>
      <c r="Q130" s="162">
        <v>16731</v>
      </c>
      <c r="R130" s="162">
        <v>948</v>
      </c>
      <c r="S130" s="162">
        <v>789.7</v>
      </c>
      <c r="T130" s="162">
        <v>1186.27366737886</v>
      </c>
      <c r="U130" s="162">
        <v>711</v>
      </c>
      <c r="V130" s="162">
        <v>6681.15</v>
      </c>
      <c r="W130" s="162">
        <v>1217</v>
      </c>
      <c r="X130" s="162">
        <v>0</v>
      </c>
      <c r="Y130" s="162">
        <v>0</v>
      </c>
      <c r="Z130" s="162">
        <v>0</v>
      </c>
      <c r="AA130" s="162">
        <v>0</v>
      </c>
      <c r="AB130" s="162">
        <v>0</v>
      </c>
      <c r="AC130" s="162">
        <v>0</v>
      </c>
      <c r="AD130" s="176">
        <v>284.7804931</v>
      </c>
      <c r="AE130" s="165">
        <f>N130*Forutsetninger!$C$30</f>
        <v>22603.316345214651</v>
      </c>
      <c r="AF130" s="165">
        <f t="shared" si="37"/>
        <v>4764.6624300560998</v>
      </c>
      <c r="AG130" s="165">
        <f>S130*Forutsetninger!$C$24</f>
        <v>833.13350000000003</v>
      </c>
      <c r="AH130" s="165">
        <f>AE130+O130+AF130+R130*Forutsetninger!$C$24-AG130</f>
        <v>39005.985275270752</v>
      </c>
      <c r="AI130" s="165">
        <f>AH130+P130*Forutsetninger!$B$6</f>
        <v>50515.750547270749</v>
      </c>
      <c r="AJ130" s="165">
        <f>T130*Forutsetninger!$C$30</f>
        <v>1255.077540086834</v>
      </c>
      <c r="AK130" s="165">
        <f t="shared" si="38"/>
        <v>346.57786010270001</v>
      </c>
      <c r="AL130" s="165">
        <f>AJ130+U130+AK130+X130*Forutsetninger!$C$24</f>
        <v>2312.6554001895338</v>
      </c>
      <c r="AM130" s="164">
        <f>(T130)*Forutsetninger!$C$30+X130*Forutsetninger!$C$24+U130+V130*Forutsetninger!$B$6</f>
        <v>2374.9639200868342</v>
      </c>
      <c r="AN130" s="164">
        <f>Y130*Forutsetninger!$C$30+Z130+AA130*Forutsetninger!$B$6+AC130*Forutsetninger!$C$24</f>
        <v>0</v>
      </c>
    </row>
    <row r="131" spans="1:40" s="62" customFormat="1" ht="12.75" x14ac:dyDescent="0.2">
      <c r="A131">
        <v>6692015</v>
      </c>
      <c r="B131" t="s">
        <v>293</v>
      </c>
      <c r="C131" s="170">
        <v>2015</v>
      </c>
      <c r="D131" s="145">
        <f t="shared" si="28"/>
        <v>30738.9787174712</v>
      </c>
      <c r="E131" s="146">
        <v>0</v>
      </c>
      <c r="F131" s="41">
        <f t="shared" si="29"/>
        <v>30738.9787174712</v>
      </c>
      <c r="G131" s="42">
        <f t="shared" si="39"/>
        <v>16666</v>
      </c>
      <c r="H131" s="41">
        <f t="shared" ref="H131:H142" si="40">ROUND(I131/1.01,0)</f>
        <v>319624</v>
      </c>
      <c r="I131" s="42">
        <f t="shared" ref="I131:I142" si="41">P131+V131+AA131</f>
        <v>322820.24</v>
      </c>
      <c r="J131" s="41">
        <f t="shared" ref="J131:J142" si="42">Q131</f>
        <v>13594</v>
      </c>
      <c r="K131" s="41">
        <f t="shared" ref="K131:K142" si="43">W131</f>
        <v>1014</v>
      </c>
      <c r="L131" s="41">
        <f t="shared" ref="L131:L142" si="44">AB131</f>
        <v>0</v>
      </c>
      <c r="M131" s="42">
        <f t="shared" ref="M131:M142" si="45">R131+X131+AC131</f>
        <v>1037</v>
      </c>
      <c r="N131" s="162">
        <v>28527.823720841599</v>
      </c>
      <c r="O131" s="162">
        <v>15108</v>
      </c>
      <c r="P131" s="162">
        <v>304369.56</v>
      </c>
      <c r="Q131" s="162">
        <v>13594</v>
      </c>
      <c r="R131" s="162">
        <v>1037</v>
      </c>
      <c r="S131" s="162">
        <v>0</v>
      </c>
      <c r="T131" s="162">
        <v>2211.1549966296002</v>
      </c>
      <c r="U131" s="162">
        <v>1558</v>
      </c>
      <c r="V131" s="162">
        <v>18450.68</v>
      </c>
      <c r="W131" s="162">
        <v>1014</v>
      </c>
      <c r="X131" s="162">
        <v>0</v>
      </c>
      <c r="Y131" s="162">
        <v>0</v>
      </c>
      <c r="Z131" s="162">
        <v>0</v>
      </c>
      <c r="AA131" s="162">
        <v>0</v>
      </c>
      <c r="AB131" s="162">
        <v>0</v>
      </c>
      <c r="AC131" s="162">
        <v>0</v>
      </c>
      <c r="AD131" s="176">
        <v>286.91705400000001</v>
      </c>
      <c r="AE131" s="165">
        <f>N131*Forutsetninger!$C$30</f>
        <v>30182.437496650415</v>
      </c>
      <c r="AF131" s="165">
        <f t="shared" ref="AF131:AF142" si="46">(Q131*AD131)/1000</f>
        <v>3900.3504320760003</v>
      </c>
      <c r="AG131" s="165">
        <f>S131*Forutsetninger!$C$24</f>
        <v>0</v>
      </c>
      <c r="AH131" s="165">
        <f>AE131+O131+AF131+R131*Forutsetninger!$C$24-AG131</f>
        <v>50284.822928726411</v>
      </c>
      <c r="AI131" s="165">
        <f>AH131+P131*Forutsetninger!$B$6</f>
        <v>68912.240000726408</v>
      </c>
      <c r="AJ131" s="165">
        <f>T131*Forutsetninger!$C$30</f>
        <v>2339.4019864341171</v>
      </c>
      <c r="AK131" s="165">
        <f t="shared" ref="AK131:AK142" si="47">(W131*AD131)/1000</f>
        <v>290.93389275599998</v>
      </c>
      <c r="AL131" s="165">
        <f>AJ131+U131+AK131+X131*Forutsetninger!$C$24</f>
        <v>4188.3358791901173</v>
      </c>
      <c r="AM131" s="164">
        <f>(T131)*Forutsetninger!$C$30+X131*Forutsetninger!$C$24+U131+V131*Forutsetninger!$B$6</f>
        <v>5026.583602434117</v>
      </c>
      <c r="AN131" s="164">
        <f>Y131*Forutsetninger!$C$30+Z131+AA131*Forutsetninger!$B$6+AC131*Forutsetninger!$C$24</f>
        <v>0</v>
      </c>
    </row>
    <row r="132" spans="1:40" s="62" customFormat="1" ht="12.75" x14ac:dyDescent="0.2">
      <c r="A132">
        <v>6752015</v>
      </c>
      <c r="B132" t="s">
        <v>294</v>
      </c>
      <c r="C132" s="170">
        <v>2015</v>
      </c>
      <c r="D132" s="145">
        <f t="shared" ref="D132:D143" si="48">F132+E132</f>
        <v>1357092.8815463691</v>
      </c>
      <c r="E132" s="146">
        <v>3428</v>
      </c>
      <c r="F132" s="41">
        <f t="shared" ref="F132:F143" si="49">N132+T132+Y132</f>
        <v>1353664.8815463691</v>
      </c>
      <c r="G132" s="42">
        <f t="shared" ref="G132:G142" si="50">O132+U132+Z132</f>
        <v>427931</v>
      </c>
      <c r="H132" s="42">
        <f t="shared" si="40"/>
        <v>7827859</v>
      </c>
      <c r="I132" s="42">
        <f t="shared" si="41"/>
        <v>7906137.5899999999</v>
      </c>
      <c r="J132" s="41">
        <f t="shared" si="42"/>
        <v>644847</v>
      </c>
      <c r="K132" s="41">
        <f t="shared" si="43"/>
        <v>356374</v>
      </c>
      <c r="L132" s="41">
        <f t="shared" si="44"/>
        <v>0</v>
      </c>
      <c r="M132" s="42">
        <f t="shared" si="45"/>
        <v>72056</v>
      </c>
      <c r="N132" s="162">
        <v>1015797.60171945</v>
      </c>
      <c r="O132" s="162">
        <v>283512</v>
      </c>
      <c r="P132" s="162">
        <v>4990057.51</v>
      </c>
      <c r="Q132" s="162">
        <v>644847</v>
      </c>
      <c r="R132" s="162">
        <v>58898</v>
      </c>
      <c r="S132" s="162">
        <v>0</v>
      </c>
      <c r="T132" s="162">
        <v>328859.69807016302</v>
      </c>
      <c r="U132" s="162">
        <v>143083</v>
      </c>
      <c r="V132" s="162">
        <v>2908079.87</v>
      </c>
      <c r="W132" s="162">
        <v>356374</v>
      </c>
      <c r="X132" s="162">
        <v>13158</v>
      </c>
      <c r="Y132" s="162">
        <v>9007.5817567559498</v>
      </c>
      <c r="Z132" s="162">
        <v>1336</v>
      </c>
      <c r="AA132" s="162">
        <v>8000.21</v>
      </c>
      <c r="AB132" s="162">
        <v>0</v>
      </c>
      <c r="AC132" s="162">
        <v>0</v>
      </c>
      <c r="AD132" s="176">
        <v>286.91705400000001</v>
      </c>
      <c r="AE132" s="165">
        <f>N132*Forutsetninger!$C$30</f>
        <v>1074713.8626191781</v>
      </c>
      <c r="AF132" s="165">
        <f t="shared" si="46"/>
        <v>185017.60152073801</v>
      </c>
      <c r="AG132" s="165">
        <f>S132*Forutsetninger!$C$24</f>
        <v>0</v>
      </c>
      <c r="AH132" s="165">
        <f>AE132+O132+AF132+R132*Forutsetninger!$C$24-AG132</f>
        <v>1605380.8541399161</v>
      </c>
      <c r="AI132" s="165">
        <f>AH132+P132*Forutsetninger!$B$6</f>
        <v>1910772.373751916</v>
      </c>
      <c r="AJ132" s="165">
        <f>T132*Forutsetninger!$C$30</f>
        <v>347933.56055823248</v>
      </c>
      <c r="AK132" s="165">
        <f t="shared" si="47"/>
        <v>102249.778202196</v>
      </c>
      <c r="AL132" s="165">
        <f>AJ132+U132+AK132+X132*Forutsetninger!$C$24</f>
        <v>607148.02876042842</v>
      </c>
      <c r="AM132" s="164">
        <f>(T132)*Forutsetninger!$C$30+X132*Forutsetninger!$C$24+U132+V132*Forutsetninger!$B$6</f>
        <v>682872.73860223242</v>
      </c>
      <c r="AN132" s="164">
        <f>Y132*Forutsetninger!$C$30+Z132+AA132*Forutsetninger!$B$6+AC132*Forutsetninger!$C$24</f>
        <v>11355.634350647795</v>
      </c>
    </row>
    <row r="133" spans="1:40" s="62" customFormat="1" ht="12.75" x14ac:dyDescent="0.2">
      <c r="A133">
        <v>6852015</v>
      </c>
      <c r="B133" t="s">
        <v>295</v>
      </c>
      <c r="C133" s="170">
        <v>2015</v>
      </c>
      <c r="D133" s="145">
        <f t="shared" si="48"/>
        <v>0</v>
      </c>
      <c r="E133" s="146">
        <v>0</v>
      </c>
      <c r="F133" s="41">
        <f t="shared" si="49"/>
        <v>0</v>
      </c>
      <c r="G133" s="42">
        <f t="shared" si="50"/>
        <v>564</v>
      </c>
      <c r="H133" s="42">
        <f t="shared" si="40"/>
        <v>6129</v>
      </c>
      <c r="I133" s="42">
        <f t="shared" si="41"/>
        <v>6190.29</v>
      </c>
      <c r="J133" s="41">
        <f t="shared" si="42"/>
        <v>0</v>
      </c>
      <c r="K133" s="41">
        <f t="shared" si="43"/>
        <v>1445</v>
      </c>
      <c r="L133" s="41">
        <f t="shared" si="44"/>
        <v>0</v>
      </c>
      <c r="M133" s="42">
        <f t="shared" si="45"/>
        <v>0</v>
      </c>
      <c r="N133" s="162">
        <v>0</v>
      </c>
      <c r="O133" s="162">
        <v>0</v>
      </c>
      <c r="P133" s="162">
        <v>0</v>
      </c>
      <c r="Q133" s="162">
        <v>0</v>
      </c>
      <c r="R133" s="162">
        <v>0</v>
      </c>
      <c r="S133" s="162">
        <v>0</v>
      </c>
      <c r="T133" s="162">
        <v>0</v>
      </c>
      <c r="U133" s="162">
        <v>172</v>
      </c>
      <c r="V133" s="162">
        <v>4213.72</v>
      </c>
      <c r="W133" s="162">
        <v>1445</v>
      </c>
      <c r="X133" s="162">
        <v>0</v>
      </c>
      <c r="Y133" s="162">
        <v>0</v>
      </c>
      <c r="Z133" s="162">
        <v>392</v>
      </c>
      <c r="AA133" s="162">
        <v>1976.57</v>
      </c>
      <c r="AB133" s="162">
        <v>0</v>
      </c>
      <c r="AC133" s="162">
        <v>0</v>
      </c>
      <c r="AD133" s="176">
        <v>284.74774189999999</v>
      </c>
      <c r="AE133" s="165">
        <f>N133*Forutsetninger!$C$30</f>
        <v>0</v>
      </c>
      <c r="AF133" s="165">
        <f t="shared" si="46"/>
        <v>0</v>
      </c>
      <c r="AG133" s="165">
        <f>S133*Forutsetninger!$C$24</f>
        <v>0</v>
      </c>
      <c r="AH133" s="165">
        <f>AE133+O133+AF133+R133*Forutsetninger!$C$24-AG133</f>
        <v>0</v>
      </c>
      <c r="AI133" s="165">
        <f>AH133+P133*Forutsetninger!$B$6</f>
        <v>0</v>
      </c>
      <c r="AJ133" s="165">
        <f>T133*Forutsetninger!$C$30</f>
        <v>0</v>
      </c>
      <c r="AK133" s="165">
        <f t="shared" si="47"/>
        <v>411.46048704550003</v>
      </c>
      <c r="AL133" s="165">
        <f>AJ133+U133+AK133+X133*Forutsetninger!$C$24</f>
        <v>583.46048704550003</v>
      </c>
      <c r="AM133" s="164">
        <f>(T133)*Forutsetninger!$C$30+X133*Forutsetninger!$C$24+U133+V133*Forutsetninger!$B$6</f>
        <v>429.87966399999999</v>
      </c>
      <c r="AN133" s="164">
        <f>Y133*Forutsetninger!$C$30+Z133+AA133*Forutsetninger!$B$6+AC133*Forutsetninger!$C$24</f>
        <v>512.96608400000002</v>
      </c>
    </row>
    <row r="134" spans="1:40" s="62" customFormat="1" ht="12.75" x14ac:dyDescent="0.2">
      <c r="A134">
        <v>6862015</v>
      </c>
      <c r="B134" t="s">
        <v>185</v>
      </c>
      <c r="C134" s="170">
        <v>2015</v>
      </c>
      <c r="D134" s="145">
        <f t="shared" si="48"/>
        <v>11054.2668506591</v>
      </c>
      <c r="E134" s="146">
        <v>0</v>
      </c>
      <c r="F134" s="41">
        <f t="shared" si="49"/>
        <v>11054.2668506591</v>
      </c>
      <c r="G134" s="42">
        <f t="shared" si="50"/>
        <v>1374</v>
      </c>
      <c r="H134" s="42">
        <f t="shared" si="40"/>
        <v>30367</v>
      </c>
      <c r="I134" s="42">
        <f t="shared" si="41"/>
        <v>30670.670000000002</v>
      </c>
      <c r="J134" s="41">
        <f t="shared" si="42"/>
        <v>3306</v>
      </c>
      <c r="K134" s="41">
        <f t="shared" si="43"/>
        <v>0</v>
      </c>
      <c r="L134" s="41">
        <f t="shared" si="44"/>
        <v>0</v>
      </c>
      <c r="M134" s="42">
        <f t="shared" si="45"/>
        <v>0</v>
      </c>
      <c r="N134" s="162">
        <v>10804.2668506591</v>
      </c>
      <c r="O134" s="162">
        <v>1353</v>
      </c>
      <c r="P134" s="162">
        <v>30471.7</v>
      </c>
      <c r="Q134" s="162">
        <v>3306</v>
      </c>
      <c r="R134" s="162">
        <v>0</v>
      </c>
      <c r="S134" s="162">
        <v>0</v>
      </c>
      <c r="T134" s="162">
        <v>250</v>
      </c>
      <c r="U134" s="162">
        <v>21</v>
      </c>
      <c r="V134" s="162">
        <v>198.97</v>
      </c>
      <c r="W134" s="162">
        <v>0</v>
      </c>
      <c r="X134" s="162">
        <v>0</v>
      </c>
      <c r="Y134" s="162">
        <v>0</v>
      </c>
      <c r="Z134" s="162">
        <v>0</v>
      </c>
      <c r="AA134" s="162">
        <v>0</v>
      </c>
      <c r="AB134" s="162">
        <v>0</v>
      </c>
      <c r="AC134" s="162">
        <v>0</v>
      </c>
      <c r="AD134" s="176">
        <v>257.06098230000003</v>
      </c>
      <c r="AE134" s="165">
        <f>N134*Forutsetninger!$C$30</f>
        <v>11430.914327997329</v>
      </c>
      <c r="AF134" s="165">
        <f t="shared" si="46"/>
        <v>849.84360748380016</v>
      </c>
      <c r="AG134" s="165">
        <f>S134*Forutsetninger!$C$24</f>
        <v>0</v>
      </c>
      <c r="AH134" s="165">
        <f>AE134+O134+AF134+R134*Forutsetninger!$C$24-AG134</f>
        <v>13633.75793548113</v>
      </c>
      <c r="AI134" s="165">
        <f>AH134+P134*Forutsetninger!$B$6</f>
        <v>15498.625975481129</v>
      </c>
      <c r="AJ134" s="165">
        <f>T134*Forutsetninger!$C$30</f>
        <v>264.5</v>
      </c>
      <c r="AK134" s="165">
        <f t="shared" si="47"/>
        <v>0</v>
      </c>
      <c r="AL134" s="165">
        <f>AJ134+U134+AK134+X134*Forutsetninger!$C$24</f>
        <v>285.5</v>
      </c>
      <c r="AM134" s="164">
        <f>(T134)*Forutsetninger!$C$30+X134*Forutsetninger!$C$24+U134+V134*Forutsetninger!$B$6</f>
        <v>297.676964</v>
      </c>
      <c r="AN134" s="164">
        <f>Y134*Forutsetninger!$C$30+Z134+AA134*Forutsetninger!$B$6+AC134*Forutsetninger!$C$24</f>
        <v>0</v>
      </c>
    </row>
    <row r="135" spans="1:40" s="62" customFormat="1" ht="12.75" x14ac:dyDescent="0.2">
      <c r="A135">
        <v>6932015</v>
      </c>
      <c r="B135" t="s">
        <v>296</v>
      </c>
      <c r="C135" s="170">
        <v>2015</v>
      </c>
      <c r="D135" s="145">
        <f t="shared" si="48"/>
        <v>49347.960429308499</v>
      </c>
      <c r="E135" s="146">
        <v>0</v>
      </c>
      <c r="F135" s="41">
        <f t="shared" si="49"/>
        <v>49347.960429308499</v>
      </c>
      <c r="G135" s="42">
        <f t="shared" si="50"/>
        <v>20617</v>
      </c>
      <c r="H135" s="42">
        <f t="shared" si="40"/>
        <v>384887</v>
      </c>
      <c r="I135" s="42">
        <f t="shared" si="41"/>
        <v>388735.87</v>
      </c>
      <c r="J135" s="41">
        <f t="shared" si="42"/>
        <v>43826</v>
      </c>
      <c r="K135" s="41">
        <f t="shared" si="43"/>
        <v>0</v>
      </c>
      <c r="L135" s="41">
        <f t="shared" si="44"/>
        <v>0</v>
      </c>
      <c r="M135" s="42">
        <f t="shared" si="45"/>
        <v>3799</v>
      </c>
      <c r="N135" s="162">
        <v>49347.960429308499</v>
      </c>
      <c r="O135" s="162">
        <v>20617</v>
      </c>
      <c r="P135" s="162">
        <v>388735.87</v>
      </c>
      <c r="Q135" s="162">
        <v>43826</v>
      </c>
      <c r="R135" s="162">
        <v>3799</v>
      </c>
      <c r="S135" s="162">
        <v>0</v>
      </c>
      <c r="T135" s="162">
        <v>0</v>
      </c>
      <c r="U135" s="162">
        <v>0</v>
      </c>
      <c r="V135" s="162">
        <v>0</v>
      </c>
      <c r="W135" s="162">
        <v>0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  <c r="AC135" s="162">
        <v>0</v>
      </c>
      <c r="AD135" s="176">
        <v>286.91705400000001</v>
      </c>
      <c r="AE135" s="165">
        <f>N135*Forutsetninger!$C$30</f>
        <v>52210.142134208392</v>
      </c>
      <c r="AF135" s="165">
        <f t="shared" si="46"/>
        <v>12574.426808603999</v>
      </c>
      <c r="AG135" s="165">
        <f>S135*Forutsetninger!$C$24</f>
        <v>0</v>
      </c>
      <c r="AH135" s="165">
        <f>AE135+O135+AF135+R135*Forutsetninger!$C$24-AG135</f>
        <v>89409.513942812395</v>
      </c>
      <c r="AI135" s="165">
        <f>AH135+P135*Forutsetninger!$B$6</f>
        <v>113200.1491868124</v>
      </c>
      <c r="AJ135" s="165">
        <f>T135*Forutsetninger!$C$30</f>
        <v>0</v>
      </c>
      <c r="AK135" s="165">
        <f t="shared" si="47"/>
        <v>0</v>
      </c>
      <c r="AL135" s="165">
        <f>AJ135+U135+AK135+X135*Forutsetninger!$C$24</f>
        <v>0</v>
      </c>
      <c r="AM135" s="164">
        <f>(T135)*Forutsetninger!$C$30+X135*Forutsetninger!$C$24+U135+V135*Forutsetninger!$B$6</f>
        <v>0</v>
      </c>
      <c r="AN135" s="164">
        <f>Y135*Forutsetninger!$C$30+Z135+AA135*Forutsetninger!$B$6+AC135*Forutsetninger!$C$24</f>
        <v>0</v>
      </c>
    </row>
    <row r="136" spans="1:40" s="62" customFormat="1" ht="12.75" x14ac:dyDescent="0.2">
      <c r="A136">
        <v>6992015</v>
      </c>
      <c r="B136" t="s">
        <v>297</v>
      </c>
      <c r="C136" s="170">
        <v>2015</v>
      </c>
      <c r="D136" s="145">
        <f t="shared" si="48"/>
        <v>265567.53307865438</v>
      </c>
      <c r="E136" s="146">
        <v>1369</v>
      </c>
      <c r="F136" s="41">
        <f t="shared" si="49"/>
        <v>264198.53307865438</v>
      </c>
      <c r="G136" s="42">
        <f t="shared" si="50"/>
        <v>111323</v>
      </c>
      <c r="H136" s="42">
        <f t="shared" si="40"/>
        <v>1916864</v>
      </c>
      <c r="I136" s="42">
        <f t="shared" si="41"/>
        <v>1936032.6400000001</v>
      </c>
      <c r="J136" s="41">
        <f t="shared" si="42"/>
        <v>85231</v>
      </c>
      <c r="K136" s="41">
        <f t="shared" si="43"/>
        <v>69847</v>
      </c>
      <c r="L136" s="41">
        <f t="shared" si="44"/>
        <v>0</v>
      </c>
      <c r="M136" s="42">
        <f t="shared" si="45"/>
        <v>23852</v>
      </c>
      <c r="N136" s="162">
        <v>208876.89200133699</v>
      </c>
      <c r="O136" s="162">
        <v>83373</v>
      </c>
      <c r="P136" s="162">
        <v>1376374.47</v>
      </c>
      <c r="Q136" s="162">
        <v>85231</v>
      </c>
      <c r="R136" s="162">
        <v>23605</v>
      </c>
      <c r="S136" s="162">
        <v>0</v>
      </c>
      <c r="T136" s="162">
        <v>55321.641077317399</v>
      </c>
      <c r="U136" s="162">
        <v>27950</v>
      </c>
      <c r="V136" s="162">
        <v>559658.17000000004</v>
      </c>
      <c r="W136" s="162">
        <v>69847</v>
      </c>
      <c r="X136" s="162">
        <v>247</v>
      </c>
      <c r="Y136" s="162">
        <v>0</v>
      </c>
      <c r="Z136" s="162">
        <v>0</v>
      </c>
      <c r="AA136" s="162">
        <v>0</v>
      </c>
      <c r="AB136" s="162">
        <v>0</v>
      </c>
      <c r="AC136" s="162">
        <v>0</v>
      </c>
      <c r="AD136" s="176">
        <v>288.54366980000003</v>
      </c>
      <c r="AE136" s="165">
        <f>N136*Forutsetninger!$C$30</f>
        <v>220991.75173741454</v>
      </c>
      <c r="AF136" s="165">
        <f t="shared" si="46"/>
        <v>24592.865520723801</v>
      </c>
      <c r="AG136" s="165">
        <f>S136*Forutsetninger!$C$24</f>
        <v>0</v>
      </c>
      <c r="AH136" s="165">
        <f>AE136+O136+AF136+R136*Forutsetninger!$C$24-AG136</f>
        <v>353860.89225813834</v>
      </c>
      <c r="AI136" s="165">
        <f>AH136+P136*Forutsetninger!$B$6</f>
        <v>438095.00982213835</v>
      </c>
      <c r="AJ136" s="165">
        <f>T136*Forutsetninger!$C$30</f>
        <v>58530.296259801813</v>
      </c>
      <c r="AK136" s="165">
        <f t="shared" si="47"/>
        <v>20153.909704520604</v>
      </c>
      <c r="AL136" s="165">
        <f>AJ136+U136+AK136+X136*Forutsetninger!$C$24</f>
        <v>106894.79096432241</v>
      </c>
      <c r="AM136" s="164">
        <f>(T136)*Forutsetninger!$C$30+X136*Forutsetninger!$C$24+U136+V136*Forutsetninger!$B$6</f>
        <v>120991.96126380182</v>
      </c>
      <c r="AN136" s="164">
        <f>Y136*Forutsetninger!$C$30+Z136+AA136*Forutsetninger!$B$6+AC136*Forutsetninger!$C$24</f>
        <v>0</v>
      </c>
    </row>
    <row r="137" spans="1:40" s="62" customFormat="1" ht="12.75" x14ac:dyDescent="0.2">
      <c r="A137">
        <v>7262015</v>
      </c>
      <c r="B137" t="s">
        <v>298</v>
      </c>
      <c r="C137" s="170">
        <v>2015</v>
      </c>
      <c r="D137" s="145">
        <f t="shared" si="48"/>
        <v>111563.493525517</v>
      </c>
      <c r="E137" s="146">
        <v>404</v>
      </c>
      <c r="F137" s="41">
        <f t="shared" si="49"/>
        <v>111159.493525517</v>
      </c>
      <c r="G137" s="42">
        <f t="shared" si="50"/>
        <v>46788</v>
      </c>
      <c r="H137" s="42">
        <f t="shared" si="40"/>
        <v>735804</v>
      </c>
      <c r="I137" s="42">
        <f t="shared" si="41"/>
        <v>743162.04</v>
      </c>
      <c r="J137" s="41">
        <f t="shared" si="42"/>
        <v>45794</v>
      </c>
      <c r="K137" s="41">
        <f t="shared" si="43"/>
        <v>57878</v>
      </c>
      <c r="L137" s="41">
        <f t="shared" si="44"/>
        <v>0</v>
      </c>
      <c r="M137" s="42">
        <f t="shared" si="45"/>
        <v>7112</v>
      </c>
      <c r="N137" s="162">
        <v>78424.399703265895</v>
      </c>
      <c r="O137" s="162">
        <v>34550</v>
      </c>
      <c r="P137" s="162">
        <v>541259</v>
      </c>
      <c r="Q137" s="162">
        <v>45794</v>
      </c>
      <c r="R137" s="162">
        <v>5713</v>
      </c>
      <c r="S137" s="162">
        <v>0</v>
      </c>
      <c r="T137" s="162">
        <v>32735.093822251099</v>
      </c>
      <c r="U137" s="162">
        <v>12238</v>
      </c>
      <c r="V137" s="162">
        <v>201903.04</v>
      </c>
      <c r="W137" s="162">
        <v>57878</v>
      </c>
      <c r="X137" s="162">
        <v>1399</v>
      </c>
      <c r="Y137" s="162">
        <v>0</v>
      </c>
      <c r="Z137" s="162">
        <v>0</v>
      </c>
      <c r="AA137" s="162">
        <v>0</v>
      </c>
      <c r="AB137" s="162">
        <v>0</v>
      </c>
      <c r="AC137" s="162">
        <v>0</v>
      </c>
      <c r="AD137" s="176">
        <v>257.06098230000003</v>
      </c>
      <c r="AE137" s="165">
        <f>N137*Forutsetninger!$C$30</f>
        <v>82973.014886055316</v>
      </c>
      <c r="AF137" s="165">
        <f t="shared" si="46"/>
        <v>11771.850623446202</v>
      </c>
      <c r="AG137" s="165">
        <f>S137*Forutsetninger!$C$24</f>
        <v>0</v>
      </c>
      <c r="AH137" s="165">
        <f>AE137+O137+AF137+R137*Forutsetninger!$C$24-AG137</f>
        <v>135322.08050950151</v>
      </c>
      <c r="AI137" s="165">
        <f>AH137+P137*Forutsetninger!$B$6</f>
        <v>168447.13130950151</v>
      </c>
      <c r="AJ137" s="165">
        <f>T137*Forutsetninger!$C$30</f>
        <v>34633.729263941663</v>
      </c>
      <c r="AK137" s="165">
        <f t="shared" si="47"/>
        <v>14878.175533559403</v>
      </c>
      <c r="AL137" s="165">
        <f>AJ137+U137+AK137+X137*Forutsetninger!$C$24</f>
        <v>63225.849797501061</v>
      </c>
      <c r="AM137" s="164">
        <f>(T137)*Forutsetninger!$C$30+X137*Forutsetninger!$C$24+U137+V137*Forutsetninger!$B$6</f>
        <v>60704.140311941665</v>
      </c>
      <c r="AN137" s="164">
        <f>Y137*Forutsetninger!$C$30+Z137+AA137*Forutsetninger!$B$6+AC137*Forutsetninger!$C$24</f>
        <v>0</v>
      </c>
    </row>
    <row r="138" spans="1:40" s="62" customFormat="1" ht="12.75" x14ac:dyDescent="0.2">
      <c r="A138">
        <v>7432015</v>
      </c>
      <c r="B138" t="s">
        <v>186</v>
      </c>
      <c r="C138" s="170">
        <v>2015</v>
      </c>
      <c r="D138" s="145">
        <f t="shared" si="48"/>
        <v>24411.621240709603</v>
      </c>
      <c r="E138" s="146">
        <v>0</v>
      </c>
      <c r="F138" s="41">
        <f t="shared" si="49"/>
        <v>24411.621240709603</v>
      </c>
      <c r="G138" s="42">
        <f t="shared" si="50"/>
        <v>5350</v>
      </c>
      <c r="H138" s="42">
        <f t="shared" si="40"/>
        <v>68527</v>
      </c>
      <c r="I138" s="42">
        <f t="shared" si="41"/>
        <v>69212.27</v>
      </c>
      <c r="J138" s="41">
        <f t="shared" si="42"/>
        <v>250</v>
      </c>
      <c r="K138" s="41">
        <f t="shared" si="43"/>
        <v>5949</v>
      </c>
      <c r="L138" s="41">
        <f t="shared" si="44"/>
        <v>0</v>
      </c>
      <c r="M138" s="42">
        <f t="shared" si="45"/>
        <v>15727</v>
      </c>
      <c r="N138" s="162">
        <v>12314.8146495664</v>
      </c>
      <c r="O138" s="162">
        <v>3049</v>
      </c>
      <c r="P138" s="162">
        <v>42950.25</v>
      </c>
      <c r="Q138" s="162">
        <v>250</v>
      </c>
      <c r="R138" s="162">
        <v>15727</v>
      </c>
      <c r="S138" s="162">
        <v>0</v>
      </c>
      <c r="T138" s="162">
        <v>12096.8065911432</v>
      </c>
      <c r="U138" s="162">
        <v>2301</v>
      </c>
      <c r="V138" s="162">
        <v>26262.02</v>
      </c>
      <c r="W138" s="162">
        <v>5949</v>
      </c>
      <c r="X138" s="162">
        <v>0</v>
      </c>
      <c r="Y138" s="162">
        <v>0</v>
      </c>
      <c r="Z138" s="162">
        <v>0</v>
      </c>
      <c r="AA138" s="162">
        <v>0</v>
      </c>
      <c r="AB138" s="162">
        <v>0</v>
      </c>
      <c r="AC138" s="162">
        <v>0</v>
      </c>
      <c r="AD138" s="176">
        <v>257.06098230000003</v>
      </c>
      <c r="AE138" s="165">
        <f>N138*Forutsetninger!$C$30</f>
        <v>13029.073899241252</v>
      </c>
      <c r="AF138" s="165">
        <f t="shared" si="46"/>
        <v>64.265245575000009</v>
      </c>
      <c r="AG138" s="165">
        <f>S138*Forutsetninger!$C$24</f>
        <v>0</v>
      </c>
      <c r="AH138" s="165">
        <f>AE138+O138+AF138+R138*Forutsetninger!$C$24-AG138</f>
        <v>32734.324144816252</v>
      </c>
      <c r="AI138" s="165">
        <f>AH138+P138*Forutsetninger!$B$6</f>
        <v>35362.879444816252</v>
      </c>
      <c r="AJ138" s="165">
        <f>T138*Forutsetninger!$C$30</f>
        <v>12798.421373429506</v>
      </c>
      <c r="AK138" s="165">
        <f t="shared" si="47"/>
        <v>1529.2557837027002</v>
      </c>
      <c r="AL138" s="165">
        <f>AJ138+U138+AK138+X138*Forutsetninger!$C$24</f>
        <v>16628.677157132206</v>
      </c>
      <c r="AM138" s="164">
        <f>(T138)*Forutsetninger!$C$30+X138*Forutsetninger!$C$24+U138+V138*Forutsetninger!$B$6</f>
        <v>16706.656997429505</v>
      </c>
      <c r="AN138" s="164">
        <f>Y138*Forutsetninger!$C$30+Z138+AA138*Forutsetninger!$B$6+AC138*Forutsetninger!$C$24</f>
        <v>0</v>
      </c>
    </row>
    <row r="139" spans="1:40" s="62" customFormat="1" ht="12.75" x14ac:dyDescent="0.2">
      <c r="A139">
        <v>7532015</v>
      </c>
      <c r="B139" t="s">
        <v>58</v>
      </c>
      <c r="C139" s="170">
        <v>2015</v>
      </c>
      <c r="D139" s="145">
        <f t="shared" si="48"/>
        <v>34554.058618385003</v>
      </c>
      <c r="E139" s="146">
        <v>0</v>
      </c>
      <c r="F139" s="41">
        <f t="shared" si="49"/>
        <v>34554.058618385003</v>
      </c>
      <c r="G139" s="42">
        <f t="shared" si="50"/>
        <v>4133</v>
      </c>
      <c r="H139" s="42">
        <f t="shared" si="40"/>
        <v>52777</v>
      </c>
      <c r="I139" s="42">
        <f t="shared" si="41"/>
        <v>53304.77</v>
      </c>
      <c r="J139" s="41">
        <f t="shared" si="42"/>
        <v>0</v>
      </c>
      <c r="K139" s="41">
        <f t="shared" si="43"/>
        <v>14894</v>
      </c>
      <c r="L139" s="41">
        <f t="shared" si="44"/>
        <v>0</v>
      </c>
      <c r="M139" s="42">
        <f t="shared" si="45"/>
        <v>0</v>
      </c>
      <c r="N139" s="162">
        <v>0</v>
      </c>
      <c r="O139" s="162">
        <v>0</v>
      </c>
      <c r="P139" s="162">
        <v>0</v>
      </c>
      <c r="Q139" s="162">
        <v>0</v>
      </c>
      <c r="R139" s="162">
        <v>0</v>
      </c>
      <c r="S139" s="162">
        <v>0</v>
      </c>
      <c r="T139" s="162">
        <v>34554.058618385003</v>
      </c>
      <c r="U139" s="162">
        <v>4133</v>
      </c>
      <c r="V139" s="162">
        <v>53304.77</v>
      </c>
      <c r="W139" s="162">
        <v>14894</v>
      </c>
      <c r="X139" s="162">
        <v>0</v>
      </c>
      <c r="Y139" s="162">
        <v>0</v>
      </c>
      <c r="Z139" s="162">
        <v>0</v>
      </c>
      <c r="AA139" s="162">
        <v>0</v>
      </c>
      <c r="AB139" s="162">
        <v>0</v>
      </c>
      <c r="AC139" s="162">
        <v>0</v>
      </c>
      <c r="AD139" s="176">
        <v>284.7804931</v>
      </c>
      <c r="AE139" s="165">
        <f>N139*Forutsetninger!$C$30</f>
        <v>0</v>
      </c>
      <c r="AF139" s="165">
        <f t="shared" si="46"/>
        <v>0</v>
      </c>
      <c r="AG139" s="165">
        <f>S139*Forutsetninger!$C$24</f>
        <v>0</v>
      </c>
      <c r="AH139" s="165">
        <f>AE139+O139+AF139+R139*Forutsetninger!$C$24-AG139</f>
        <v>0</v>
      </c>
      <c r="AI139" s="165">
        <f>AH139+P139*Forutsetninger!$B$6</f>
        <v>0</v>
      </c>
      <c r="AJ139" s="165">
        <f>T139*Forutsetninger!$C$30</f>
        <v>36558.194018251335</v>
      </c>
      <c r="AK139" s="165">
        <f t="shared" si="47"/>
        <v>4241.5206642313997</v>
      </c>
      <c r="AL139" s="165">
        <f>AJ139+U139+AK139+X139*Forutsetninger!$C$24</f>
        <v>44932.714682482736</v>
      </c>
      <c r="AM139" s="164">
        <f>(T139)*Forutsetninger!$C$30+X139*Forutsetninger!$C$24+U139+V139*Forutsetninger!$B$6</f>
        <v>43953.445942251332</v>
      </c>
      <c r="AN139" s="164">
        <f>Y139*Forutsetninger!$C$30+Z139+AA139*Forutsetninger!$B$6+AC139*Forutsetninger!$C$24</f>
        <v>0</v>
      </c>
    </row>
    <row r="140" spans="1:40" s="62" customFormat="1" ht="12.75" x14ac:dyDescent="0.2">
      <c r="A140">
        <v>8522015</v>
      </c>
      <c r="B140" t="s">
        <v>299</v>
      </c>
      <c r="C140" s="170">
        <v>2015</v>
      </c>
      <c r="D140" s="145">
        <f t="shared" si="48"/>
        <v>38796.840600800002</v>
      </c>
      <c r="E140" s="146">
        <v>0</v>
      </c>
      <c r="F140" s="41">
        <f t="shared" si="49"/>
        <v>38796.840600800002</v>
      </c>
      <c r="G140" s="42">
        <f t="shared" si="50"/>
        <v>2405</v>
      </c>
      <c r="H140" s="42">
        <f t="shared" si="40"/>
        <v>31773</v>
      </c>
      <c r="I140" s="42">
        <f t="shared" si="41"/>
        <v>32090.73</v>
      </c>
      <c r="J140" s="41">
        <f t="shared" si="42"/>
        <v>6686</v>
      </c>
      <c r="K140" s="41">
        <f t="shared" si="43"/>
        <v>6267</v>
      </c>
      <c r="L140" s="41">
        <f t="shared" si="44"/>
        <v>0</v>
      </c>
      <c r="M140" s="42">
        <f t="shared" si="45"/>
        <v>726</v>
      </c>
      <c r="N140" s="162">
        <v>27281.159669641798</v>
      </c>
      <c r="O140" s="162">
        <v>1320</v>
      </c>
      <c r="P140" s="162">
        <v>9255.64</v>
      </c>
      <c r="Q140" s="162">
        <v>6686</v>
      </c>
      <c r="R140" s="162">
        <v>726</v>
      </c>
      <c r="S140" s="162">
        <v>0</v>
      </c>
      <c r="T140" s="162">
        <v>11515.6809311582</v>
      </c>
      <c r="U140" s="162">
        <v>1085</v>
      </c>
      <c r="V140" s="162">
        <v>22835.09</v>
      </c>
      <c r="W140" s="162">
        <v>6267</v>
      </c>
      <c r="X140" s="162">
        <v>0</v>
      </c>
      <c r="Y140" s="162">
        <v>0</v>
      </c>
      <c r="Z140" s="162">
        <v>0</v>
      </c>
      <c r="AA140" s="162">
        <v>0</v>
      </c>
      <c r="AB140" s="162">
        <v>0</v>
      </c>
      <c r="AC140" s="162">
        <v>0</v>
      </c>
      <c r="AD140" s="176">
        <v>284.7804931</v>
      </c>
      <c r="AE140" s="165">
        <f>N140*Forutsetninger!$C$30</f>
        <v>28863.466930481023</v>
      </c>
      <c r="AF140" s="165">
        <f t="shared" si="46"/>
        <v>1904.0423768666001</v>
      </c>
      <c r="AG140" s="165">
        <f>S140*Forutsetninger!$C$24</f>
        <v>0</v>
      </c>
      <c r="AH140" s="165">
        <f>AE140+O140+AF140+R140*Forutsetninger!$C$24-AG140</f>
        <v>32853.439307347624</v>
      </c>
      <c r="AI140" s="165">
        <f>AH140+P140*Forutsetninger!$B$6</f>
        <v>33419.884475347622</v>
      </c>
      <c r="AJ140" s="165">
        <f>T140*Forutsetninger!$C$30</f>
        <v>12183.590425165376</v>
      </c>
      <c r="AK140" s="165">
        <f t="shared" si="47"/>
        <v>1784.7193502577002</v>
      </c>
      <c r="AL140" s="165">
        <f>AJ140+U140+AK140+X140*Forutsetninger!$C$24</f>
        <v>15053.309775423077</v>
      </c>
      <c r="AM140" s="164">
        <f>(T140)*Forutsetninger!$C$30+X140*Forutsetninger!$C$24+U140+V140*Forutsetninger!$B$6</f>
        <v>14666.097933165376</v>
      </c>
      <c r="AN140" s="164">
        <f>Y140*Forutsetninger!$C$30+Z140+AA140*Forutsetninger!$B$6+AC140*Forutsetninger!$C$24</f>
        <v>0</v>
      </c>
    </row>
    <row r="141" spans="1:40" s="62" customFormat="1" ht="12.75" x14ac:dyDescent="0.2">
      <c r="A141">
        <v>8722015</v>
      </c>
      <c r="B141" t="s">
        <v>378</v>
      </c>
      <c r="C141" s="170">
        <v>2015</v>
      </c>
      <c r="D141" s="145">
        <f t="shared" si="48"/>
        <v>120744.409268795</v>
      </c>
      <c r="E141" s="146">
        <v>0</v>
      </c>
      <c r="F141" s="41">
        <f t="shared" si="49"/>
        <v>120744.409268795</v>
      </c>
      <c r="G141" s="42">
        <f t="shared" si="50"/>
        <v>8821</v>
      </c>
      <c r="H141" s="42">
        <f t="shared" si="40"/>
        <v>103675</v>
      </c>
      <c r="I141" s="42">
        <f t="shared" si="41"/>
        <v>104711.75</v>
      </c>
      <c r="J141" s="41">
        <f t="shared" si="42"/>
        <v>0</v>
      </c>
      <c r="K141" s="41">
        <f t="shared" si="43"/>
        <v>0</v>
      </c>
      <c r="L141" s="41">
        <f t="shared" si="44"/>
        <v>0</v>
      </c>
      <c r="M141" s="42">
        <f t="shared" si="45"/>
        <v>0</v>
      </c>
      <c r="N141" s="162">
        <v>0</v>
      </c>
      <c r="O141" s="162">
        <v>0</v>
      </c>
      <c r="P141" s="162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162">
        <v>0</v>
      </c>
      <c r="Y141" s="162">
        <v>120744.409268795</v>
      </c>
      <c r="Z141" s="162">
        <v>8821</v>
      </c>
      <c r="AA141" s="162">
        <v>104711.75</v>
      </c>
      <c r="AB141" s="162">
        <v>0</v>
      </c>
      <c r="AC141" s="162">
        <v>0</v>
      </c>
      <c r="AD141" s="176">
        <v>284.7804931</v>
      </c>
      <c r="AE141" s="165">
        <f>N141*Forutsetninger!$C$30</f>
        <v>0</v>
      </c>
      <c r="AF141" s="165">
        <f t="shared" si="46"/>
        <v>0</v>
      </c>
      <c r="AG141" s="165">
        <f>S141*Forutsetninger!$C$24</f>
        <v>0</v>
      </c>
      <c r="AH141" s="165">
        <f>AE141+O141+AF141+R141*Forutsetninger!$C$24-AG141</f>
        <v>0</v>
      </c>
      <c r="AI141" s="165">
        <f>AH141+P141*Forutsetninger!$B$6</f>
        <v>0</v>
      </c>
      <c r="AJ141" s="165">
        <f>T141*Forutsetninger!$C$30</f>
        <v>0</v>
      </c>
      <c r="AK141" s="165">
        <f t="shared" si="47"/>
        <v>0</v>
      </c>
      <c r="AL141" s="165">
        <f>AJ141+U141+AK141+X141*Forutsetninger!$C$24</f>
        <v>0</v>
      </c>
      <c r="AM141" s="164">
        <f>(T141)*Forutsetninger!$C$30+X141*Forutsetninger!$C$24+U141+V141*Forutsetninger!$B$6</f>
        <v>0</v>
      </c>
      <c r="AN141" s="164">
        <f>Y141*Forutsetninger!$C$30+Z141+AA141*Forutsetninger!$B$6+AC141*Forutsetninger!$C$24</f>
        <v>142976.94410638511</v>
      </c>
    </row>
    <row r="142" spans="1:40" s="62" customFormat="1" ht="12.75" x14ac:dyDescent="0.2">
      <c r="A142">
        <v>9002015</v>
      </c>
      <c r="B142" t="s">
        <v>142</v>
      </c>
      <c r="C142" s="170">
        <v>2015</v>
      </c>
      <c r="D142" s="145">
        <f t="shared" si="48"/>
        <v>1255</v>
      </c>
      <c r="E142" s="146">
        <v>0</v>
      </c>
      <c r="F142" s="41">
        <f t="shared" si="49"/>
        <v>1255</v>
      </c>
      <c r="G142" s="42">
        <f t="shared" si="50"/>
        <v>667</v>
      </c>
      <c r="H142" s="42">
        <f t="shared" si="40"/>
        <v>8675</v>
      </c>
      <c r="I142" s="42">
        <f t="shared" si="41"/>
        <v>8761.75</v>
      </c>
      <c r="J142" s="41">
        <f t="shared" si="42"/>
        <v>0</v>
      </c>
      <c r="K142" s="41">
        <f t="shared" si="43"/>
        <v>0</v>
      </c>
      <c r="L142" s="41">
        <f t="shared" si="44"/>
        <v>0</v>
      </c>
      <c r="M142" s="42">
        <f t="shared" si="45"/>
        <v>0</v>
      </c>
      <c r="N142" s="162">
        <v>0</v>
      </c>
      <c r="O142" s="162">
        <v>0</v>
      </c>
      <c r="P142" s="162">
        <v>0</v>
      </c>
      <c r="Q142" s="162">
        <v>0</v>
      </c>
      <c r="R142" s="162">
        <v>0</v>
      </c>
      <c r="S142" s="162">
        <v>0</v>
      </c>
      <c r="T142" s="162">
        <v>0</v>
      </c>
      <c r="U142" s="162">
        <v>0</v>
      </c>
      <c r="V142" s="162">
        <v>0</v>
      </c>
      <c r="W142" s="162">
        <v>0</v>
      </c>
      <c r="X142" s="162">
        <v>0</v>
      </c>
      <c r="Y142" s="162">
        <v>1255</v>
      </c>
      <c r="Z142" s="162">
        <v>667</v>
      </c>
      <c r="AA142" s="162">
        <v>8761.75</v>
      </c>
      <c r="AB142" s="162">
        <v>0</v>
      </c>
      <c r="AC142" s="162">
        <v>0</v>
      </c>
      <c r="AD142" s="176">
        <v>284.7804931</v>
      </c>
      <c r="AE142" s="165">
        <f>N142*Forutsetninger!$C$30</f>
        <v>0</v>
      </c>
      <c r="AF142" s="165">
        <f t="shared" si="46"/>
        <v>0</v>
      </c>
      <c r="AG142" s="165">
        <f>S142*Forutsetninger!$C$24</f>
        <v>0</v>
      </c>
      <c r="AH142" s="165">
        <f>AE142+O142+AF142+R142*Forutsetninger!$C$24-AG142</f>
        <v>0</v>
      </c>
      <c r="AI142" s="165">
        <f>AH142+P142*Forutsetninger!$B$6</f>
        <v>0</v>
      </c>
      <c r="AJ142" s="165">
        <f>T142*Forutsetninger!$C$30</f>
        <v>0</v>
      </c>
      <c r="AK142" s="165">
        <f t="shared" si="47"/>
        <v>0</v>
      </c>
      <c r="AL142" s="165">
        <f>AJ142+U142+AK142+X142*Forutsetninger!$C$24</f>
        <v>0</v>
      </c>
      <c r="AM142" s="164">
        <f>(T142)*Forutsetninger!$C$30+X142*Forutsetninger!$C$24+U142+V142*Forutsetninger!$B$6</f>
        <v>0</v>
      </c>
      <c r="AN142" s="164">
        <f>Y142*Forutsetninger!$C$30+Z142+AA142*Forutsetninger!$B$6+AC142*Forutsetninger!$C$24</f>
        <v>2531.0091000000002</v>
      </c>
    </row>
    <row r="143" spans="1:40" s="62" customFormat="1" ht="12.75" x14ac:dyDescent="0.2">
      <c r="A143"/>
      <c r="B143"/>
      <c r="C143" s="99"/>
      <c r="D143" s="145">
        <f t="shared" si="48"/>
        <v>8281433.706760712</v>
      </c>
      <c r="E143" s="204">
        <f t="shared" ref="E143:AL143" si="51">SUM(E3:E142)</f>
        <v>17518</v>
      </c>
      <c r="F143" s="41">
        <f t="shared" si="49"/>
        <v>8263915.706760712</v>
      </c>
      <c r="G143" s="204">
        <f t="shared" si="51"/>
        <v>3367324</v>
      </c>
      <c r="H143" s="204">
        <f t="shared" si="51"/>
        <v>55395051</v>
      </c>
      <c r="I143" s="204">
        <f t="shared" si="51"/>
        <v>55949001.50999999</v>
      </c>
      <c r="J143" s="204">
        <f t="shared" si="51"/>
        <v>3663384</v>
      </c>
      <c r="K143" s="204">
        <f t="shared" si="51"/>
        <v>2076732</v>
      </c>
      <c r="L143" s="204">
        <f t="shared" si="51"/>
        <v>0</v>
      </c>
      <c r="M143" s="204">
        <f t="shared" si="51"/>
        <v>817054</v>
      </c>
      <c r="N143" s="204">
        <f t="shared" si="51"/>
        <v>6553024.1429762719</v>
      </c>
      <c r="O143" s="204">
        <f t="shared" si="51"/>
        <v>2483294</v>
      </c>
      <c r="P143" s="204">
        <f t="shared" si="51"/>
        <v>40039583.519999996</v>
      </c>
      <c r="Q143" s="204">
        <f t="shared" si="51"/>
        <v>3663384</v>
      </c>
      <c r="R143" s="204">
        <f t="shared" si="51"/>
        <v>628632</v>
      </c>
      <c r="S143" s="205">
        <f t="shared" si="51"/>
        <v>79272.289999999979</v>
      </c>
      <c r="T143" s="204">
        <f t="shared" si="51"/>
        <v>1509417.1762164154</v>
      </c>
      <c r="U143" s="204">
        <f t="shared" si="51"/>
        <v>807301</v>
      </c>
      <c r="V143" s="204">
        <f t="shared" si="51"/>
        <v>14897991.869999999</v>
      </c>
      <c r="W143" s="204">
        <f t="shared" si="51"/>
        <v>2076732</v>
      </c>
      <c r="X143" s="204">
        <f t="shared" si="51"/>
        <v>175775</v>
      </c>
      <c r="Y143" s="204">
        <f t="shared" si="51"/>
        <v>201474.38756802527</v>
      </c>
      <c r="Z143" s="204">
        <f t="shared" si="51"/>
        <v>76729</v>
      </c>
      <c r="AA143" s="204">
        <f t="shared" si="51"/>
        <v>1011426.12</v>
      </c>
      <c r="AB143" s="204">
        <f t="shared" si="51"/>
        <v>0</v>
      </c>
      <c r="AC143" s="204">
        <f t="shared" si="51"/>
        <v>12647</v>
      </c>
      <c r="AD143" s="204">
        <f t="shared" si="51"/>
        <v>39346.856435899979</v>
      </c>
      <c r="AE143" s="204">
        <f t="shared" si="51"/>
        <v>6933099.5432688966</v>
      </c>
      <c r="AF143" s="204">
        <f t="shared" si="51"/>
        <v>1036072.2514865273</v>
      </c>
      <c r="AG143" s="204">
        <f t="shared" si="51"/>
        <v>83632.265949999986</v>
      </c>
      <c r="AH143" s="204">
        <f t="shared" si="51"/>
        <v>11032040.288805416</v>
      </c>
      <c r="AI143" s="204">
        <f t="shared" si="51"/>
        <v>13482462.800229425</v>
      </c>
      <c r="AJ143" s="204">
        <f t="shared" si="51"/>
        <v>1596963.3724369679</v>
      </c>
      <c r="AK143" s="204">
        <f t="shared" si="51"/>
        <v>585824.94797420746</v>
      </c>
      <c r="AL143" s="204">
        <f t="shared" si="51"/>
        <v>3175531.945411176</v>
      </c>
      <c r="AM143" s="164">
        <f>(T143)*Forutsetninger!$C$30+X143*Forutsetninger!$C$24+U143+V143*Forutsetninger!$B$6</f>
        <v>3501464.0998809678</v>
      </c>
      <c r="AN143" s="204">
        <f>SUM(AN3:AN142)</f>
        <v>365130.76559097075</v>
      </c>
    </row>
    <row r="144" spans="1:40" s="62" customFormat="1" ht="12.75" x14ac:dyDescent="0.2">
      <c r="A144"/>
      <c r="B144"/>
      <c r="C144" s="99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5"/>
      <c r="T144" s="204"/>
      <c r="U144" s="204"/>
      <c r="V144" s="204"/>
      <c r="W144" s="204"/>
      <c r="X144" s="204">
        <f>COLUMN(X143)</f>
        <v>24</v>
      </c>
      <c r="Y144" s="204">
        <f t="shared" ref="Y144:AN144" si="52">COLUMN(Y143)</f>
        <v>25</v>
      </c>
      <c r="Z144" s="204">
        <f t="shared" si="52"/>
        <v>26</v>
      </c>
      <c r="AA144" s="204">
        <f t="shared" si="52"/>
        <v>27</v>
      </c>
      <c r="AB144" s="204">
        <f t="shared" si="52"/>
        <v>28</v>
      </c>
      <c r="AC144" s="204">
        <f t="shared" si="52"/>
        <v>29</v>
      </c>
      <c r="AD144" s="204">
        <f t="shared" si="52"/>
        <v>30</v>
      </c>
      <c r="AE144" s="204">
        <f t="shared" si="52"/>
        <v>31</v>
      </c>
      <c r="AF144" s="204">
        <f t="shared" si="52"/>
        <v>32</v>
      </c>
      <c r="AG144" s="204">
        <f t="shared" si="52"/>
        <v>33</v>
      </c>
      <c r="AH144" s="204">
        <f t="shared" si="52"/>
        <v>34</v>
      </c>
      <c r="AI144" s="204">
        <f t="shared" si="52"/>
        <v>35</v>
      </c>
      <c r="AJ144" s="204">
        <f t="shared" si="52"/>
        <v>36</v>
      </c>
      <c r="AK144" s="204">
        <f t="shared" si="52"/>
        <v>37</v>
      </c>
      <c r="AL144" s="204">
        <f t="shared" si="52"/>
        <v>38</v>
      </c>
      <c r="AM144" s="164">
        <f>(T144)*Forutsetninger!$C$30+X144*Forutsetninger!$C$24+U144+V144*Forutsetninger!$B$6</f>
        <v>25.32</v>
      </c>
      <c r="AN144" s="204">
        <f t="shared" si="52"/>
        <v>40</v>
      </c>
    </row>
    <row r="145" spans="1:41" s="62" customFormat="1" ht="12.75" x14ac:dyDescent="0.2">
      <c r="A145"/>
      <c r="B145"/>
      <c r="C145" s="99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5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>
        <f>O143+(P143*Forutsetninger!B6)+IRData!AF143+(IRData!R143*Forutsetninger!C24)+AE143</f>
        <v>13566095.066179423</v>
      </c>
      <c r="AJ145" s="204"/>
      <c r="AK145" s="204"/>
      <c r="AL145" s="204"/>
      <c r="AM145" s="164">
        <f>(T145)*Forutsetninger!$C$30+X145*Forutsetninger!$C$24+U145+V145*Forutsetninger!$B$6</f>
        <v>0</v>
      </c>
      <c r="AN145" s="204"/>
      <c r="AO145" s="206">
        <f>AI145+AM145+AN143</f>
        <v>13931225.831770394</v>
      </c>
    </row>
    <row r="146" spans="1:41" ht="4.5" customHeight="1" x14ac:dyDescent="0.2">
      <c r="Q146" s="60"/>
      <c r="R146" s="60"/>
      <c r="X146" s="60"/>
      <c r="Y146" s="60"/>
      <c r="Z146" s="60"/>
      <c r="AA146" s="60"/>
      <c r="AB146" s="60"/>
      <c r="AC146" s="60"/>
      <c r="AJ146" s="61"/>
    </row>
    <row r="147" spans="1:41" ht="4.5" hidden="1" customHeight="1" x14ac:dyDescent="0.2"/>
    <row r="148" spans="1:41" ht="0" hidden="1" customHeight="1" x14ac:dyDescent="0.2"/>
    <row r="149" spans="1:41" ht="0" hidden="1" customHeight="1" x14ac:dyDescent="0.2"/>
  </sheetData>
  <autoFilter ref="A2:AN142">
    <sortState ref="A3:AN142">
      <sortCondition ref="A2:A142"/>
    </sortState>
  </autoFilter>
  <mergeCells count="6">
    <mergeCell ref="AJ1:AM1"/>
    <mergeCell ref="D1:M1"/>
    <mergeCell ref="N1:S1"/>
    <mergeCell ref="T1:X1"/>
    <mergeCell ref="AE1:AI1"/>
    <mergeCell ref="Y1:AC1"/>
  </mergeCells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I145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91" sqref="O91"/>
    </sheetView>
  </sheetViews>
  <sheetFormatPr baseColWidth="10" defaultColWidth="10.85546875" defaultRowHeight="12.75" x14ac:dyDescent="0.2"/>
  <cols>
    <col min="1" max="1" width="8" style="49" bestFit="1" customWidth="1"/>
    <col min="2" max="2" width="51.140625" style="49" bestFit="1" customWidth="1"/>
    <col min="3" max="3" width="8.85546875" style="49" bestFit="1" customWidth="1"/>
    <col min="4" max="4" width="15" style="49" customWidth="1"/>
    <col min="5" max="5" width="14.42578125" style="49" customWidth="1"/>
    <col min="6" max="6" width="15.140625" style="49" customWidth="1"/>
    <col min="7" max="7" width="12.7109375" style="49" customWidth="1"/>
    <col min="8" max="8" width="14.140625" style="49" customWidth="1"/>
    <col min="9" max="9" width="26.5703125" style="49" bestFit="1" customWidth="1"/>
    <col min="10" max="16384" width="10.85546875" style="49"/>
  </cols>
  <sheetData>
    <row r="1" spans="1:9" s="48" customFormat="1" ht="28.5" customHeight="1" x14ac:dyDescent="0.2">
      <c r="A1" s="290" t="s">
        <v>124</v>
      </c>
      <c r="B1" s="291"/>
      <c r="C1" s="291"/>
      <c r="D1" s="291"/>
      <c r="E1" s="291"/>
      <c r="F1" s="291"/>
      <c r="G1" s="291"/>
      <c r="H1" s="291"/>
      <c r="I1" s="96" t="s">
        <v>19</v>
      </c>
    </row>
    <row r="2" spans="1:9" s="48" customFormat="1" ht="64.5" customHeight="1" x14ac:dyDescent="0.2">
      <c r="A2" s="103" t="s">
        <v>53</v>
      </c>
      <c r="B2" s="93" t="s">
        <v>54</v>
      </c>
      <c r="C2" s="94" t="s">
        <v>123</v>
      </c>
      <c r="D2" s="132" t="s">
        <v>65</v>
      </c>
      <c r="E2" s="132" t="s">
        <v>18</v>
      </c>
      <c r="F2" s="94" t="s">
        <v>24</v>
      </c>
      <c r="G2" s="94" t="s">
        <v>126</v>
      </c>
      <c r="H2" s="94" t="s">
        <v>17</v>
      </c>
      <c r="I2" s="106">
        <f>E3-F3</f>
        <v>1943066.7725454662</v>
      </c>
    </row>
    <row r="3" spans="1:9" s="48" customFormat="1" x14ac:dyDescent="0.2">
      <c r="A3" s="193"/>
      <c r="B3" s="193"/>
      <c r="C3" s="192" t="s">
        <v>47</v>
      </c>
      <c r="D3" s="194">
        <f>SUM(D4:D118)</f>
        <v>39758354.069999993</v>
      </c>
      <c r="E3" s="195">
        <f>SUM(E4:E118)</f>
        <v>13359433.369664039</v>
      </c>
      <c r="F3" s="195">
        <f>SUM(F4:F118)</f>
        <v>11416366.597118573</v>
      </c>
      <c r="G3" s="196"/>
      <c r="H3" s="195">
        <f>SUM(H4:H118)</f>
        <v>13359433.369664039</v>
      </c>
      <c r="I3" s="193" t="s">
        <v>7</v>
      </c>
    </row>
    <row r="4" spans="1:9" s="48" customFormat="1" ht="12.75" customHeight="1" x14ac:dyDescent="0.2">
      <c r="A4" s="211">
        <v>72015</v>
      </c>
      <c r="B4" s="211" t="s">
        <v>193</v>
      </c>
      <c r="C4" s="212">
        <v>0.89781965923851703</v>
      </c>
      <c r="D4" s="104">
        <f>VLOOKUP(A4,IRData!$A$3:$AI$142,16,FALSE)</f>
        <v>209896.18</v>
      </c>
      <c r="E4" s="104">
        <f>VLOOKUP(A4,IRData!$A$3:$AI$142,35,FALSE)</f>
        <v>72389.854230812736</v>
      </c>
      <c r="F4" s="104">
        <f t="shared" ref="F4:F35" si="0">C4*E4</f>
        <v>64993.03425783421</v>
      </c>
      <c r="G4" s="104">
        <f t="shared" ref="G4:G35" si="1">(D4/$D$3)*$I$2</f>
        <v>10258.027591488328</v>
      </c>
      <c r="H4" s="104">
        <f t="shared" ref="H4:H35" si="2">F4+G4</f>
        <v>75251.061849322534</v>
      </c>
      <c r="I4" s="105">
        <f t="shared" ref="I4:I35" si="3">H4/E4</f>
        <v>1.0395249810752061</v>
      </c>
    </row>
    <row r="5" spans="1:9" s="48" customFormat="1" ht="12.75" customHeight="1" x14ac:dyDescent="0.2">
      <c r="A5" s="211">
        <v>92015</v>
      </c>
      <c r="B5" s="211" t="s">
        <v>194</v>
      </c>
      <c r="C5" s="212">
        <v>0.78229046337889196</v>
      </c>
      <c r="D5" s="104">
        <f>VLOOKUP(A5,IRData!$A$3:$AI$142,16,FALSE)</f>
        <v>59047.63</v>
      </c>
      <c r="E5" s="104">
        <f>VLOOKUP(A5,IRData!$A$3:$AI$142,35,FALSE)</f>
        <v>28117.670353138565</v>
      </c>
      <c r="F5" s="104">
        <f t="shared" si="0"/>
        <v>21996.185369691702</v>
      </c>
      <c r="G5" s="104">
        <f t="shared" si="1"/>
        <v>2885.7705640569257</v>
      </c>
      <c r="H5" s="104">
        <f t="shared" si="2"/>
        <v>24881.955933748628</v>
      </c>
      <c r="I5" s="105">
        <f t="shared" si="3"/>
        <v>0.8849223858608628</v>
      </c>
    </row>
    <row r="6" spans="1:9" s="48" customFormat="1" ht="12.75" customHeight="1" x14ac:dyDescent="0.2">
      <c r="A6" s="211">
        <v>142015</v>
      </c>
      <c r="B6" s="211" t="s">
        <v>195</v>
      </c>
      <c r="C6" s="212">
        <v>0.89665420947087004</v>
      </c>
      <c r="D6" s="104">
        <f>VLOOKUP(A6,IRData!$A$3:$AI$142,16,FALSE)</f>
        <v>134659.26</v>
      </c>
      <c r="E6" s="104">
        <f>VLOOKUP(A6,IRData!$A$3:$AI$142,35,FALSE)</f>
        <v>41305.297186434655</v>
      </c>
      <c r="F6" s="104">
        <f t="shared" si="0"/>
        <v>37036.56859566192</v>
      </c>
      <c r="G6" s="104">
        <f t="shared" si="1"/>
        <v>6581.0554748037848</v>
      </c>
      <c r="H6" s="104">
        <f t="shared" si="2"/>
        <v>43617.624070465703</v>
      </c>
      <c r="I6" s="105">
        <f t="shared" si="3"/>
        <v>1.0559813641721105</v>
      </c>
    </row>
    <row r="7" spans="1:9" s="48" customFormat="1" ht="12.75" customHeight="1" x14ac:dyDescent="0.2">
      <c r="A7" s="211">
        <v>162015</v>
      </c>
      <c r="B7" s="211" t="s">
        <v>196</v>
      </c>
      <c r="C7" s="212">
        <v>0.68710813646699898</v>
      </c>
      <c r="D7" s="104">
        <f>VLOOKUP(A7,IRData!$A$3:$AI$142,16,FALSE)</f>
        <v>58500.21</v>
      </c>
      <c r="E7" s="104">
        <f>VLOOKUP(A7,IRData!$A$3:$AI$142,35,FALSE)</f>
        <v>30660.882984824355</v>
      </c>
      <c r="F7" s="104">
        <f t="shared" si="0"/>
        <v>21067.34217013538</v>
      </c>
      <c r="G7" s="104">
        <f t="shared" si="1"/>
        <v>2859.0171021114415</v>
      </c>
      <c r="H7" s="104">
        <f t="shared" si="2"/>
        <v>23926.35927224682</v>
      </c>
      <c r="I7" s="105">
        <f t="shared" si="3"/>
        <v>0.78035454112946467</v>
      </c>
    </row>
    <row r="8" spans="1:9" s="48" customFormat="1" ht="12.75" customHeight="1" x14ac:dyDescent="0.2">
      <c r="A8" s="211">
        <v>182015</v>
      </c>
      <c r="B8" s="211" t="s">
        <v>161</v>
      </c>
      <c r="C8" s="212">
        <v>0.92483478099708805</v>
      </c>
      <c r="D8" s="104">
        <f>VLOOKUP(A8,IRData!$A$3:$AI$142,16,FALSE)</f>
        <v>54595.55</v>
      </c>
      <c r="E8" s="104">
        <f>VLOOKUP(A8,IRData!$A$3:$AI$142,35,FALSE)</f>
        <v>20780.077286661373</v>
      </c>
      <c r="F8" s="104">
        <f t="shared" si="0"/>
        <v>19218.138226512034</v>
      </c>
      <c r="G8" s="104">
        <f t="shared" si="1"/>
        <v>2668.1889030685584</v>
      </c>
      <c r="H8" s="104">
        <f t="shared" si="2"/>
        <v>21886.327129580593</v>
      </c>
      <c r="I8" s="105">
        <f t="shared" si="3"/>
        <v>1.0532360793301436</v>
      </c>
    </row>
    <row r="9" spans="1:9" s="48" customFormat="1" ht="12.75" customHeight="1" x14ac:dyDescent="0.2">
      <c r="A9" s="211">
        <v>222015</v>
      </c>
      <c r="B9" s="211" t="s">
        <v>197</v>
      </c>
      <c r="C9" s="212">
        <v>0.88782154999324303</v>
      </c>
      <c r="D9" s="104">
        <f>VLOOKUP(A9,IRData!$A$3:$AI$142,16,FALSE)</f>
        <v>28717.33</v>
      </c>
      <c r="E9" s="104">
        <f>VLOOKUP(A9,IRData!$A$3:$AI$142,35,FALSE)</f>
        <v>9907.0462710084103</v>
      </c>
      <c r="F9" s="104">
        <f t="shared" si="0"/>
        <v>8795.6891761814659</v>
      </c>
      <c r="G9" s="104">
        <f t="shared" si="1"/>
        <v>1403.4708182582244</v>
      </c>
      <c r="H9" s="104">
        <f t="shared" si="2"/>
        <v>10199.159994439691</v>
      </c>
      <c r="I9" s="105">
        <f t="shared" si="3"/>
        <v>1.0294854506015694</v>
      </c>
    </row>
    <row r="10" spans="1:9" s="48" customFormat="1" ht="12.75" customHeight="1" x14ac:dyDescent="0.2">
      <c r="A10" s="211">
        <v>322015</v>
      </c>
      <c r="B10" s="211" t="s">
        <v>198</v>
      </c>
      <c r="C10" s="212">
        <v>0.77079333246441095</v>
      </c>
      <c r="D10" s="104">
        <f>VLOOKUP(A10,IRData!$A$3:$AI$142,16,FALSE)</f>
        <v>466698.78</v>
      </c>
      <c r="E10" s="104">
        <f>VLOOKUP(A10,IRData!$A$3:$AI$142,35,FALSE)</f>
        <v>136665.96847815314</v>
      </c>
      <c r="F10" s="104">
        <f t="shared" si="0"/>
        <v>105341.2172777518</v>
      </c>
      <c r="G10" s="104">
        <f t="shared" si="1"/>
        <v>22808.461603036041</v>
      </c>
      <c r="H10" s="104">
        <f t="shared" si="2"/>
        <v>128149.67888078783</v>
      </c>
      <c r="I10" s="105">
        <f t="shared" si="3"/>
        <v>0.93768536752639564</v>
      </c>
    </row>
    <row r="11" spans="1:9" s="48" customFormat="1" ht="12.75" customHeight="1" x14ac:dyDescent="0.2">
      <c r="A11" s="211">
        <v>352015</v>
      </c>
      <c r="B11" s="211" t="s">
        <v>162</v>
      </c>
      <c r="C11" s="212">
        <v>0.85534738651586195</v>
      </c>
      <c r="D11" s="104">
        <f>VLOOKUP(A11,IRData!$A$3:$AI$142,16,FALSE)</f>
        <v>65504.56</v>
      </c>
      <c r="E11" s="104">
        <f>VLOOKUP(A11,IRData!$A$3:$AI$142,35,FALSE)</f>
        <v>22940.268892279575</v>
      </c>
      <c r="F11" s="104">
        <f t="shared" si="0"/>
        <v>19621.899042982463</v>
      </c>
      <c r="G11" s="104">
        <f t="shared" si="1"/>
        <v>3201.3330773733128</v>
      </c>
      <c r="H11" s="104">
        <f t="shared" si="2"/>
        <v>22823.232120355777</v>
      </c>
      <c r="I11" s="105">
        <f t="shared" si="3"/>
        <v>0.99489819528823453</v>
      </c>
    </row>
    <row r="12" spans="1:9" s="48" customFormat="1" ht="12.75" customHeight="1" x14ac:dyDescent="0.2">
      <c r="A12" s="211">
        <v>372015</v>
      </c>
      <c r="B12" s="211" t="s">
        <v>199</v>
      </c>
      <c r="C12" s="212">
        <v>1.12238836652679</v>
      </c>
      <c r="D12" s="104">
        <f>VLOOKUP(A12,IRData!$A$3:$AI$142,16,FALSE)</f>
        <v>192279.76</v>
      </c>
      <c r="E12" s="104">
        <f>VLOOKUP(A12,IRData!$A$3:$AI$142,35,FALSE)</f>
        <v>60784.520129806318</v>
      </c>
      <c r="F12" s="104">
        <f t="shared" si="0"/>
        <v>68223.838258608099</v>
      </c>
      <c r="G12" s="104">
        <f t="shared" si="1"/>
        <v>9397.0794674050485</v>
      </c>
      <c r="H12" s="104">
        <f t="shared" si="2"/>
        <v>77620.91772601314</v>
      </c>
      <c r="I12" s="105">
        <f t="shared" si="3"/>
        <v>1.2769849553842396</v>
      </c>
    </row>
    <row r="13" spans="1:9" s="48" customFormat="1" ht="12.75" customHeight="1" x14ac:dyDescent="0.2">
      <c r="A13" s="211">
        <v>412015</v>
      </c>
      <c r="B13" s="211" t="s">
        <v>163</v>
      </c>
      <c r="C13" s="212">
        <v>0.72216690461978095</v>
      </c>
      <c r="D13" s="104">
        <f>VLOOKUP(A13,IRData!$A$3:$AI$142,16,FALSE)</f>
        <v>30552.5</v>
      </c>
      <c r="E13" s="104">
        <f>VLOOKUP(A13,IRData!$A$3:$AI$142,35,FALSE)</f>
        <v>15415.9669703851</v>
      </c>
      <c r="F13" s="104">
        <f t="shared" si="0"/>
        <v>11132.901148723789</v>
      </c>
      <c r="G13" s="104">
        <f t="shared" si="1"/>
        <v>1493.1590845957614</v>
      </c>
      <c r="H13" s="104">
        <f t="shared" si="2"/>
        <v>12626.060233319551</v>
      </c>
      <c r="I13" s="105">
        <f t="shared" si="3"/>
        <v>0.81902486283052445</v>
      </c>
    </row>
    <row r="14" spans="1:9" s="48" customFormat="1" ht="12.75" customHeight="1" x14ac:dyDescent="0.2">
      <c r="A14" s="211">
        <v>422015</v>
      </c>
      <c r="B14" s="211" t="s">
        <v>200</v>
      </c>
      <c r="C14" s="212">
        <v>0.72138141381550502</v>
      </c>
      <c r="D14" s="104">
        <f>VLOOKUP(A14,IRData!$A$3:$AI$142,16,FALSE)</f>
        <v>128643.7</v>
      </c>
      <c r="E14" s="104">
        <f>VLOOKUP(A14,IRData!$A$3:$AI$142,35,FALSE)</f>
        <v>50508.582225752951</v>
      </c>
      <c r="F14" s="104">
        <f t="shared" si="0"/>
        <v>36435.952455830353</v>
      </c>
      <c r="G14" s="104">
        <f t="shared" si="1"/>
        <v>6287.0635571888306</v>
      </c>
      <c r="H14" s="104">
        <f t="shared" si="2"/>
        <v>42723.01601301918</v>
      </c>
      <c r="I14" s="105">
        <f t="shared" si="3"/>
        <v>0.8458565679405643</v>
      </c>
    </row>
    <row r="15" spans="1:9" s="48" customFormat="1" ht="12.75" customHeight="1" x14ac:dyDescent="0.2">
      <c r="A15" s="211">
        <v>432015</v>
      </c>
      <c r="B15" s="211" t="s">
        <v>201</v>
      </c>
      <c r="C15" s="212">
        <v>0.70328556870395298</v>
      </c>
      <c r="D15" s="104">
        <f>VLOOKUP(A15,IRData!$A$3:$AI$142,16,FALSE)</f>
        <v>177452.96</v>
      </c>
      <c r="E15" s="104">
        <f>VLOOKUP(A15,IRData!$A$3:$AI$142,35,FALSE)</f>
        <v>48911.334458721438</v>
      </c>
      <c r="F15" s="104">
        <f t="shared" si="0"/>
        <v>34398.635670871161</v>
      </c>
      <c r="G15" s="104">
        <f t="shared" si="1"/>
        <v>8672.4654058557644</v>
      </c>
      <c r="H15" s="104">
        <f t="shared" si="2"/>
        <v>43071.101076726925</v>
      </c>
      <c r="I15" s="105">
        <f t="shared" si="3"/>
        <v>0.88059550109140128</v>
      </c>
    </row>
    <row r="16" spans="1:9" s="48" customFormat="1" ht="12.75" customHeight="1" x14ac:dyDescent="0.2">
      <c r="A16" s="211">
        <v>452015</v>
      </c>
      <c r="B16" s="211" t="s">
        <v>202</v>
      </c>
      <c r="C16" s="212">
        <v>0.83091126305113205</v>
      </c>
      <c r="D16" s="104">
        <f>VLOOKUP(A16,IRData!$A$3:$AI$142,16,FALSE)</f>
        <v>47793.2</v>
      </c>
      <c r="E16" s="104">
        <f>VLOOKUP(A16,IRData!$A$3:$AI$142,35,FALSE)</f>
        <v>23205.349178172219</v>
      </c>
      <c r="F16" s="104">
        <f t="shared" si="0"/>
        <v>19281.585995177629</v>
      </c>
      <c r="G16" s="104">
        <f t="shared" si="1"/>
        <v>2335.7450539858323</v>
      </c>
      <c r="H16" s="104">
        <f t="shared" si="2"/>
        <v>21617.331049163462</v>
      </c>
      <c r="I16" s="105">
        <f t="shared" si="3"/>
        <v>0.93156672124104456</v>
      </c>
    </row>
    <row r="17" spans="1:9" s="48" customFormat="1" ht="12.75" customHeight="1" x14ac:dyDescent="0.2">
      <c r="A17" s="211">
        <v>462015</v>
      </c>
      <c r="B17" s="211" t="s">
        <v>203</v>
      </c>
      <c r="C17" s="212">
        <v>0.78399268066542105</v>
      </c>
      <c r="D17" s="104">
        <f>VLOOKUP(A17,IRData!$A$3:$AI$142,16,FALSE)</f>
        <v>30165.67</v>
      </c>
      <c r="E17" s="104">
        <f>VLOOKUP(A17,IRData!$A$3:$AI$142,35,FALSE)</f>
        <v>14294.845125041829</v>
      </c>
      <c r="F17" s="104">
        <f t="shared" si="0"/>
        <v>11207.05394927857</v>
      </c>
      <c r="G17" s="104">
        <f t="shared" si="1"/>
        <v>1474.2539629626976</v>
      </c>
      <c r="H17" s="104">
        <f t="shared" si="2"/>
        <v>12681.307912241267</v>
      </c>
      <c r="I17" s="105">
        <f t="shared" si="3"/>
        <v>0.88712454044192801</v>
      </c>
    </row>
    <row r="18" spans="1:9" s="48" customFormat="1" ht="12.75" customHeight="1" x14ac:dyDescent="0.2">
      <c r="A18" s="211">
        <v>522015</v>
      </c>
      <c r="B18" s="211" t="s">
        <v>204</v>
      </c>
      <c r="C18" s="212">
        <v>0.66060450105103996</v>
      </c>
      <c r="D18" s="104">
        <f>VLOOKUP(A18,IRData!$A$3:$AI$142,16,FALSE)</f>
        <v>33415.85</v>
      </c>
      <c r="E18" s="104">
        <f>VLOOKUP(A18,IRData!$A$3:$AI$142,35,FALSE)</f>
        <v>12097.107108001832</v>
      </c>
      <c r="F18" s="104">
        <f t="shared" si="0"/>
        <v>7991.4034052425395</v>
      </c>
      <c r="G18" s="104">
        <f t="shared" si="1"/>
        <v>1633.0964731851493</v>
      </c>
      <c r="H18" s="104">
        <f t="shared" si="2"/>
        <v>9624.4998784276886</v>
      </c>
      <c r="I18" s="105">
        <f t="shared" si="3"/>
        <v>0.79560342753858926</v>
      </c>
    </row>
    <row r="19" spans="1:9" s="48" customFormat="1" ht="12.75" customHeight="1" x14ac:dyDescent="0.2">
      <c r="A19" s="211">
        <v>532015</v>
      </c>
      <c r="B19" s="211" t="s">
        <v>205</v>
      </c>
      <c r="C19" s="212">
        <v>0.83349868933896798</v>
      </c>
      <c r="D19" s="104">
        <f>VLOOKUP(A19,IRData!$A$3:$AI$142,16,FALSE)</f>
        <v>205278.46</v>
      </c>
      <c r="E19" s="104">
        <f>VLOOKUP(A19,IRData!$A$3:$AI$142,35,FALSE)</f>
        <v>62759.331958872361</v>
      </c>
      <c r="F19" s="104">
        <f t="shared" si="0"/>
        <v>52309.820931509319</v>
      </c>
      <c r="G19" s="104">
        <f t="shared" si="1"/>
        <v>10032.350787033061</v>
      </c>
      <c r="H19" s="104">
        <f t="shared" si="2"/>
        <v>62342.171718542377</v>
      </c>
      <c r="I19" s="105">
        <f t="shared" si="3"/>
        <v>0.99335301655850383</v>
      </c>
    </row>
    <row r="20" spans="1:9" s="48" customFormat="1" ht="12.75" customHeight="1" x14ac:dyDescent="0.2">
      <c r="A20" s="211">
        <v>552015</v>
      </c>
      <c r="B20" s="211" t="s">
        <v>206</v>
      </c>
      <c r="C20" s="212">
        <v>0.67810745952289497</v>
      </c>
      <c r="D20" s="104">
        <f>VLOOKUP(A20,IRData!$A$3:$AI$142,16,FALSE)</f>
        <v>77207.429999999993</v>
      </c>
      <c r="E20" s="104">
        <f>VLOOKUP(A20,IRData!$A$3:$AI$142,35,FALSE)</f>
        <v>30166.774695107506</v>
      </c>
      <c r="F20" s="104">
        <f t="shared" si="0"/>
        <v>20456.314950498905</v>
      </c>
      <c r="G20" s="104">
        <f t="shared" si="1"/>
        <v>3773.2747075621087</v>
      </c>
      <c r="H20" s="104">
        <f t="shared" si="2"/>
        <v>24229.589658061013</v>
      </c>
      <c r="I20" s="105">
        <f t="shared" si="3"/>
        <v>0.80318794113547065</v>
      </c>
    </row>
    <row r="21" spans="1:9" s="48" customFormat="1" ht="12.75" customHeight="1" x14ac:dyDescent="0.2">
      <c r="A21" s="211">
        <v>562015</v>
      </c>
      <c r="B21" s="211" t="s">
        <v>207</v>
      </c>
      <c r="C21" s="212">
        <v>0.82640433924688195</v>
      </c>
      <c r="D21" s="104">
        <f>VLOOKUP(A21,IRData!$A$3:$AI$142,16,FALSE)</f>
        <v>334997.81</v>
      </c>
      <c r="E21" s="104">
        <f>VLOOKUP(A21,IRData!$A$3:$AI$142,35,FALSE)</f>
        <v>121569.93311046877</v>
      </c>
      <c r="F21" s="104">
        <f t="shared" si="0"/>
        <v>100465.92024444458</v>
      </c>
      <c r="G21" s="104">
        <f t="shared" si="1"/>
        <v>16371.983416125844</v>
      </c>
      <c r="H21" s="104">
        <f t="shared" si="2"/>
        <v>116837.90366057043</v>
      </c>
      <c r="I21" s="105">
        <f t="shared" si="3"/>
        <v>0.96107565967319886</v>
      </c>
    </row>
    <row r="22" spans="1:9" s="48" customFormat="1" ht="12.75" customHeight="1" x14ac:dyDescent="0.2">
      <c r="A22" s="211">
        <v>622015</v>
      </c>
      <c r="B22" s="211" t="s">
        <v>208</v>
      </c>
      <c r="C22" s="212">
        <v>0.91251361868467695</v>
      </c>
      <c r="D22" s="104">
        <f>VLOOKUP(A22,IRData!$A$3:$AI$142,16,FALSE)</f>
        <v>232629.26</v>
      </c>
      <c r="E22" s="104">
        <f>VLOOKUP(A22,IRData!$A$3:$AI$142,35,FALSE)</f>
        <v>83472.461613293359</v>
      </c>
      <c r="F22" s="104">
        <f t="shared" si="0"/>
        <v>76169.758007264114</v>
      </c>
      <c r="G22" s="104">
        <f t="shared" si="1"/>
        <v>11369.036671689368</v>
      </c>
      <c r="H22" s="104">
        <f t="shared" si="2"/>
        <v>87538.794678953476</v>
      </c>
      <c r="I22" s="105">
        <f t="shared" si="3"/>
        <v>1.0487146657360891</v>
      </c>
    </row>
    <row r="23" spans="1:9" s="48" customFormat="1" ht="12.75" customHeight="1" x14ac:dyDescent="0.2">
      <c r="A23" s="211">
        <v>632015</v>
      </c>
      <c r="B23" s="211" t="s">
        <v>209</v>
      </c>
      <c r="C23" s="212">
        <v>0.80638394857491502</v>
      </c>
      <c r="D23" s="104">
        <f>VLOOKUP(A23,IRData!$A$3:$AI$142,16,FALSE)</f>
        <v>96621.65</v>
      </c>
      <c r="E23" s="104">
        <f>VLOOKUP(A23,IRData!$A$3:$AI$142,35,FALSE)</f>
        <v>40122.822065037748</v>
      </c>
      <c r="F23" s="104">
        <f t="shared" si="0"/>
        <v>32354.399684773864</v>
      </c>
      <c r="G23" s="104">
        <f t="shared" si="1"/>
        <v>4722.0847546397854</v>
      </c>
      <c r="H23" s="104">
        <f t="shared" si="2"/>
        <v>37076.484439413645</v>
      </c>
      <c r="I23" s="105">
        <f t="shared" si="3"/>
        <v>0.92407469193751901</v>
      </c>
    </row>
    <row r="24" spans="1:9" s="48" customFormat="1" ht="12.75" customHeight="1" x14ac:dyDescent="0.2">
      <c r="A24" s="211">
        <v>652015</v>
      </c>
      <c r="B24" s="211" t="s">
        <v>210</v>
      </c>
      <c r="C24" s="212">
        <v>0.74931733541064605</v>
      </c>
      <c r="D24" s="104">
        <f>VLOOKUP(A24,IRData!$A$3:$AI$142,16,FALSE)</f>
        <v>128463.92</v>
      </c>
      <c r="E24" s="104">
        <f>VLOOKUP(A24,IRData!$A$3:$AI$142,35,FALSE)</f>
        <v>57256.393090534497</v>
      </c>
      <c r="F24" s="104">
        <f t="shared" si="0"/>
        <v>42903.207905823838</v>
      </c>
      <c r="G24" s="104">
        <f t="shared" si="1"/>
        <v>6278.2773648893908</v>
      </c>
      <c r="H24" s="104">
        <f t="shared" si="2"/>
        <v>49181.48527071323</v>
      </c>
      <c r="I24" s="105">
        <f t="shared" si="3"/>
        <v>0.85896932405341841</v>
      </c>
    </row>
    <row r="25" spans="1:9" s="48" customFormat="1" ht="12.75" customHeight="1" x14ac:dyDescent="0.2">
      <c r="A25" s="211">
        <v>712015</v>
      </c>
      <c r="B25" s="211" t="s">
        <v>211</v>
      </c>
      <c r="C25" s="212">
        <v>0.69384636260899502</v>
      </c>
      <c r="D25" s="104">
        <f>VLOOKUP(A25,IRData!$A$3:$AI$142,16,FALSE)</f>
        <v>879760.5</v>
      </c>
      <c r="E25" s="104">
        <f>VLOOKUP(A25,IRData!$A$3:$AI$142,35,FALSE)</f>
        <v>361022.76384744473</v>
      </c>
      <c r="F25" s="104">
        <f t="shared" si="0"/>
        <v>250494.33151459572</v>
      </c>
      <c r="G25" s="104">
        <f t="shared" si="1"/>
        <v>42995.577541723571</v>
      </c>
      <c r="H25" s="104">
        <f t="shared" si="2"/>
        <v>293489.90905631927</v>
      </c>
      <c r="I25" s="105">
        <f t="shared" si="3"/>
        <v>0.81294017565146548</v>
      </c>
    </row>
    <row r="26" spans="1:9" s="48" customFormat="1" ht="12.75" customHeight="1" x14ac:dyDescent="0.2">
      <c r="A26" s="211">
        <v>722015</v>
      </c>
      <c r="B26" s="211" t="s">
        <v>212</v>
      </c>
      <c r="C26" s="212">
        <v>0.75203698906604399</v>
      </c>
      <c r="D26" s="104">
        <f>VLOOKUP(A26,IRData!$A$3:$AI$142,16,FALSE)</f>
        <v>60093.99</v>
      </c>
      <c r="E26" s="104">
        <f>VLOOKUP(A26,IRData!$A$3:$AI$142,35,FALSE)</f>
        <v>32870.806265128711</v>
      </c>
      <c r="F26" s="104">
        <f t="shared" si="0"/>
        <v>24720.062171800651</v>
      </c>
      <c r="G26" s="104">
        <f t="shared" si="1"/>
        <v>2936.9081776648991</v>
      </c>
      <c r="H26" s="104">
        <f t="shared" si="2"/>
        <v>27656.970349465551</v>
      </c>
      <c r="I26" s="105">
        <f t="shared" si="3"/>
        <v>0.84138399668053465</v>
      </c>
    </row>
    <row r="27" spans="1:9" s="48" customFormat="1" ht="12.75" customHeight="1" x14ac:dyDescent="0.2">
      <c r="A27" s="211">
        <v>822015</v>
      </c>
      <c r="B27" s="211" t="s">
        <v>213</v>
      </c>
      <c r="C27" s="212">
        <v>0.82651510280623697</v>
      </c>
      <c r="D27" s="104">
        <f>VLOOKUP(A27,IRData!$A$3:$AI$142,16,FALSE)</f>
        <v>100639.43</v>
      </c>
      <c r="E27" s="104">
        <f>VLOOKUP(A27,IRData!$A$3:$AI$142,35,FALSE)</f>
        <v>31951.745900524962</v>
      </c>
      <c r="F27" s="104">
        <f t="shared" si="0"/>
        <v>26408.600547811151</v>
      </c>
      <c r="G27" s="104">
        <f t="shared" si="1"/>
        <v>4918.4413443429894</v>
      </c>
      <c r="H27" s="104">
        <f t="shared" si="2"/>
        <v>31327.041892154142</v>
      </c>
      <c r="I27" s="105">
        <f t="shared" si="3"/>
        <v>0.98044851726363547</v>
      </c>
    </row>
    <row r="28" spans="1:9" s="48" customFormat="1" ht="12.75" customHeight="1" x14ac:dyDescent="0.2">
      <c r="A28" s="211">
        <v>842015</v>
      </c>
      <c r="B28" s="211" t="s">
        <v>214</v>
      </c>
      <c r="C28" s="212">
        <v>0.85239524353169005</v>
      </c>
      <c r="D28" s="104">
        <f>VLOOKUP(A28,IRData!$A$3:$AI$142,16,FALSE)</f>
        <v>79089.06</v>
      </c>
      <c r="E28" s="104">
        <f>VLOOKUP(A28,IRData!$A$3:$AI$142,35,FALSE)</f>
        <v>26845.902983959957</v>
      </c>
      <c r="F28" s="104">
        <f t="shared" si="0"/>
        <v>22883.320011840671</v>
      </c>
      <c r="G28" s="104">
        <f t="shared" si="1"/>
        <v>3865.2335629208496</v>
      </c>
      <c r="H28" s="104">
        <f t="shared" si="2"/>
        <v>26748.553574761521</v>
      </c>
      <c r="I28" s="105">
        <f t="shared" si="3"/>
        <v>0.99637377035681751</v>
      </c>
    </row>
    <row r="29" spans="1:9" s="48" customFormat="1" ht="12.75" customHeight="1" x14ac:dyDescent="0.2">
      <c r="A29" s="211">
        <v>862015</v>
      </c>
      <c r="B29" s="211" t="s">
        <v>215</v>
      </c>
      <c r="C29" s="212">
        <v>0.82116529564655805</v>
      </c>
      <c r="D29" s="104">
        <f>VLOOKUP(A29,IRData!$A$3:$AI$142,16,FALSE)</f>
        <v>428094.56</v>
      </c>
      <c r="E29" s="104">
        <f>VLOOKUP(A29,IRData!$A$3:$AI$142,35,FALSE)</f>
        <v>135936.43682073482</v>
      </c>
      <c r="F29" s="104">
        <f t="shared" si="0"/>
        <v>111626.28433103836</v>
      </c>
      <c r="G29" s="104">
        <f t="shared" si="1"/>
        <v>20921.799568939539</v>
      </c>
      <c r="H29" s="104">
        <f t="shared" si="2"/>
        <v>132548.08389997791</v>
      </c>
      <c r="I29" s="105">
        <f t="shared" si="3"/>
        <v>0.97507399046198873</v>
      </c>
    </row>
    <row r="30" spans="1:9" s="48" customFormat="1" ht="12.75" customHeight="1" x14ac:dyDescent="0.2">
      <c r="A30" s="211">
        <v>882015</v>
      </c>
      <c r="B30" s="211" t="s">
        <v>164</v>
      </c>
      <c r="C30" s="212">
        <v>0.81740063034753097</v>
      </c>
      <c r="D30" s="104">
        <f>VLOOKUP(A30,IRData!$A$3:$AI$142,16,FALSE)</f>
        <v>125043.05</v>
      </c>
      <c r="E30" s="104">
        <f>VLOOKUP(A30,IRData!$A$3:$AI$142,35,FALSE)</f>
        <v>40047.486830525355</v>
      </c>
      <c r="F30" s="104">
        <f t="shared" si="0"/>
        <v>32734.840979105869</v>
      </c>
      <c r="G30" s="104">
        <f t="shared" si="1"/>
        <v>6111.0929080455617</v>
      </c>
      <c r="H30" s="104">
        <f t="shared" si="2"/>
        <v>38845.933887151434</v>
      </c>
      <c r="I30" s="105">
        <f t="shared" si="3"/>
        <v>0.96999679534302108</v>
      </c>
    </row>
    <row r="31" spans="1:9" s="48" customFormat="1" ht="12.75" customHeight="1" x14ac:dyDescent="0.2">
      <c r="A31" s="211">
        <v>912015</v>
      </c>
      <c r="B31" s="211" t="s">
        <v>216</v>
      </c>
      <c r="C31" s="212">
        <v>0.72506028417937896</v>
      </c>
      <c r="D31" s="104">
        <f>VLOOKUP(A31,IRData!$A$3:$AI$142,16,FALSE)</f>
        <v>133480.59</v>
      </c>
      <c r="E31" s="104">
        <f>VLOOKUP(A31,IRData!$A$3:$AI$142,35,FALSE)</f>
        <v>35010.329778514024</v>
      </c>
      <c r="F31" s="104">
        <f t="shared" si="0"/>
        <v>25384.599658423151</v>
      </c>
      <c r="G31" s="104">
        <f t="shared" si="1"/>
        <v>6523.4516185484699</v>
      </c>
      <c r="H31" s="104">
        <f t="shared" si="2"/>
        <v>31908.051276971622</v>
      </c>
      <c r="I31" s="105">
        <f t="shared" si="3"/>
        <v>0.91138962354344111</v>
      </c>
    </row>
    <row r="32" spans="1:9" s="48" customFormat="1" ht="12.75" customHeight="1" x14ac:dyDescent="0.2">
      <c r="A32" s="211">
        <v>932015</v>
      </c>
      <c r="B32" s="211" t="s">
        <v>217</v>
      </c>
      <c r="C32" s="212">
        <v>0.70896732194752499</v>
      </c>
      <c r="D32" s="104">
        <f>VLOOKUP(A32,IRData!$A$3:$AI$142,16,FALSE)</f>
        <v>121796.91</v>
      </c>
      <c r="E32" s="104">
        <f>VLOOKUP(A32,IRData!$A$3:$AI$142,35,FALSE)</f>
        <v>53950.980667974254</v>
      </c>
      <c r="F32" s="104">
        <f t="shared" si="0"/>
        <v>38249.482280616401</v>
      </c>
      <c r="G32" s="104">
        <f t="shared" si="1"/>
        <v>5952.4478403466937</v>
      </c>
      <c r="H32" s="104">
        <f t="shared" si="2"/>
        <v>44201.930120963094</v>
      </c>
      <c r="I32" s="105">
        <f t="shared" si="3"/>
        <v>0.81929799187508978</v>
      </c>
    </row>
    <row r="33" spans="1:9" s="48" customFormat="1" ht="12.75" customHeight="1" x14ac:dyDescent="0.2">
      <c r="A33" s="211">
        <v>952015</v>
      </c>
      <c r="B33" s="211" t="s">
        <v>218</v>
      </c>
      <c r="C33" s="212">
        <v>0.95640179122052804</v>
      </c>
      <c r="D33" s="104">
        <f>VLOOKUP(A33,IRData!$A$3:$AI$142,16,FALSE)</f>
        <v>27828.53</v>
      </c>
      <c r="E33" s="104">
        <f>VLOOKUP(A33,IRData!$A$3:$AI$142,35,FALSE)</f>
        <v>13867.147707209822</v>
      </c>
      <c r="F33" s="104">
        <f t="shared" si="0"/>
        <v>13262.564906295112</v>
      </c>
      <c r="G33" s="104">
        <f t="shared" si="1"/>
        <v>1360.033463069984</v>
      </c>
      <c r="H33" s="104">
        <f t="shared" si="2"/>
        <v>14622.598369365096</v>
      </c>
      <c r="I33" s="105">
        <f t="shared" si="3"/>
        <v>1.0544777252039004</v>
      </c>
    </row>
    <row r="34" spans="1:9" s="48" customFormat="1" ht="12.75" customHeight="1" x14ac:dyDescent="0.2">
      <c r="A34" s="211">
        <v>962015</v>
      </c>
      <c r="B34" s="211" t="s">
        <v>219</v>
      </c>
      <c r="C34" s="212">
        <v>0.71277732289426199</v>
      </c>
      <c r="D34" s="104">
        <f>VLOOKUP(A34,IRData!$A$3:$AI$142,16,FALSE)</f>
        <v>133361.41</v>
      </c>
      <c r="E34" s="104">
        <f>VLOOKUP(A34,IRData!$A$3:$AI$142,35,FALSE)</f>
        <v>47525.207977946098</v>
      </c>
      <c r="F34" s="104">
        <f t="shared" si="0"/>
        <v>33874.890512513441</v>
      </c>
      <c r="G34" s="104">
        <f t="shared" si="1"/>
        <v>6517.627064102775</v>
      </c>
      <c r="H34" s="104">
        <f t="shared" si="2"/>
        <v>40392.517576616214</v>
      </c>
      <c r="I34" s="105">
        <f t="shared" si="3"/>
        <v>0.84991774460745584</v>
      </c>
    </row>
    <row r="35" spans="1:9" s="48" customFormat="1" ht="12.75" customHeight="1" x14ac:dyDescent="0.2">
      <c r="A35" s="211">
        <v>972015</v>
      </c>
      <c r="B35" s="211" t="s">
        <v>220</v>
      </c>
      <c r="C35" s="212">
        <v>0.68140546668595103</v>
      </c>
      <c r="D35" s="104">
        <f>VLOOKUP(A35,IRData!$A$3:$AI$142,16,FALSE)</f>
        <v>132532.20000000001</v>
      </c>
      <c r="E35" s="104">
        <f>VLOOKUP(A35,IRData!$A$3:$AI$142,35,FALSE)</f>
        <v>51762.532501112903</v>
      </c>
      <c r="F35" s="104">
        <f t="shared" si="0"/>
        <v>35271.272615767542</v>
      </c>
      <c r="G35" s="104">
        <f t="shared" si="1"/>
        <v>6477.1019861373825</v>
      </c>
      <c r="H35" s="104">
        <f t="shared" si="2"/>
        <v>41748.374601904929</v>
      </c>
      <c r="I35" s="105">
        <f t="shared" si="3"/>
        <v>0.80653655423461612</v>
      </c>
    </row>
    <row r="36" spans="1:9" s="48" customFormat="1" ht="12.75" customHeight="1" x14ac:dyDescent="0.2">
      <c r="A36" s="211">
        <v>1022015</v>
      </c>
      <c r="B36" s="211" t="s">
        <v>221</v>
      </c>
      <c r="C36" s="212">
        <v>0.829649502064017</v>
      </c>
      <c r="D36" s="104">
        <f>VLOOKUP(A36,IRData!$A$3:$AI$142,16,FALSE)</f>
        <v>88143.71</v>
      </c>
      <c r="E36" s="104">
        <f>VLOOKUP(A36,IRData!$A$3:$AI$142,35,FALSE)</f>
        <v>55815.434633576195</v>
      </c>
      <c r="F36" s="104">
        <f t="shared" ref="F36:F67" si="4">C36*E36</f>
        <v>46307.24755123318</v>
      </c>
      <c r="G36" s="104">
        <f t="shared" ref="G36:G67" si="5">(D36/$D$3)*$I$2</f>
        <v>4307.7516189010476</v>
      </c>
      <c r="H36" s="104">
        <f t="shared" ref="H36:H67" si="6">F36+G36</f>
        <v>50614.99917013423</v>
      </c>
      <c r="I36" s="105">
        <f t="shared" ref="I36:I67" si="7">H36/E36</f>
        <v>0.9068280038024894</v>
      </c>
    </row>
    <row r="37" spans="1:9" s="48" customFormat="1" ht="12.75" customHeight="1" x14ac:dyDescent="0.2">
      <c r="A37" s="211">
        <v>1032015</v>
      </c>
      <c r="B37" s="211" t="s">
        <v>222</v>
      </c>
      <c r="C37" s="212">
        <v>0.56820636036596095</v>
      </c>
      <c r="D37" s="104">
        <f>VLOOKUP(A37,IRData!$A$3:$AI$142,16,FALSE)</f>
        <v>82013.009999999995</v>
      </c>
      <c r="E37" s="104">
        <f>VLOOKUP(A37,IRData!$A$3:$AI$142,35,FALSE)</f>
        <v>49871.629385435452</v>
      </c>
      <c r="F37" s="104">
        <f t="shared" si="4"/>
        <v>28337.377018618383</v>
      </c>
      <c r="G37" s="104">
        <f t="shared" si="5"/>
        <v>4008.132589363981</v>
      </c>
      <c r="H37" s="104">
        <f t="shared" si="6"/>
        <v>32345.509607982363</v>
      </c>
      <c r="I37" s="105">
        <f t="shared" si="7"/>
        <v>0.64857535249146225</v>
      </c>
    </row>
    <row r="38" spans="1:9" s="48" customFormat="1" ht="12.75" customHeight="1" x14ac:dyDescent="0.2">
      <c r="A38" s="211">
        <v>1042015</v>
      </c>
      <c r="B38" s="211" t="s">
        <v>223</v>
      </c>
      <c r="C38" s="212">
        <v>0.88208106946480302</v>
      </c>
      <c r="D38" s="104">
        <f>VLOOKUP(A38,IRData!$A$3:$AI$142,16,FALSE)</f>
        <v>42475.55</v>
      </c>
      <c r="E38" s="104">
        <f>VLOOKUP(A38,IRData!$A$3:$AI$142,35,FALSE)</f>
        <v>25237.139871438638</v>
      </c>
      <c r="F38" s="104">
        <f t="shared" si="4"/>
        <v>22261.203328031414</v>
      </c>
      <c r="G38" s="104">
        <f t="shared" si="5"/>
        <v>2075.8613323198265</v>
      </c>
      <c r="H38" s="104">
        <f t="shared" si="6"/>
        <v>24337.06466035124</v>
      </c>
      <c r="I38" s="105">
        <f t="shared" si="7"/>
        <v>0.96433529252234995</v>
      </c>
    </row>
    <row r="39" spans="1:9" s="48" customFormat="1" ht="12.75" customHeight="1" x14ac:dyDescent="0.2">
      <c r="A39" s="211">
        <v>1062015</v>
      </c>
      <c r="B39" s="211" t="s">
        <v>166</v>
      </c>
      <c r="C39" s="212">
        <v>0.73865345541121596</v>
      </c>
      <c r="D39" s="104">
        <f>VLOOKUP(A39,IRData!$A$3:$AI$142,16,FALSE)</f>
        <v>23185.56</v>
      </c>
      <c r="E39" s="104">
        <f>VLOOKUP(A39,IRData!$A$3:$AI$142,35,FALSE)</f>
        <v>17062.979593235228</v>
      </c>
      <c r="F39" s="104">
        <f t="shared" si="4"/>
        <v>12603.628836154265</v>
      </c>
      <c r="G39" s="104">
        <f t="shared" si="5"/>
        <v>1133.122642842324</v>
      </c>
      <c r="H39" s="104">
        <f t="shared" si="6"/>
        <v>13736.751478996588</v>
      </c>
      <c r="I39" s="105">
        <f t="shared" si="7"/>
        <v>0.80506170706801095</v>
      </c>
    </row>
    <row r="40" spans="1:9" s="48" customFormat="1" ht="12.75" customHeight="1" x14ac:dyDescent="0.2">
      <c r="A40" s="211">
        <v>1162015</v>
      </c>
      <c r="B40" s="211" t="s">
        <v>224</v>
      </c>
      <c r="C40" s="212">
        <v>0.72799770061253699</v>
      </c>
      <c r="D40" s="104">
        <f>VLOOKUP(A40,IRData!$A$3:$AI$142,16,FALSE)</f>
        <v>78558.81</v>
      </c>
      <c r="E40" s="104">
        <f>VLOOKUP(A40,IRData!$A$3:$AI$142,35,FALSE)</f>
        <v>41208.808704277981</v>
      </c>
      <c r="F40" s="104">
        <f t="shared" si="4"/>
        <v>29999.917981696271</v>
      </c>
      <c r="G40" s="104">
        <f t="shared" si="5"/>
        <v>3839.3192317005919</v>
      </c>
      <c r="H40" s="104">
        <f t="shared" si="6"/>
        <v>33839.23721339686</v>
      </c>
      <c r="I40" s="105">
        <f t="shared" si="7"/>
        <v>0.82116514108023542</v>
      </c>
    </row>
    <row r="41" spans="1:9" s="48" customFormat="1" ht="12.75" customHeight="1" x14ac:dyDescent="0.2">
      <c r="A41" s="211">
        <v>1192015</v>
      </c>
      <c r="B41" s="211" t="s">
        <v>225</v>
      </c>
      <c r="C41" s="212">
        <v>0.87288743857661</v>
      </c>
      <c r="D41" s="104">
        <f>VLOOKUP(A41,IRData!$A$3:$AI$142,16,FALSE)</f>
        <v>79220.36</v>
      </c>
      <c r="E41" s="104">
        <f>VLOOKUP(A41,IRData!$A$3:$AI$142,35,FALSE)</f>
        <v>32469.136895299442</v>
      </c>
      <c r="F41" s="104">
        <f t="shared" si="4"/>
        <v>28341.901737331234</v>
      </c>
      <c r="G41" s="104">
        <f t="shared" si="5"/>
        <v>3871.6504449372937</v>
      </c>
      <c r="H41" s="104">
        <f t="shared" si="6"/>
        <v>32213.55218226853</v>
      </c>
      <c r="I41" s="105">
        <f t="shared" si="7"/>
        <v>0.99212837982558411</v>
      </c>
    </row>
    <row r="42" spans="1:9" s="48" customFormat="1" ht="12.75" customHeight="1" x14ac:dyDescent="0.2">
      <c r="A42" s="211">
        <v>1322015</v>
      </c>
      <c r="B42" s="211" t="s">
        <v>227</v>
      </c>
      <c r="C42" s="212">
        <v>0.98349836170630001</v>
      </c>
      <c r="D42" s="104">
        <f>VLOOKUP(A42,IRData!$A$3:$AI$142,16,FALSE)</f>
        <v>94052.21</v>
      </c>
      <c r="E42" s="104">
        <f>VLOOKUP(A42,IRData!$A$3:$AI$142,35,FALSE)</f>
        <v>51137.261401470772</v>
      </c>
      <c r="F42" s="104">
        <f t="shared" si="4"/>
        <v>50293.412810493319</v>
      </c>
      <c r="G42" s="104">
        <f t="shared" si="5"/>
        <v>4596.511309641055</v>
      </c>
      <c r="H42" s="104">
        <f t="shared" si="6"/>
        <v>54889.924120134376</v>
      </c>
      <c r="I42" s="105">
        <f t="shared" si="7"/>
        <v>1.0733841159228694</v>
      </c>
    </row>
    <row r="43" spans="1:9" s="48" customFormat="1" ht="12.75" customHeight="1" x14ac:dyDescent="0.2">
      <c r="A43" s="211">
        <v>1332015</v>
      </c>
      <c r="B43" s="211" t="s">
        <v>228</v>
      </c>
      <c r="C43" s="212">
        <v>0.88560773878657995</v>
      </c>
      <c r="D43" s="104">
        <f>VLOOKUP(A43,IRData!$A$3:$AI$142,16,FALSE)</f>
        <v>143227.09</v>
      </c>
      <c r="E43" s="104">
        <f>VLOOKUP(A43,IRData!$A$3:$AI$142,35,FALSE)</f>
        <v>69566.372569102823</v>
      </c>
      <c r="F43" s="104">
        <f t="shared" si="4"/>
        <v>61608.517906507914</v>
      </c>
      <c r="G43" s="104">
        <f t="shared" si="5"/>
        <v>6999.7817066922426</v>
      </c>
      <c r="H43" s="104">
        <f t="shared" si="6"/>
        <v>68608.299613200157</v>
      </c>
      <c r="I43" s="105">
        <f t="shared" si="7"/>
        <v>0.98622792995349906</v>
      </c>
    </row>
    <row r="44" spans="1:9" s="48" customFormat="1" ht="12.75" customHeight="1" x14ac:dyDescent="0.2">
      <c r="A44" s="211">
        <v>1352015</v>
      </c>
      <c r="B44" s="211" t="s">
        <v>167</v>
      </c>
      <c r="C44" s="212">
        <v>0.79969768817457598</v>
      </c>
      <c r="D44" s="104">
        <f>VLOOKUP(A44,IRData!$A$3:$AI$142,16,FALSE)</f>
        <v>188413.48</v>
      </c>
      <c r="E44" s="104">
        <f>VLOOKUP(A44,IRData!$A$3:$AI$142,35,FALSE)</f>
        <v>80187.692731925272</v>
      </c>
      <c r="F44" s="104">
        <f t="shared" si="4"/>
        <v>64125.91249777389</v>
      </c>
      <c r="G44" s="104">
        <f t="shared" si="5"/>
        <v>9208.126972336202</v>
      </c>
      <c r="H44" s="104">
        <f t="shared" si="6"/>
        <v>73334.039470110089</v>
      </c>
      <c r="I44" s="105">
        <f t="shared" si="7"/>
        <v>0.91452986077642151</v>
      </c>
    </row>
    <row r="45" spans="1:9" s="48" customFormat="1" ht="12.75" customHeight="1" x14ac:dyDescent="0.2">
      <c r="A45" s="211">
        <v>1382015</v>
      </c>
      <c r="B45" s="211" t="s">
        <v>229</v>
      </c>
      <c r="C45" s="212">
        <v>0.72591966283930098</v>
      </c>
      <c r="D45" s="104">
        <f>VLOOKUP(A45,IRData!$A$3:$AI$142,16,FALSE)</f>
        <v>25424.73</v>
      </c>
      <c r="E45" s="104">
        <f>VLOOKUP(A45,IRData!$A$3:$AI$142,35,FALSE)</f>
        <v>21916.105408373955</v>
      </c>
      <c r="F45" s="104">
        <f t="shared" si="4"/>
        <v>15909.331848797401</v>
      </c>
      <c r="G45" s="104">
        <f t="shared" si="5"/>
        <v>1242.5551615381521</v>
      </c>
      <c r="H45" s="104">
        <f t="shared" si="6"/>
        <v>17151.887010335555</v>
      </c>
      <c r="I45" s="105">
        <f t="shared" si="7"/>
        <v>0.78261564683759766</v>
      </c>
    </row>
    <row r="46" spans="1:9" s="48" customFormat="1" ht="12.75" customHeight="1" x14ac:dyDescent="0.2">
      <c r="A46" s="211">
        <v>1462015</v>
      </c>
      <c r="B46" s="211" t="s">
        <v>230</v>
      </c>
      <c r="C46" s="212">
        <v>0.83191570915572199</v>
      </c>
      <c r="D46" s="104">
        <f>VLOOKUP(A46,IRData!$A$3:$AI$142,16,FALSE)</f>
        <v>140385.96</v>
      </c>
      <c r="E46" s="104">
        <f>VLOOKUP(A46,IRData!$A$3:$AI$142,35,FALSE)</f>
        <v>34807.712702650337</v>
      </c>
      <c r="F46" s="104">
        <f t="shared" si="4"/>
        <v>28957.082997113986</v>
      </c>
      <c r="G46" s="104">
        <f t="shared" si="5"/>
        <v>6860.9302519825605</v>
      </c>
      <c r="H46" s="104">
        <f t="shared" si="6"/>
        <v>35818.013249096548</v>
      </c>
      <c r="I46" s="105">
        <f t="shared" si="7"/>
        <v>1.0290251920623696</v>
      </c>
    </row>
    <row r="47" spans="1:9" s="48" customFormat="1" ht="12.75" customHeight="1" x14ac:dyDescent="0.2">
      <c r="A47" s="211">
        <v>1472015</v>
      </c>
      <c r="B47" s="211" t="s">
        <v>168</v>
      </c>
      <c r="C47" s="212">
        <v>0.70437418685825104</v>
      </c>
      <c r="D47" s="104">
        <f>VLOOKUP(A47,IRData!$A$3:$AI$142,16,FALSE)</f>
        <v>18049.71</v>
      </c>
      <c r="E47" s="104">
        <f>VLOOKUP(A47,IRData!$A$3:$AI$142,35,FALSE)</f>
        <v>11623.761590274053</v>
      </c>
      <c r="F47" s="104">
        <f t="shared" si="4"/>
        <v>8187.4776183834565</v>
      </c>
      <c r="G47" s="104">
        <f t="shared" si="5"/>
        <v>882.1238347375488</v>
      </c>
      <c r="H47" s="104">
        <f t="shared" si="6"/>
        <v>9069.6014531210058</v>
      </c>
      <c r="I47" s="105">
        <f t="shared" si="7"/>
        <v>0.78026389157102216</v>
      </c>
    </row>
    <row r="48" spans="1:9" s="48" customFormat="1" ht="12.75" customHeight="1" x14ac:dyDescent="0.2">
      <c r="A48" s="211">
        <v>1492015</v>
      </c>
      <c r="B48" s="211" t="s">
        <v>231</v>
      </c>
      <c r="C48" s="212">
        <v>0.798908375475054</v>
      </c>
      <c r="D48" s="104">
        <f>VLOOKUP(A48,IRData!$A$3:$AI$142,16,FALSE)</f>
        <v>100136.45</v>
      </c>
      <c r="E48" s="104">
        <f>VLOOKUP(A48,IRData!$A$3:$AI$142,35,FALSE)</f>
        <v>33099.722043622278</v>
      </c>
      <c r="F48" s="104">
        <f t="shared" si="4"/>
        <v>26443.64516654611</v>
      </c>
      <c r="G48" s="104">
        <f t="shared" si="5"/>
        <v>4893.8597501569175</v>
      </c>
      <c r="H48" s="104">
        <f t="shared" si="6"/>
        <v>31337.504916703027</v>
      </c>
      <c r="I48" s="105">
        <f t="shared" si="7"/>
        <v>0.94676036479711767</v>
      </c>
    </row>
    <row r="49" spans="1:9" s="48" customFormat="1" ht="12.75" customHeight="1" x14ac:dyDescent="0.2">
      <c r="A49" s="211">
        <v>1532015</v>
      </c>
      <c r="B49" s="211" t="s">
        <v>233</v>
      </c>
      <c r="C49" s="212">
        <v>0.78773588988090204</v>
      </c>
      <c r="D49" s="104">
        <f>VLOOKUP(A49,IRData!$A$3:$AI$142,16,FALSE)</f>
        <v>113905.78</v>
      </c>
      <c r="E49" s="104">
        <f>VLOOKUP(A49,IRData!$A$3:$AI$142,35,FALSE)</f>
        <v>34988.263675945855</v>
      </c>
      <c r="F49" s="104">
        <f t="shared" si="4"/>
        <v>27561.511022158847</v>
      </c>
      <c r="G49" s="104">
        <f t="shared" si="5"/>
        <v>5566.7932311583727</v>
      </c>
      <c r="H49" s="104">
        <f t="shared" si="6"/>
        <v>33128.304253317219</v>
      </c>
      <c r="I49" s="105">
        <f t="shared" si="7"/>
        <v>0.94684047657079529</v>
      </c>
    </row>
    <row r="50" spans="1:9" s="48" customFormat="1" ht="12.75" customHeight="1" x14ac:dyDescent="0.2">
      <c r="A50" s="211">
        <v>1572015</v>
      </c>
      <c r="B50" s="211" t="s">
        <v>234</v>
      </c>
      <c r="C50" s="212">
        <v>0.85818629916144396</v>
      </c>
      <c r="D50" s="104">
        <f>VLOOKUP(A50,IRData!$A$3:$AI$142,16,FALSE)</f>
        <v>68756.759999999995</v>
      </c>
      <c r="E50" s="104">
        <f>VLOOKUP(A50,IRData!$A$3:$AI$142,35,FALSE)</f>
        <v>24264.872858210147</v>
      </c>
      <c r="F50" s="104">
        <f t="shared" si="4"/>
        <v>20823.781437810336</v>
      </c>
      <c r="G50" s="104">
        <f t="shared" si="5"/>
        <v>3360.2743088575553</v>
      </c>
      <c r="H50" s="104">
        <f t="shared" si="6"/>
        <v>24184.055746667891</v>
      </c>
      <c r="I50" s="105">
        <f t="shared" si="7"/>
        <v>0.99666937832254454</v>
      </c>
    </row>
    <row r="51" spans="1:9" s="48" customFormat="1" ht="12.75" customHeight="1" x14ac:dyDescent="0.2">
      <c r="A51" s="211">
        <v>1612015</v>
      </c>
      <c r="B51" s="211" t="s">
        <v>170</v>
      </c>
      <c r="C51" s="212">
        <v>0.76099452237769505</v>
      </c>
      <c r="D51" s="104">
        <f>VLOOKUP(A51,IRData!$A$3:$AI$142,16,FALSE)</f>
        <v>35891.360000000001</v>
      </c>
      <c r="E51" s="104">
        <f>VLOOKUP(A51,IRData!$A$3:$AI$142,35,FALSE)</f>
        <v>25132.538013837097</v>
      </c>
      <c r="F51" s="104">
        <f t="shared" si="4"/>
        <v>19125.723761979225</v>
      </c>
      <c r="G51" s="104">
        <f t="shared" si="5"/>
        <v>1754.0793795105778</v>
      </c>
      <c r="H51" s="104">
        <f t="shared" si="6"/>
        <v>20879.803141489803</v>
      </c>
      <c r="I51" s="105">
        <f t="shared" si="7"/>
        <v>0.83078768765789246</v>
      </c>
    </row>
    <row r="52" spans="1:9" ht="12.75" customHeight="1" x14ac:dyDescent="0.2">
      <c r="A52" s="211">
        <v>1622015</v>
      </c>
      <c r="B52" s="211" t="s">
        <v>171</v>
      </c>
      <c r="C52" s="212">
        <v>0.76913457303240096</v>
      </c>
      <c r="D52" s="104">
        <f>VLOOKUP(A52,IRData!$A$3:$AI$142,16,FALSE)</f>
        <v>88929.49</v>
      </c>
      <c r="E52" s="104">
        <f>VLOOKUP(A52,IRData!$A$3:$AI$142,35,FALSE)</f>
        <v>41388.390598759972</v>
      </c>
      <c r="F52" s="104">
        <f t="shared" si="4"/>
        <v>31833.242131675488</v>
      </c>
      <c r="G52" s="104">
        <f t="shared" si="5"/>
        <v>4346.1541897379248</v>
      </c>
      <c r="H52" s="104">
        <f t="shared" si="6"/>
        <v>36179.396321413413</v>
      </c>
      <c r="I52" s="105">
        <f t="shared" si="7"/>
        <v>0.87414358949481297</v>
      </c>
    </row>
    <row r="53" spans="1:9" s="48" customFormat="1" ht="12.75" customHeight="1" x14ac:dyDescent="0.2">
      <c r="A53" s="211">
        <v>1632015</v>
      </c>
      <c r="B53" s="211" t="s">
        <v>235</v>
      </c>
      <c r="C53" s="212">
        <v>0.73329008683203201</v>
      </c>
      <c r="D53" s="104">
        <f>VLOOKUP(A53,IRData!$A$3:$AI$142,16,FALSE)</f>
        <v>75462.149999999994</v>
      </c>
      <c r="E53" s="104">
        <f>VLOOKUP(A53,IRData!$A$3:$AI$142,35,FALSE)</f>
        <v>28503.021200398052</v>
      </c>
      <c r="F53" s="104">
        <f t="shared" si="4"/>
        <v>20900.982891015137</v>
      </c>
      <c r="G53" s="104">
        <f t="shared" si="5"/>
        <v>3687.9795373742913</v>
      </c>
      <c r="H53" s="104">
        <f t="shared" si="6"/>
        <v>24588.96242838943</v>
      </c>
      <c r="I53" s="105">
        <f t="shared" si="7"/>
        <v>0.86267916146538315</v>
      </c>
    </row>
    <row r="54" spans="1:9" s="48" customFormat="1" ht="12.75" customHeight="1" x14ac:dyDescent="0.2">
      <c r="A54" s="211">
        <v>1642015</v>
      </c>
      <c r="B54" s="211" t="s">
        <v>236</v>
      </c>
      <c r="C54" s="212">
        <v>0.68117332331451697</v>
      </c>
      <c r="D54" s="104">
        <f>VLOOKUP(A54,IRData!$A$3:$AI$142,16,FALSE)</f>
        <v>141330.31</v>
      </c>
      <c r="E54" s="104">
        <f>VLOOKUP(A54,IRData!$A$3:$AI$142,35,FALSE)</f>
        <v>55022.849108966475</v>
      </c>
      <c r="F54" s="104">
        <f t="shared" si="4"/>
        <v>37480.096985787903</v>
      </c>
      <c r="G54" s="104">
        <f t="shared" si="5"/>
        <v>6907.0824418700658</v>
      </c>
      <c r="H54" s="104">
        <f t="shared" si="6"/>
        <v>44387.179427657968</v>
      </c>
      <c r="I54" s="105">
        <f t="shared" si="7"/>
        <v>0.80670448997932154</v>
      </c>
    </row>
    <row r="55" spans="1:9" s="48" customFormat="1" ht="12.75" customHeight="1" x14ac:dyDescent="0.2">
      <c r="A55" s="211">
        <v>1682015</v>
      </c>
      <c r="B55" s="211" t="s">
        <v>237</v>
      </c>
      <c r="C55" s="212">
        <v>0.88728862057169</v>
      </c>
      <c r="D55" s="104">
        <f>VLOOKUP(A55,IRData!$A$3:$AI$142,16,FALSE)</f>
        <v>21167.58</v>
      </c>
      <c r="E55" s="104">
        <f>VLOOKUP(A55,IRData!$A$3:$AI$142,35,FALSE)</f>
        <v>11627.615012928904</v>
      </c>
      <c r="F55" s="104">
        <f t="shared" si="4"/>
        <v>10317.05048536036</v>
      </c>
      <c r="G55" s="104">
        <f t="shared" si="5"/>
        <v>1034.5001023126601</v>
      </c>
      <c r="H55" s="104">
        <f t="shared" si="6"/>
        <v>11351.55058767302</v>
      </c>
      <c r="I55" s="105">
        <f t="shared" si="7"/>
        <v>0.97625786328933983</v>
      </c>
    </row>
    <row r="56" spans="1:9" s="48" customFormat="1" ht="12.75" customHeight="1" x14ac:dyDescent="0.2">
      <c r="A56" s="211">
        <v>1712015</v>
      </c>
      <c r="B56" s="211" t="s">
        <v>238</v>
      </c>
      <c r="C56" s="212">
        <v>0.85854659069141404</v>
      </c>
      <c r="D56" s="104">
        <f>VLOOKUP(A56,IRData!$A$3:$AI$142,16,FALSE)</f>
        <v>139537.56</v>
      </c>
      <c r="E56" s="104">
        <f>VLOOKUP(A56,IRData!$A$3:$AI$142,35,FALSE)</f>
        <v>60926.10786565271</v>
      </c>
      <c r="F56" s="104">
        <f t="shared" si="4"/>
        <v>52307.90219215348</v>
      </c>
      <c r="G56" s="104">
        <f t="shared" si="5"/>
        <v>6819.4673220301493</v>
      </c>
      <c r="H56" s="104">
        <f t="shared" si="6"/>
        <v>59127.369514183629</v>
      </c>
      <c r="I56" s="105">
        <f t="shared" si="7"/>
        <v>0.97047672312442057</v>
      </c>
    </row>
    <row r="57" spans="1:9" s="48" customFormat="1" ht="12.75" customHeight="1" x14ac:dyDescent="0.2">
      <c r="A57" s="211">
        <v>1732015</v>
      </c>
      <c r="B57" s="211" t="s">
        <v>172</v>
      </c>
      <c r="C57" s="212">
        <v>0.79465642326980801</v>
      </c>
      <c r="D57" s="104">
        <f>VLOOKUP(A57,IRData!$A$3:$AI$142,16,FALSE)</f>
        <v>61564.55</v>
      </c>
      <c r="E57" s="104">
        <f>VLOOKUP(A57,IRData!$A$3:$AI$142,35,FALSE)</f>
        <v>31541.846953760491</v>
      </c>
      <c r="F57" s="104">
        <f t="shared" si="4"/>
        <v>25064.931283599002</v>
      </c>
      <c r="G57" s="104">
        <f t="shared" si="5"/>
        <v>3008.7772562490791</v>
      </c>
      <c r="H57" s="104">
        <f t="shared" si="6"/>
        <v>28073.708539848081</v>
      </c>
      <c r="I57" s="105">
        <f t="shared" si="7"/>
        <v>0.89004643833962516</v>
      </c>
    </row>
    <row r="58" spans="1:9" s="48" customFormat="1" ht="12.75" customHeight="1" x14ac:dyDescent="0.2">
      <c r="A58" s="211">
        <v>1812015</v>
      </c>
      <c r="B58" s="211" t="s">
        <v>239</v>
      </c>
      <c r="C58" s="212">
        <v>1.11001579406627</v>
      </c>
      <c r="D58" s="104">
        <f>VLOOKUP(A58,IRData!$A$3:$AI$142,16,FALSE)</f>
        <v>22134.15</v>
      </c>
      <c r="E58" s="104">
        <f>VLOOKUP(A58,IRData!$A$3:$AI$142,35,FALSE)</f>
        <v>10856.536135978095</v>
      </c>
      <c r="F58" s="104">
        <f t="shared" si="4"/>
        <v>12050.926579786879</v>
      </c>
      <c r="G58" s="104">
        <f t="shared" si="5"/>
        <v>1081.7382260798715</v>
      </c>
      <c r="H58" s="104">
        <f t="shared" si="6"/>
        <v>13132.664805866751</v>
      </c>
      <c r="I58" s="105">
        <f t="shared" si="7"/>
        <v>1.2096551461147598</v>
      </c>
    </row>
    <row r="59" spans="1:9" s="48" customFormat="1" ht="12.75" customHeight="1" x14ac:dyDescent="0.2">
      <c r="A59" s="211">
        <v>1832015</v>
      </c>
      <c r="B59" s="211" t="s">
        <v>240</v>
      </c>
      <c r="C59" s="212">
        <v>0.789032159987897</v>
      </c>
      <c r="D59" s="104">
        <f>VLOOKUP(A59,IRData!$A$3:$AI$142,16,FALSE)</f>
        <v>45870.16</v>
      </c>
      <c r="E59" s="104">
        <f>VLOOKUP(A59,IRData!$A$3:$AI$142,35,FALSE)</f>
        <v>17142.855896943922</v>
      </c>
      <c r="F59" s="104">
        <f t="shared" si="4"/>
        <v>13526.264616726919</v>
      </c>
      <c r="G59" s="104">
        <f t="shared" si="5"/>
        <v>2241.7624127603672</v>
      </c>
      <c r="H59" s="104">
        <f t="shared" si="6"/>
        <v>15768.027029487286</v>
      </c>
      <c r="I59" s="105">
        <f t="shared" si="7"/>
        <v>0.91980164356968497</v>
      </c>
    </row>
    <row r="60" spans="1:9" s="48" customFormat="1" ht="12.75" customHeight="1" x14ac:dyDescent="0.2">
      <c r="A60" s="211">
        <v>1842015</v>
      </c>
      <c r="B60" s="211" t="s">
        <v>173</v>
      </c>
      <c r="C60" s="212">
        <v>0.76364561728656599</v>
      </c>
      <c r="D60" s="104">
        <f>VLOOKUP(A60,IRData!$A$3:$AI$142,16,FALSE)</f>
        <v>67743.73</v>
      </c>
      <c r="E60" s="104">
        <f>VLOOKUP(A60,IRData!$A$3:$AI$142,35,FALSE)</f>
        <v>22572.568265575999</v>
      </c>
      <c r="F60" s="104">
        <f t="shared" si="4"/>
        <v>17237.442826908933</v>
      </c>
      <c r="G60" s="104">
        <f t="shared" si="5"/>
        <v>3310.7655960691404</v>
      </c>
      <c r="H60" s="104">
        <f t="shared" si="6"/>
        <v>20548.208422978074</v>
      </c>
      <c r="I60" s="105">
        <f t="shared" si="7"/>
        <v>0.91031769983900557</v>
      </c>
    </row>
    <row r="61" spans="1:9" s="48" customFormat="1" ht="12.75" customHeight="1" x14ac:dyDescent="0.2">
      <c r="A61" s="211">
        <v>1942015</v>
      </c>
      <c r="B61" s="211" t="s">
        <v>242</v>
      </c>
      <c r="C61" s="212">
        <v>0.67869504902824096</v>
      </c>
      <c r="D61" s="104">
        <f>VLOOKUP(A61,IRData!$A$3:$AI$142,16,FALSE)</f>
        <v>30413.119999999999</v>
      </c>
      <c r="E61" s="104">
        <f>VLOOKUP(A61,IRData!$A$3:$AI$142,35,FALSE)</f>
        <v>19428.532917118602</v>
      </c>
      <c r="F61" s="104">
        <f t="shared" si="4"/>
        <v>13186.049100730603</v>
      </c>
      <c r="G61" s="104">
        <f t="shared" si="5"/>
        <v>1486.347317532151</v>
      </c>
      <c r="H61" s="104">
        <f t="shared" si="6"/>
        <v>14672.396418262753</v>
      </c>
      <c r="I61" s="105">
        <f t="shared" si="7"/>
        <v>0.75519837142900337</v>
      </c>
    </row>
    <row r="62" spans="1:9" s="48" customFormat="1" ht="12.75" customHeight="1" x14ac:dyDescent="0.2">
      <c r="A62" s="211">
        <v>1962015</v>
      </c>
      <c r="B62" s="211" t="s">
        <v>243</v>
      </c>
      <c r="C62" s="212">
        <v>0.65545915289188805</v>
      </c>
      <c r="D62" s="104">
        <f>VLOOKUP(A62,IRData!$A$3:$AI$142,16,FALSE)</f>
        <v>98813.35</v>
      </c>
      <c r="E62" s="104">
        <f>VLOOKUP(A62,IRData!$A$3:$AI$142,35,FALSE)</f>
        <v>32864.851194658622</v>
      </c>
      <c r="F62" s="104">
        <f t="shared" si="4"/>
        <v>21541.567523968897</v>
      </c>
      <c r="G62" s="104">
        <f t="shared" si="5"/>
        <v>4829.1973236835147</v>
      </c>
      <c r="H62" s="104">
        <f t="shared" si="6"/>
        <v>26370.764847652412</v>
      </c>
      <c r="I62" s="105">
        <f t="shared" si="7"/>
        <v>0.80240025099941226</v>
      </c>
    </row>
    <row r="63" spans="1:9" s="48" customFormat="1" ht="12.75" customHeight="1" x14ac:dyDescent="0.2">
      <c r="A63" s="211">
        <v>1972015</v>
      </c>
      <c r="B63" s="211" t="s">
        <v>244</v>
      </c>
      <c r="C63" s="212">
        <v>0.80754010590341396</v>
      </c>
      <c r="D63" s="104">
        <f>VLOOKUP(A63,IRData!$A$3:$AI$142,16,FALSE)</f>
        <v>185972.31</v>
      </c>
      <c r="E63" s="104">
        <f>VLOOKUP(A63,IRData!$A$3:$AI$142,35,FALSE)</f>
        <v>62295.658902872368</v>
      </c>
      <c r="F63" s="104">
        <f t="shared" si="4"/>
        <v>50306.242987748505</v>
      </c>
      <c r="G63" s="104">
        <f t="shared" si="5"/>
        <v>9088.8223274612283</v>
      </c>
      <c r="H63" s="104">
        <f t="shared" si="6"/>
        <v>59395.065315209737</v>
      </c>
      <c r="I63" s="105">
        <f t="shared" si="7"/>
        <v>0.95343827100079215</v>
      </c>
    </row>
    <row r="64" spans="1:9" s="48" customFormat="1" ht="12.75" customHeight="1" x14ac:dyDescent="0.2">
      <c r="A64" s="211">
        <v>2042015</v>
      </c>
      <c r="B64" s="211" t="s">
        <v>174</v>
      </c>
      <c r="C64" s="212">
        <v>0.84326784940209598</v>
      </c>
      <c r="D64" s="104">
        <f>VLOOKUP(A64,IRData!$A$3:$AI$142,16,FALSE)</f>
        <v>70077.84</v>
      </c>
      <c r="E64" s="104">
        <f>VLOOKUP(A64,IRData!$A$3:$AI$142,35,FALSE)</f>
        <v>26537.49759881197</v>
      </c>
      <c r="F64" s="104">
        <f t="shared" si="4"/>
        <v>22378.218528663456</v>
      </c>
      <c r="G64" s="104">
        <f t="shared" si="5"/>
        <v>3424.838014069167</v>
      </c>
      <c r="H64" s="104">
        <f t="shared" si="6"/>
        <v>25803.056542732622</v>
      </c>
      <c r="I64" s="105">
        <f t="shared" si="7"/>
        <v>0.9723244042380158</v>
      </c>
    </row>
    <row r="65" spans="1:9" s="48" customFormat="1" ht="12.75" customHeight="1" x14ac:dyDescent="0.2">
      <c r="A65" s="211">
        <v>2052015</v>
      </c>
      <c r="B65" s="211" t="s">
        <v>245</v>
      </c>
      <c r="C65" s="212">
        <v>0.81065942042193895</v>
      </c>
      <c r="D65" s="104">
        <f>VLOOKUP(A65,IRData!$A$3:$AI$142,16,FALSE)</f>
        <v>92874.55</v>
      </c>
      <c r="E65" s="104">
        <f>VLOOKUP(A65,IRData!$A$3:$AI$142,35,FALSE)</f>
        <v>32751.271528701909</v>
      </c>
      <c r="F65" s="104">
        <f t="shared" si="4"/>
        <v>26550.126795539039</v>
      </c>
      <c r="G65" s="104">
        <f t="shared" si="5"/>
        <v>4538.9568140166366</v>
      </c>
      <c r="H65" s="104">
        <f t="shared" si="6"/>
        <v>31089.083609555677</v>
      </c>
      <c r="I65" s="105">
        <f t="shared" si="7"/>
        <v>0.94924814086410181</v>
      </c>
    </row>
    <row r="66" spans="1:9" s="48" customFormat="1" ht="12.75" customHeight="1" x14ac:dyDescent="0.2">
      <c r="A66" s="211">
        <v>2062015</v>
      </c>
      <c r="B66" s="211" t="s">
        <v>246</v>
      </c>
      <c r="C66" s="212">
        <v>0.76056452098117699</v>
      </c>
      <c r="D66" s="104">
        <f>VLOOKUP(A66,IRData!$A$3:$AI$142,16,FALSE)</f>
        <v>91547.41</v>
      </c>
      <c r="E66" s="104">
        <f>VLOOKUP(A66,IRData!$A$3:$AI$142,35,FALSE)</f>
        <v>39752.617803515182</v>
      </c>
      <c r="F66" s="104">
        <f t="shared" si="4"/>
        <v>30234.430717478332</v>
      </c>
      <c r="G66" s="104">
        <f t="shared" si="5"/>
        <v>4474.0969450196499</v>
      </c>
      <c r="H66" s="104">
        <f t="shared" si="6"/>
        <v>34708.527662497982</v>
      </c>
      <c r="I66" s="105">
        <f t="shared" si="7"/>
        <v>0.87311300689809745</v>
      </c>
    </row>
    <row r="67" spans="1:9" s="48" customFormat="1" ht="12.75" customHeight="1" x14ac:dyDescent="0.2">
      <c r="A67" s="211">
        <v>2102015</v>
      </c>
      <c r="B67" s="211" t="s">
        <v>247</v>
      </c>
      <c r="C67" s="212">
        <v>0.77734370365475203</v>
      </c>
      <c r="D67" s="104">
        <f>VLOOKUP(A67,IRData!$A$3:$AI$142,16,FALSE)</f>
        <v>155708.67000000001</v>
      </c>
      <c r="E67" s="104">
        <f>VLOOKUP(A67,IRData!$A$3:$AI$142,35,FALSE)</f>
        <v>48026.462611043346</v>
      </c>
      <c r="F67" s="104">
        <f t="shared" si="4"/>
        <v>37333.068319504906</v>
      </c>
      <c r="G67" s="104">
        <f t="shared" si="5"/>
        <v>7609.780383301646</v>
      </c>
      <c r="H67" s="104">
        <f t="shared" si="6"/>
        <v>44942.84870280655</v>
      </c>
      <c r="I67" s="105">
        <f t="shared" si="7"/>
        <v>0.93579344093671102</v>
      </c>
    </row>
    <row r="68" spans="1:9" s="48" customFormat="1" ht="12.75" customHeight="1" x14ac:dyDescent="0.2">
      <c r="A68" s="211">
        <v>2132015</v>
      </c>
      <c r="B68" s="211" t="s">
        <v>248</v>
      </c>
      <c r="C68" s="212">
        <v>0.84607693140682005</v>
      </c>
      <c r="D68" s="104">
        <f>VLOOKUP(A68,IRData!$A$3:$AI$142,16,FALSE)</f>
        <v>58649.69</v>
      </c>
      <c r="E68" s="104">
        <f>VLOOKUP(A68,IRData!$A$3:$AI$142,35,FALSE)</f>
        <v>23124.849971752847</v>
      </c>
      <c r="F68" s="104">
        <f t="shared" ref="F68:F99" si="8">C68*E68</f>
        <v>19565.402103343738</v>
      </c>
      <c r="G68" s="104">
        <f t="shared" ref="G68:G99" si="9">(D68/$D$3)*$I$2</f>
        <v>2866.3224754840089</v>
      </c>
      <c r="H68" s="104">
        <f t="shared" ref="H68:H99" si="10">F68+G68</f>
        <v>22431.724578827747</v>
      </c>
      <c r="I68" s="105">
        <f t="shared" ref="I68:I99" si="11">H68/E68</f>
        <v>0.97002681557840342</v>
      </c>
    </row>
    <row r="69" spans="1:9" s="48" customFormat="1" ht="12.75" customHeight="1" x14ac:dyDescent="0.2">
      <c r="A69" s="211">
        <v>2142015</v>
      </c>
      <c r="B69" s="211" t="s">
        <v>249</v>
      </c>
      <c r="C69" s="212">
        <v>0.762462628691007</v>
      </c>
      <c r="D69" s="104">
        <f>VLOOKUP(A69,IRData!$A$3:$AI$142,16,FALSE)</f>
        <v>90172.800000000003</v>
      </c>
      <c r="E69" s="104">
        <f>VLOOKUP(A69,IRData!$A$3:$AI$142,35,FALSE)</f>
        <v>27598.149905702194</v>
      </c>
      <c r="F69" s="104">
        <f t="shared" si="8"/>
        <v>21042.557924110162</v>
      </c>
      <c r="G69" s="104">
        <f t="shared" si="9"/>
        <v>4406.9171263705648</v>
      </c>
      <c r="H69" s="104">
        <f t="shared" si="10"/>
        <v>25449.475050480727</v>
      </c>
      <c r="I69" s="105">
        <f t="shared" si="11"/>
        <v>0.92214424290892349</v>
      </c>
    </row>
    <row r="70" spans="1:9" s="48" customFormat="1" ht="12.75" customHeight="1" x14ac:dyDescent="0.2">
      <c r="A70" s="211">
        <v>2152015</v>
      </c>
      <c r="B70" s="211" t="s">
        <v>250</v>
      </c>
      <c r="C70" s="212">
        <v>0.89134046436425096</v>
      </c>
      <c r="D70" s="104">
        <f>VLOOKUP(A70,IRData!$A$3:$AI$142,16,FALSE)</f>
        <v>1303661.54</v>
      </c>
      <c r="E70" s="104">
        <f>VLOOKUP(A70,IRData!$A$3:$AI$142,35,FALSE)</f>
        <v>486335.95109833259</v>
      </c>
      <c r="F70" s="104">
        <f t="shared" si="8"/>
        <v>433490.91248901741</v>
      </c>
      <c r="G70" s="104">
        <f t="shared" si="9"/>
        <v>63712.431771184056</v>
      </c>
      <c r="H70" s="104">
        <f t="shared" si="10"/>
        <v>497203.34426020144</v>
      </c>
      <c r="I70" s="105">
        <f t="shared" si="11"/>
        <v>1.0223454448253848</v>
      </c>
    </row>
    <row r="71" spans="1:9" s="48" customFormat="1" ht="12.75" customHeight="1" x14ac:dyDescent="0.2">
      <c r="A71" s="211">
        <v>2232015</v>
      </c>
      <c r="B71" s="211" t="s">
        <v>251</v>
      </c>
      <c r="C71" s="212">
        <v>0.67648017689488005</v>
      </c>
      <c r="D71" s="104">
        <f>VLOOKUP(A71,IRData!$A$3:$AI$142,16,FALSE)</f>
        <v>169246.71</v>
      </c>
      <c r="E71" s="104">
        <f>VLOOKUP(A71,IRData!$A$3:$AI$142,35,FALSE)</f>
        <v>53623.468630389834</v>
      </c>
      <c r="F71" s="104">
        <f t="shared" si="8"/>
        <v>36275.213544803169</v>
      </c>
      <c r="G71" s="104">
        <f t="shared" si="9"/>
        <v>8271.4102798279782</v>
      </c>
      <c r="H71" s="104">
        <f t="shared" si="10"/>
        <v>44546.623824631148</v>
      </c>
      <c r="I71" s="105">
        <f t="shared" si="11"/>
        <v>0.83072999495197519</v>
      </c>
    </row>
    <row r="72" spans="1:9" s="48" customFormat="1" ht="12.75" customHeight="1" x14ac:dyDescent="0.2">
      <c r="A72" s="211">
        <v>2272015</v>
      </c>
      <c r="B72" s="211" t="s">
        <v>252</v>
      </c>
      <c r="C72" s="212">
        <v>0.89336915920715998</v>
      </c>
      <c r="D72" s="104">
        <f>VLOOKUP(A72,IRData!$A$3:$AI$142,16,FALSE)</f>
        <v>1292053.6100000001</v>
      </c>
      <c r="E72" s="104">
        <f>VLOOKUP(A72,IRData!$A$3:$AI$142,35,FALSE)</f>
        <v>371359.83450936718</v>
      </c>
      <c r="F72" s="104">
        <f t="shared" si="8"/>
        <v>331761.42311894341</v>
      </c>
      <c r="G72" s="104">
        <f t="shared" si="9"/>
        <v>63145.13004029946</v>
      </c>
      <c r="H72" s="104">
        <f t="shared" si="10"/>
        <v>394906.55315924285</v>
      </c>
      <c r="I72" s="105">
        <f t="shared" si="11"/>
        <v>1.0634067458614234</v>
      </c>
    </row>
    <row r="73" spans="1:9" s="48" customFormat="1" ht="12.75" customHeight="1" x14ac:dyDescent="0.2">
      <c r="A73" s="211">
        <v>2312015</v>
      </c>
      <c r="B73" s="211" t="s">
        <v>253</v>
      </c>
      <c r="C73" s="212">
        <v>1.02273816171251</v>
      </c>
      <c r="D73" s="104">
        <f>VLOOKUP(A73,IRData!$A$3:$AI$142,16,FALSE)</f>
        <v>38189.11</v>
      </c>
      <c r="E73" s="104">
        <f>VLOOKUP(A73,IRData!$A$3:$AI$142,35,FALSE)</f>
        <v>17255.743402627581</v>
      </c>
      <c r="F73" s="104">
        <f t="shared" si="8"/>
        <v>17648.107286586102</v>
      </c>
      <c r="G73" s="104">
        <f t="shared" si="9"/>
        <v>1866.3748147983581</v>
      </c>
      <c r="H73" s="104">
        <f t="shared" si="10"/>
        <v>19514.482101384459</v>
      </c>
      <c r="I73" s="105">
        <f t="shared" si="11"/>
        <v>1.1308977913065708</v>
      </c>
    </row>
    <row r="74" spans="1:9" s="48" customFormat="1" ht="12.75" customHeight="1" x14ac:dyDescent="0.2">
      <c r="A74" s="211">
        <v>2342015</v>
      </c>
      <c r="B74" s="211" t="s">
        <v>254</v>
      </c>
      <c r="C74" s="212">
        <v>0.67058180956137503</v>
      </c>
      <c r="D74" s="104">
        <f>VLOOKUP(A74,IRData!$A$3:$AI$142,16,FALSE)</f>
        <v>73042.19</v>
      </c>
      <c r="E74" s="104">
        <f>VLOOKUP(A74,IRData!$A$3:$AI$142,35,FALSE)</f>
        <v>29088.361224870096</v>
      </c>
      <c r="F74" s="104">
        <f t="shared" si="8"/>
        <v>19506.125907348323</v>
      </c>
      <c r="G74" s="104">
        <f t="shared" si="9"/>
        <v>3569.7114657481279</v>
      </c>
      <c r="H74" s="104">
        <f t="shared" si="10"/>
        <v>23075.837373096452</v>
      </c>
      <c r="I74" s="105">
        <f t="shared" si="11"/>
        <v>0.79330138933254757</v>
      </c>
    </row>
    <row r="75" spans="1:9" s="48" customFormat="1" ht="12.75" customHeight="1" x14ac:dyDescent="0.2">
      <c r="A75" s="211">
        <v>2382015</v>
      </c>
      <c r="B75" s="211" t="s">
        <v>176</v>
      </c>
      <c r="C75" s="212">
        <v>0.82123511182587805</v>
      </c>
      <c r="D75" s="104">
        <f>VLOOKUP(A75,IRData!$A$3:$AI$142,16,FALSE)</f>
        <v>110806.09</v>
      </c>
      <c r="E75" s="104">
        <f>VLOOKUP(A75,IRData!$A$3:$AI$142,35,FALSE)</f>
        <v>56199.126304229059</v>
      </c>
      <c r="F75" s="104">
        <f t="shared" si="8"/>
        <v>46152.695774970198</v>
      </c>
      <c r="G75" s="104">
        <f t="shared" si="9"/>
        <v>5415.3054549393846</v>
      </c>
      <c r="H75" s="104">
        <f t="shared" si="10"/>
        <v>51568.001229909583</v>
      </c>
      <c r="I75" s="105">
        <f t="shared" si="11"/>
        <v>0.9175943581533762</v>
      </c>
    </row>
    <row r="76" spans="1:9" s="48" customFormat="1" ht="12.75" customHeight="1" x14ac:dyDescent="0.2">
      <c r="A76" s="211">
        <v>2422015</v>
      </c>
      <c r="B76" s="211" t="s">
        <v>255</v>
      </c>
      <c r="C76" s="212">
        <v>0.63511796680801802</v>
      </c>
      <c r="D76" s="104">
        <f>VLOOKUP(A76,IRData!$A$3:$AI$142,16,FALSE)</f>
        <v>36656.94</v>
      </c>
      <c r="E76" s="104">
        <f>VLOOKUP(A76,IRData!$A$3:$AI$142,35,FALSE)</f>
        <v>12973.970125103706</v>
      </c>
      <c r="F76" s="104">
        <f t="shared" si="8"/>
        <v>8240.0015272838336</v>
      </c>
      <c r="G76" s="104">
        <f t="shared" si="9"/>
        <v>1791.4947377295396</v>
      </c>
      <c r="H76" s="104">
        <f t="shared" si="10"/>
        <v>10031.496265013373</v>
      </c>
      <c r="I76" s="105">
        <f t="shared" si="11"/>
        <v>0.77320173919648116</v>
      </c>
    </row>
    <row r="77" spans="1:9" s="48" customFormat="1" ht="12.75" customHeight="1" x14ac:dyDescent="0.2">
      <c r="A77" s="211">
        <v>2482015</v>
      </c>
      <c r="B77" s="211" t="s">
        <v>256</v>
      </c>
      <c r="C77" s="212">
        <v>0.73202463726535205</v>
      </c>
      <c r="D77" s="104">
        <f>VLOOKUP(A77,IRData!$A$3:$AI$142,16,FALSE)</f>
        <v>42672.5</v>
      </c>
      <c r="E77" s="104">
        <f>VLOOKUP(A77,IRData!$A$3:$AI$142,35,FALSE)</f>
        <v>18937.677890277828</v>
      </c>
      <c r="F77" s="104">
        <f t="shared" si="8"/>
        <v>13862.846788278704</v>
      </c>
      <c r="G77" s="104">
        <f t="shared" si="9"/>
        <v>2085.4866553444936</v>
      </c>
      <c r="H77" s="104">
        <f t="shared" si="10"/>
        <v>15948.333443623198</v>
      </c>
      <c r="I77" s="105">
        <f t="shared" si="11"/>
        <v>0.84214831068653406</v>
      </c>
    </row>
    <row r="78" spans="1:9" s="48" customFormat="1" ht="12.75" customHeight="1" x14ac:dyDescent="0.2">
      <c r="A78" s="211">
        <v>2492015</v>
      </c>
      <c r="B78" s="211" t="s">
        <v>257</v>
      </c>
      <c r="C78" s="212">
        <v>0.75948286995360303</v>
      </c>
      <c r="D78" s="104">
        <f>VLOOKUP(A78,IRData!$A$3:$AI$142,16,FALSE)</f>
        <v>425348.37</v>
      </c>
      <c r="E78" s="104">
        <f>VLOOKUP(A78,IRData!$A$3:$AI$142,35,FALSE)</f>
        <v>116873.93588745379</v>
      </c>
      <c r="F78" s="104">
        <f t="shared" si="8"/>
        <v>88763.752250576799</v>
      </c>
      <c r="G78" s="104">
        <f t="shared" si="9"/>
        <v>20787.588013534056</v>
      </c>
      <c r="H78" s="104">
        <f t="shared" si="10"/>
        <v>109551.34026411086</v>
      </c>
      <c r="I78" s="105">
        <f t="shared" si="11"/>
        <v>0.93734620497084675</v>
      </c>
    </row>
    <row r="79" spans="1:9" s="48" customFormat="1" ht="12.75" customHeight="1" x14ac:dyDescent="0.2">
      <c r="A79" s="211">
        <v>2512015</v>
      </c>
      <c r="B79" s="211" t="s">
        <v>258</v>
      </c>
      <c r="C79" s="212">
        <v>0.90410962014478302</v>
      </c>
      <c r="D79" s="104">
        <f>VLOOKUP(A79,IRData!$A$3:$AI$142,16,FALSE)</f>
        <v>277088.45</v>
      </c>
      <c r="E79" s="104">
        <f>VLOOKUP(A79,IRData!$A$3:$AI$142,35,FALSE)</f>
        <v>93687.038751550994</v>
      </c>
      <c r="F79" s="104">
        <f t="shared" si="8"/>
        <v>84703.353018154332</v>
      </c>
      <c r="G79" s="104">
        <f t="shared" si="9"/>
        <v>13541.842283088403</v>
      </c>
      <c r="H79" s="104">
        <f t="shared" si="10"/>
        <v>98245.19530124274</v>
      </c>
      <c r="I79" s="105">
        <f t="shared" si="11"/>
        <v>1.0486530112428842</v>
      </c>
    </row>
    <row r="80" spans="1:9" s="48" customFormat="1" ht="12.75" customHeight="1" x14ac:dyDescent="0.2">
      <c r="A80" s="211">
        <v>2572015</v>
      </c>
      <c r="B80" s="211" t="s">
        <v>259</v>
      </c>
      <c r="C80" s="212">
        <v>0.70297993401060999</v>
      </c>
      <c r="D80" s="104">
        <f>VLOOKUP(A80,IRData!$A$3:$AI$142,16,FALSE)</f>
        <v>305632.06</v>
      </c>
      <c r="E80" s="104">
        <f>VLOOKUP(A80,IRData!$A$3:$AI$142,35,FALSE)</f>
        <v>93130.698287131323</v>
      </c>
      <c r="F80" s="104">
        <f t="shared" si="8"/>
        <v>65469.012136249607</v>
      </c>
      <c r="G80" s="104">
        <f t="shared" si="9"/>
        <v>14936.823072832562</v>
      </c>
      <c r="H80" s="104">
        <f t="shared" si="10"/>
        <v>80405.835209082172</v>
      </c>
      <c r="I80" s="105">
        <f t="shared" si="11"/>
        <v>0.86336553561729867</v>
      </c>
    </row>
    <row r="81" spans="1:9" s="48" customFormat="1" ht="12.75" customHeight="1" x14ac:dyDescent="0.2">
      <c r="A81" s="211">
        <v>2642015</v>
      </c>
      <c r="B81" s="211" t="s">
        <v>260</v>
      </c>
      <c r="C81" s="212">
        <v>0.89248398694126096</v>
      </c>
      <c r="D81" s="104">
        <f>VLOOKUP(A81,IRData!$A$3:$AI$142,16,FALSE)</f>
        <v>140238.5</v>
      </c>
      <c r="E81" s="104">
        <f>VLOOKUP(A81,IRData!$A$3:$AI$142,35,FALSE)</f>
        <v>45909.05432287517</v>
      </c>
      <c r="F81" s="104">
        <f t="shared" si="8"/>
        <v>40973.095838782567</v>
      </c>
      <c r="G81" s="104">
        <f t="shared" si="9"/>
        <v>6853.7235998717842</v>
      </c>
      <c r="H81" s="104">
        <f t="shared" si="10"/>
        <v>47826.819438654347</v>
      </c>
      <c r="I81" s="105">
        <f t="shared" si="11"/>
        <v>1.0417731348219823</v>
      </c>
    </row>
    <row r="82" spans="1:9" s="48" customFormat="1" ht="12.75" customHeight="1" x14ac:dyDescent="0.2">
      <c r="A82" s="211">
        <v>2672015</v>
      </c>
      <c r="B82" s="211" t="s">
        <v>261</v>
      </c>
      <c r="C82" s="212">
        <v>0.76895041541259801</v>
      </c>
      <c r="D82" s="104">
        <f>VLOOKUP(A82,IRData!$A$3:$AI$142,16,FALSE)</f>
        <v>61397.9</v>
      </c>
      <c r="E82" s="104">
        <f>VLOOKUP(A82,IRData!$A$3:$AI$142,35,FALSE)</f>
        <v>23554.306744143061</v>
      </c>
      <c r="F82" s="104">
        <f t="shared" si="8"/>
        <v>18112.093955664564</v>
      </c>
      <c r="G82" s="104">
        <f t="shared" si="9"/>
        <v>3000.632752151284</v>
      </c>
      <c r="H82" s="104">
        <f t="shared" si="10"/>
        <v>21112.726707815847</v>
      </c>
      <c r="I82" s="105">
        <f t="shared" si="11"/>
        <v>0.8963425218645279</v>
      </c>
    </row>
    <row r="83" spans="1:9" s="48" customFormat="1" ht="12.75" customHeight="1" x14ac:dyDescent="0.2">
      <c r="A83" s="211">
        <v>2692015</v>
      </c>
      <c r="B83" s="211" t="s">
        <v>262</v>
      </c>
      <c r="C83" s="212">
        <v>0.72007454108861302</v>
      </c>
      <c r="D83" s="104">
        <f>VLOOKUP(A83,IRData!$A$3:$AI$142,16,FALSE)</f>
        <v>692896.36</v>
      </c>
      <c r="E83" s="104">
        <f>VLOOKUP(A83,IRData!$A$3:$AI$142,35,FALSE)</f>
        <v>203013.59117332994</v>
      </c>
      <c r="F83" s="104">
        <f t="shared" si="8"/>
        <v>146184.91849888687</v>
      </c>
      <c r="G83" s="104">
        <f t="shared" si="9"/>
        <v>33863.169777181414</v>
      </c>
      <c r="H83" s="104">
        <f t="shared" si="10"/>
        <v>180048.08827606827</v>
      </c>
      <c r="I83" s="105">
        <f t="shared" si="11"/>
        <v>0.88687701761970172</v>
      </c>
    </row>
    <row r="84" spans="1:9" s="48" customFormat="1" ht="12.75" customHeight="1" x14ac:dyDescent="0.2">
      <c r="A84" s="211">
        <v>2742015</v>
      </c>
      <c r="B84" s="211" t="s">
        <v>177</v>
      </c>
      <c r="C84" s="212">
        <v>0.76355448199270604</v>
      </c>
      <c r="D84" s="104">
        <f>VLOOKUP(A84,IRData!$A$3:$AI$142,16,FALSE)</f>
        <v>204618.93</v>
      </c>
      <c r="E84" s="104">
        <f>VLOOKUP(A84,IRData!$A$3:$AI$142,35,FALSE)</f>
        <v>58581.653878937752</v>
      </c>
      <c r="F84" s="104">
        <f t="shared" si="8"/>
        <v>44730.284381808313</v>
      </c>
      <c r="G84" s="104">
        <f t="shared" si="9"/>
        <v>10000.118295058151</v>
      </c>
      <c r="H84" s="104">
        <f t="shared" si="10"/>
        <v>54730.402676866463</v>
      </c>
      <c r="I84" s="105">
        <f t="shared" si="11"/>
        <v>0.93425840775970381</v>
      </c>
    </row>
    <row r="85" spans="1:9" s="48" customFormat="1" ht="12.75" customHeight="1" x14ac:dyDescent="0.2">
      <c r="A85" s="211">
        <v>2752015</v>
      </c>
      <c r="B85" s="211" t="s">
        <v>264</v>
      </c>
      <c r="C85" s="212">
        <v>0.92852222783649196</v>
      </c>
      <c r="D85" s="104">
        <f>VLOOKUP(A85,IRData!$A$3:$AI$142,16,FALSE)</f>
        <v>220263.83</v>
      </c>
      <c r="E85" s="104">
        <f>VLOOKUP(A85,IRData!$A$3:$AI$142,35,FALSE)</f>
        <v>110404.68862566736</v>
      </c>
      <c r="F85" s="104">
        <f t="shared" si="8"/>
        <v>102513.20744629887</v>
      </c>
      <c r="G85" s="104">
        <f t="shared" si="9"/>
        <v>10764.714467632972</v>
      </c>
      <c r="H85" s="104">
        <f t="shared" si="10"/>
        <v>113277.92191393184</v>
      </c>
      <c r="I85" s="105">
        <f t="shared" si="11"/>
        <v>1.0260245585946655</v>
      </c>
    </row>
    <row r="86" spans="1:9" s="48" customFormat="1" ht="12.75" customHeight="1" x14ac:dyDescent="0.2">
      <c r="A86" s="211">
        <v>2952015</v>
      </c>
      <c r="B86" s="211" t="s">
        <v>267</v>
      </c>
      <c r="C86" s="212">
        <v>0.83165275640394798</v>
      </c>
      <c r="D86" s="104">
        <f>VLOOKUP(A86,IRData!$A$3:$AI$142,16,FALSE)</f>
        <v>221277.87</v>
      </c>
      <c r="E86" s="104">
        <f>VLOOKUP(A86,IRData!$A$3:$AI$142,35,FALSE)</f>
        <v>90444.53313290888</v>
      </c>
      <c r="F86" s="104">
        <f t="shared" si="8"/>
        <v>75218.445281651875</v>
      </c>
      <c r="G86" s="104">
        <f t="shared" si="9"/>
        <v>10814.272541052283</v>
      </c>
      <c r="H86" s="104">
        <f t="shared" si="10"/>
        <v>86032.717822704159</v>
      </c>
      <c r="I86" s="105">
        <f t="shared" si="11"/>
        <v>0.9512207630756242</v>
      </c>
    </row>
    <row r="87" spans="1:9" s="48" customFormat="1" ht="12.75" customHeight="1" x14ac:dyDescent="0.2">
      <c r="A87" s="211">
        <v>3062015</v>
      </c>
      <c r="B87" s="211" t="s">
        <v>268</v>
      </c>
      <c r="C87" s="212">
        <v>0.81830172903348697</v>
      </c>
      <c r="D87" s="104">
        <f>VLOOKUP(A87,IRData!$A$3:$AI$142,16,FALSE)</f>
        <v>211495.01</v>
      </c>
      <c r="E87" s="104">
        <f>VLOOKUP(A87,IRData!$A$3:$AI$142,35,FALSE)</f>
        <v>67220.097104785382</v>
      </c>
      <c r="F87" s="104">
        <f t="shared" si="8"/>
        <v>55006.321686644769</v>
      </c>
      <c r="G87" s="104">
        <f t="shared" si="9"/>
        <v>10336.165470196265</v>
      </c>
      <c r="H87" s="104">
        <f t="shared" si="10"/>
        <v>65342.487156841031</v>
      </c>
      <c r="I87" s="105">
        <f t="shared" si="11"/>
        <v>0.97206772931289498</v>
      </c>
    </row>
    <row r="88" spans="1:9" s="48" customFormat="1" ht="12.75" customHeight="1" x14ac:dyDescent="0.2">
      <c r="A88" s="211">
        <v>3112015</v>
      </c>
      <c r="B88" s="211" t="s">
        <v>269</v>
      </c>
      <c r="C88" s="212">
        <v>0.747791635787043</v>
      </c>
      <c r="D88" s="104">
        <f>VLOOKUP(A88,IRData!$A$3:$AI$142,16,FALSE)</f>
        <v>417477.44</v>
      </c>
      <c r="E88" s="104">
        <f>VLOOKUP(A88,IRData!$A$3:$AI$142,35,FALSE)</f>
        <v>151254.87474153982</v>
      </c>
      <c r="F88" s="104">
        <f t="shared" si="8"/>
        <v>113107.13020374035</v>
      </c>
      <c r="G88" s="104">
        <f t="shared" si="9"/>
        <v>20402.920616963653</v>
      </c>
      <c r="H88" s="104">
        <f t="shared" si="10"/>
        <v>133510.050820704</v>
      </c>
      <c r="I88" s="105">
        <f t="shared" si="11"/>
        <v>0.88268263121332324</v>
      </c>
    </row>
    <row r="89" spans="1:9" s="48" customFormat="1" ht="12.75" customHeight="1" x14ac:dyDescent="0.2">
      <c r="A89" s="211">
        <v>3432015</v>
      </c>
      <c r="B89" s="211" t="s">
        <v>180</v>
      </c>
      <c r="C89" s="212">
        <v>0.85311619868065003</v>
      </c>
      <c r="D89" s="104">
        <f>VLOOKUP(A89,IRData!$A$3:$AI$142,16,FALSE)</f>
        <v>82786.67</v>
      </c>
      <c r="E89" s="104">
        <f>VLOOKUP(A89,IRData!$A$3:$AI$142,35,FALSE)</f>
        <v>23878.772867703367</v>
      </c>
      <c r="F89" s="104">
        <f t="shared" si="8"/>
        <v>20371.36793805374</v>
      </c>
      <c r="G89" s="104">
        <f t="shared" si="9"/>
        <v>4045.9428326301086</v>
      </c>
      <c r="H89" s="104">
        <f t="shared" si="10"/>
        <v>24417.310770683849</v>
      </c>
      <c r="I89" s="105">
        <f t="shared" si="11"/>
        <v>1.0225529974242884</v>
      </c>
    </row>
    <row r="90" spans="1:9" s="48" customFormat="1" ht="12.75" customHeight="1" x14ac:dyDescent="0.2">
      <c r="A90" s="211">
        <v>3492015</v>
      </c>
      <c r="B90" s="211" t="s">
        <v>270</v>
      </c>
      <c r="C90" s="212">
        <v>0.63270006320860295</v>
      </c>
      <c r="D90" s="104">
        <f>VLOOKUP(A90,IRData!$A$3:$AI$142,16,FALSE)</f>
        <v>186811.62</v>
      </c>
      <c r="E90" s="104">
        <f>VLOOKUP(A90,IRData!$A$3:$AI$142,35,FALSE)</f>
        <v>59525.205659167761</v>
      </c>
      <c r="F90" s="104">
        <f t="shared" si="8"/>
        <v>37661.60138306053</v>
      </c>
      <c r="G90" s="104">
        <f t="shared" si="9"/>
        <v>9129.8410117355779</v>
      </c>
      <c r="H90" s="104">
        <f t="shared" si="10"/>
        <v>46791.442394796104</v>
      </c>
      <c r="I90" s="105">
        <f t="shared" si="11"/>
        <v>0.78607779471971517</v>
      </c>
    </row>
    <row r="91" spans="1:9" s="48" customFormat="1" ht="12.75" customHeight="1" x14ac:dyDescent="0.2">
      <c r="A91" s="211">
        <v>3542015</v>
      </c>
      <c r="B91" s="211" t="s">
        <v>271</v>
      </c>
      <c r="C91" s="212">
        <v>0.63426430954798796</v>
      </c>
      <c r="D91" s="104">
        <f>VLOOKUP(A91,IRData!$A$3:$AI$142,16,FALSE)</f>
        <v>564025.41</v>
      </c>
      <c r="E91" s="104">
        <f>VLOOKUP(A91,IRData!$A$3:$AI$142,35,FALSE)</f>
        <v>171017.2544759055</v>
      </c>
      <c r="F91" s="104">
        <f t="shared" si="8"/>
        <v>108470.14083095276</v>
      </c>
      <c r="G91" s="104">
        <f t="shared" si="9"/>
        <v>27565.000078041048</v>
      </c>
      <c r="H91" s="104">
        <f t="shared" si="10"/>
        <v>136035.14090899381</v>
      </c>
      <c r="I91" s="105">
        <f t="shared" si="11"/>
        <v>0.79544687654987289</v>
      </c>
    </row>
    <row r="92" spans="1:9" s="48" customFormat="1" ht="12.75" customHeight="1" x14ac:dyDescent="0.2">
      <c r="A92" s="211">
        <v>3732015</v>
      </c>
      <c r="B92" s="211" t="s">
        <v>272</v>
      </c>
      <c r="C92" s="212">
        <v>0.81449297008402</v>
      </c>
      <c r="D92" s="104">
        <f>VLOOKUP(A92,IRData!$A$3:$AI$142,16,FALSE)</f>
        <v>40439.39</v>
      </c>
      <c r="E92" s="104">
        <f>VLOOKUP(A92,IRData!$A$3:$AI$142,35,FALSE)</f>
        <v>16341.237025803457</v>
      </c>
      <c r="F92" s="104">
        <f t="shared" si="8"/>
        <v>13309.822679993615</v>
      </c>
      <c r="G92" s="104">
        <f t="shared" si="9"/>
        <v>1976.3503004340396</v>
      </c>
      <c r="H92" s="104">
        <f t="shared" si="10"/>
        <v>15286.172980427655</v>
      </c>
      <c r="I92" s="105">
        <f t="shared" si="11"/>
        <v>0.93543548485896055</v>
      </c>
    </row>
    <row r="93" spans="1:9" s="48" customFormat="1" ht="12.75" customHeight="1" x14ac:dyDescent="0.2">
      <c r="A93" s="211">
        <v>4182015</v>
      </c>
      <c r="B93" s="211" t="s">
        <v>273</v>
      </c>
      <c r="C93" s="212">
        <v>0.80074143108493001</v>
      </c>
      <c r="D93" s="104">
        <f>VLOOKUP(A93,IRData!$A$3:$AI$142,16,FALSE)</f>
        <v>43606.75</v>
      </c>
      <c r="E93" s="104">
        <f>VLOOKUP(A93,IRData!$A$3:$AI$142,35,FALSE)</f>
        <v>19341.419017975262</v>
      </c>
      <c r="F93" s="104">
        <f t="shared" si="8"/>
        <v>15487.475543666793</v>
      </c>
      <c r="G93" s="104">
        <f>(D93/$D$3)*$I$2</f>
        <v>2131.1452389230412</v>
      </c>
      <c r="H93" s="104">
        <f t="shared" si="10"/>
        <v>17618.620782589835</v>
      </c>
      <c r="I93" s="105">
        <f t="shared" si="11"/>
        <v>0.91092699900745044</v>
      </c>
    </row>
    <row r="94" spans="1:9" s="48" customFormat="1" ht="12.75" customHeight="1" x14ac:dyDescent="0.2">
      <c r="A94" s="211">
        <v>4332015</v>
      </c>
      <c r="B94" s="211" t="s">
        <v>274</v>
      </c>
      <c r="C94" s="212">
        <v>0.81002744077007005</v>
      </c>
      <c r="D94" s="104">
        <f>VLOOKUP(A94,IRData!$A$3:$AI$142,16,FALSE)</f>
        <v>325793.68</v>
      </c>
      <c r="E94" s="104">
        <f>VLOOKUP(A94,IRData!$A$3:$AI$142,35,FALSE)</f>
        <v>126377.86557145489</v>
      </c>
      <c r="F94" s="104">
        <f t="shared" si="8"/>
        <v>102369.53901882956</v>
      </c>
      <c r="G94" s="104">
        <f t="shared" si="9"/>
        <v>15922.159986773077</v>
      </c>
      <c r="H94" s="104">
        <f t="shared" si="10"/>
        <v>118291.69900560263</v>
      </c>
      <c r="I94" s="105">
        <f t="shared" si="11"/>
        <v>0.93601595873384735</v>
      </c>
    </row>
    <row r="95" spans="1:9" s="48" customFormat="1" ht="12.75" customHeight="1" x14ac:dyDescent="0.2">
      <c r="A95" s="211">
        <v>4602015</v>
      </c>
      <c r="B95" s="211" t="s">
        <v>140</v>
      </c>
      <c r="C95" s="212">
        <v>0.77711556761690503</v>
      </c>
      <c r="D95" s="104">
        <f>VLOOKUP(A95,IRData!$A$3:$AI$142,16,FALSE)</f>
        <v>889152.49</v>
      </c>
      <c r="E95" s="104">
        <f>VLOOKUP(A95,IRData!$A$3:$AI$142,35,FALSE)</f>
        <v>310564.3080784324</v>
      </c>
      <c r="F95" s="104">
        <f t="shared" si="8"/>
        <v>241344.35855392236</v>
      </c>
      <c r="G95" s="104">
        <f t="shared" si="9"/>
        <v>43454.582048422941</v>
      </c>
      <c r="H95" s="104">
        <f t="shared" si="10"/>
        <v>284798.94060234528</v>
      </c>
      <c r="I95" s="105">
        <f t="shared" si="11"/>
        <v>0.91703693307351941</v>
      </c>
    </row>
    <row r="96" spans="1:9" s="48" customFormat="1" ht="12.75" customHeight="1" x14ac:dyDescent="0.2">
      <c r="A96" s="211">
        <v>4642015</v>
      </c>
      <c r="B96" s="211" t="s">
        <v>275</v>
      </c>
      <c r="C96" s="212">
        <v>0.69747246711201605</v>
      </c>
      <c r="D96" s="104">
        <f>VLOOKUP(A96,IRData!$A$3:$AI$142,16,FALSE)</f>
        <v>169270.95</v>
      </c>
      <c r="E96" s="104">
        <f>VLOOKUP(A96,IRData!$A$3:$AI$142,35,FALSE)</f>
        <v>92451.046077774357</v>
      </c>
      <c r="F96" s="104">
        <f t="shared" si="8"/>
        <v>64482.059194951958</v>
      </c>
      <c r="G96" s="104">
        <f t="shared" si="9"/>
        <v>8272.5949349694765</v>
      </c>
      <c r="H96" s="104">
        <f t="shared" si="10"/>
        <v>72754.65412992143</v>
      </c>
      <c r="I96" s="105">
        <f t="shared" si="11"/>
        <v>0.7869532819424957</v>
      </c>
    </row>
    <row r="97" spans="1:9" s="48" customFormat="1" ht="12.75" customHeight="1" x14ac:dyDescent="0.2">
      <c r="A97" s="211">
        <v>5032015</v>
      </c>
      <c r="B97" s="211" t="s">
        <v>276</v>
      </c>
      <c r="C97" s="212">
        <v>0.74225529838723803</v>
      </c>
      <c r="D97" s="104">
        <f>VLOOKUP(A97,IRData!$A$3:$AI$142,16,FALSE)</f>
        <v>904248.96</v>
      </c>
      <c r="E97" s="104">
        <f>VLOOKUP(A97,IRData!$A$3:$AI$142,35,FALSE)</f>
        <v>285264.74614184455</v>
      </c>
      <c r="F97" s="104">
        <f t="shared" si="8"/>
        <v>211739.26926687453</v>
      </c>
      <c r="G97" s="104">
        <f t="shared" si="9"/>
        <v>44192.375398421384</v>
      </c>
      <c r="H97" s="104">
        <f t="shared" si="10"/>
        <v>255931.6446652959</v>
      </c>
      <c r="I97" s="105">
        <f t="shared" si="11"/>
        <v>0.89717235700073816</v>
      </c>
    </row>
    <row r="98" spans="1:9" s="48" customFormat="1" ht="12.75" customHeight="1" x14ac:dyDescent="0.2">
      <c r="A98" s="211">
        <v>5112015</v>
      </c>
      <c r="B98" s="211" t="s">
        <v>277</v>
      </c>
      <c r="C98" s="212">
        <v>0.87305828839759303</v>
      </c>
      <c r="D98" s="104">
        <f>VLOOKUP(A98,IRData!$A$3:$AI$142,16,FALSE)</f>
        <v>2122728.11</v>
      </c>
      <c r="E98" s="104">
        <f>VLOOKUP(A98,IRData!$A$3:$AI$142,35,FALSE)</f>
        <v>524912.86193450226</v>
      </c>
      <c r="F98" s="104">
        <f t="shared" si="8"/>
        <v>458279.52479841863</v>
      </c>
      <c r="G98" s="104">
        <f t="shared" si="9"/>
        <v>103741.78092049065</v>
      </c>
      <c r="H98" s="104">
        <f t="shared" si="10"/>
        <v>562021.30571890925</v>
      </c>
      <c r="I98" s="105">
        <f t="shared" si="11"/>
        <v>1.0706944837427841</v>
      </c>
    </row>
    <row r="99" spans="1:9" s="48" customFormat="1" ht="12.75" customHeight="1" x14ac:dyDescent="0.2">
      <c r="A99" s="211">
        <v>5422015</v>
      </c>
      <c r="B99" s="211" t="s">
        <v>278</v>
      </c>
      <c r="C99" s="212">
        <v>0.81726659899160004</v>
      </c>
      <c r="D99" s="104">
        <f>VLOOKUP(A99,IRData!$A$3:$AI$142,16,FALSE)</f>
        <v>213897.8</v>
      </c>
      <c r="E99" s="104">
        <f>VLOOKUP(A99,IRData!$A$3:$AI$142,35,FALSE)</f>
        <v>77122.426868526993</v>
      </c>
      <c r="F99" s="104">
        <f t="shared" si="8"/>
        <v>63029.583512819452</v>
      </c>
      <c r="G99" s="104">
        <f t="shared" si="9"/>
        <v>10453.594411097201</v>
      </c>
      <c r="H99" s="104">
        <f t="shared" si="10"/>
        <v>73483.17792391665</v>
      </c>
      <c r="I99" s="105">
        <f t="shared" si="11"/>
        <v>0.95281205360907162</v>
      </c>
    </row>
    <row r="100" spans="1:9" s="48" customFormat="1" ht="12.75" customHeight="1" x14ac:dyDescent="0.2">
      <c r="A100" s="211">
        <v>5662015</v>
      </c>
      <c r="B100" s="211" t="s">
        <v>279</v>
      </c>
      <c r="C100" s="212">
        <v>0.76922467682352003</v>
      </c>
      <c r="D100" s="104">
        <f>VLOOKUP(A100,IRData!$A$3:$AI$142,16,FALSE)</f>
        <v>2661408.58</v>
      </c>
      <c r="E100" s="104">
        <f>VLOOKUP(A100,IRData!$A$3:$AI$142,35,FALSE)</f>
        <v>887280.59966836183</v>
      </c>
      <c r="F100" s="104">
        <f t="shared" ref="F100:F118" si="12">C100*E100</f>
        <v>682518.1325316747</v>
      </c>
      <c r="G100" s="104">
        <f t="shared" ref="G100:G118" si="13">(D100/$D$3)*$I$2</f>
        <v>130068.12532683433</v>
      </c>
      <c r="H100" s="104">
        <f t="shared" ref="H100:H118" si="14">F100+G100</f>
        <v>812586.25785850897</v>
      </c>
      <c r="I100" s="105">
        <f t="shared" ref="I100:I118" si="15">H100/E100</f>
        <v>0.91581655021221997</v>
      </c>
    </row>
    <row r="101" spans="1:9" s="48" customFormat="1" ht="12.75" customHeight="1" x14ac:dyDescent="0.2">
      <c r="A101" s="211">
        <v>5742015</v>
      </c>
      <c r="B101" s="211" t="s">
        <v>280</v>
      </c>
      <c r="C101" s="212">
        <v>0.89370333356486198</v>
      </c>
      <c r="D101" s="104">
        <f>VLOOKUP(A101,IRData!$A$3:$AI$142,16,FALSE)</f>
        <v>2955059.01</v>
      </c>
      <c r="E101" s="104">
        <f>VLOOKUP(A101,IRData!$A$3:$AI$142,35,FALSE)</f>
        <v>774064.07085975516</v>
      </c>
      <c r="F101" s="104">
        <f t="shared" si="12"/>
        <v>691783.64052015077</v>
      </c>
      <c r="G101" s="104">
        <f t="shared" si="13"/>
        <v>144419.38323535083</v>
      </c>
      <c r="H101" s="104">
        <f t="shared" si="14"/>
        <v>836203.02375550161</v>
      </c>
      <c r="I101" s="105">
        <f t="shared" si="15"/>
        <v>1.0802762397003243</v>
      </c>
    </row>
    <row r="102" spans="1:9" s="48" customFormat="1" ht="12.75" customHeight="1" x14ac:dyDescent="0.2">
      <c r="A102" s="211">
        <v>5782015</v>
      </c>
      <c r="B102" s="211" t="s">
        <v>281</v>
      </c>
      <c r="C102" s="212">
        <v>0.78590144103016202</v>
      </c>
      <c r="D102" s="104">
        <f>VLOOKUP(A102,IRData!$A$3:$AI$142,16,FALSE)</f>
        <v>75127.839999999997</v>
      </c>
      <c r="E102" s="104">
        <f>VLOOKUP(A102,IRData!$A$3:$AI$142,35,FALSE)</f>
        <v>22650.447712747307</v>
      </c>
      <c r="F102" s="104">
        <f t="shared" si="12"/>
        <v>17801.019497426445</v>
      </c>
      <c r="G102" s="104">
        <f t="shared" si="13"/>
        <v>3671.6411685478056</v>
      </c>
      <c r="H102" s="104">
        <f t="shared" si="14"/>
        <v>21472.66066597425</v>
      </c>
      <c r="I102" s="105">
        <f t="shared" si="15"/>
        <v>0.94800159971627329</v>
      </c>
    </row>
    <row r="103" spans="1:9" s="48" customFormat="1" ht="12.75" customHeight="1" x14ac:dyDescent="0.2">
      <c r="A103" s="211">
        <v>5912015</v>
      </c>
      <c r="B103" s="211" t="s">
        <v>282</v>
      </c>
      <c r="C103" s="212">
        <v>0.874902135330627</v>
      </c>
      <c r="D103" s="104">
        <f>VLOOKUP(A103,IRData!$A$3:$AI$142,16,FALSE)</f>
        <v>223009.01</v>
      </c>
      <c r="E103" s="104">
        <f>VLOOKUP(A103,IRData!$A$3:$AI$142,35,FALSE)</f>
        <v>64588.377326047004</v>
      </c>
      <c r="F103" s="104">
        <f t="shared" si="12"/>
        <v>56508.509240098778</v>
      </c>
      <c r="G103" s="104">
        <f t="shared" si="13"/>
        <v>10898.876662407562</v>
      </c>
      <c r="H103" s="104">
        <f t="shared" si="14"/>
        <v>67407.385902506343</v>
      </c>
      <c r="I103" s="105">
        <f t="shared" si="15"/>
        <v>1.043645756298053</v>
      </c>
    </row>
    <row r="104" spans="1:9" s="48" customFormat="1" ht="12.75" customHeight="1" x14ac:dyDescent="0.2">
      <c r="A104" s="211">
        <v>5932015</v>
      </c>
      <c r="B104" s="211" t="s">
        <v>283</v>
      </c>
      <c r="C104" s="212">
        <v>0.79255456498614096</v>
      </c>
      <c r="D104" s="104">
        <f>VLOOKUP(A104,IRData!$A$3:$AI$142,16,FALSE)</f>
        <v>28576.94</v>
      </c>
      <c r="E104" s="104">
        <f>VLOOKUP(A104,IRData!$A$3:$AI$142,35,FALSE)</f>
        <v>19475.579551845243</v>
      </c>
      <c r="F104" s="104">
        <f t="shared" si="12"/>
        <v>15435.459479565689</v>
      </c>
      <c r="G104" s="104">
        <f t="shared" si="13"/>
        <v>1396.6096905637182</v>
      </c>
      <c r="H104" s="104">
        <f t="shared" si="14"/>
        <v>16832.069170129405</v>
      </c>
      <c r="I104" s="105">
        <f t="shared" si="15"/>
        <v>0.86426538041249845</v>
      </c>
    </row>
    <row r="105" spans="1:9" s="48" customFormat="1" ht="12.75" customHeight="1" x14ac:dyDescent="0.2">
      <c r="A105" s="211">
        <v>5992015</v>
      </c>
      <c r="B105" s="211" t="s">
        <v>284</v>
      </c>
      <c r="C105" s="212">
        <v>0.73817454210079902</v>
      </c>
      <c r="D105" s="104">
        <f>VLOOKUP(A105,IRData!$A$3:$AI$142,16,FALSE)</f>
        <v>79103.199999999997</v>
      </c>
      <c r="E105" s="104">
        <f>VLOOKUP(A105,IRData!$A$3:$AI$142,35,FALSE)</f>
        <v>34756.454759784043</v>
      </c>
      <c r="F105" s="104">
        <f t="shared" si="12"/>
        <v>25656.330077350722</v>
      </c>
      <c r="G105" s="104">
        <f t="shared" si="13"/>
        <v>3865.9246117533899</v>
      </c>
      <c r="H105" s="104">
        <f t="shared" si="14"/>
        <v>29522.254689104113</v>
      </c>
      <c r="I105" s="105">
        <f t="shared" si="15"/>
        <v>0.84940351060384012</v>
      </c>
    </row>
    <row r="106" spans="1:9" s="48" customFormat="1" ht="12.75" customHeight="1" x14ac:dyDescent="0.2">
      <c r="A106" s="211">
        <v>6112015</v>
      </c>
      <c r="B106" s="211" t="s">
        <v>285</v>
      </c>
      <c r="C106" s="212">
        <v>0.91185944472952096</v>
      </c>
      <c r="D106" s="104">
        <f>VLOOKUP(A106,IRData!$A$3:$AI$142,16,FALSE)</f>
        <v>2199714.35</v>
      </c>
      <c r="E106" s="104">
        <f>VLOOKUP(A106,IRData!$A$3:$AI$142,35,FALSE)</f>
        <v>727762.91802568722</v>
      </c>
      <c r="F106" s="104">
        <f t="shared" si="12"/>
        <v>663617.49032563902</v>
      </c>
      <c r="G106" s="104">
        <f t="shared" si="13"/>
        <v>107504.24564988661</v>
      </c>
      <c r="H106" s="104">
        <f t="shared" si="14"/>
        <v>771121.73597552557</v>
      </c>
      <c r="I106" s="105">
        <f t="shared" si="15"/>
        <v>1.0595782182300033</v>
      </c>
    </row>
    <row r="107" spans="1:9" s="48" customFormat="1" ht="12.75" customHeight="1" x14ac:dyDescent="0.2">
      <c r="A107" s="211">
        <v>6132015</v>
      </c>
      <c r="B107" s="211" t="s">
        <v>286</v>
      </c>
      <c r="C107" s="212">
        <v>1.0602087674649801</v>
      </c>
      <c r="D107" s="104">
        <f>VLOOKUP(A107,IRData!$A$3:$AI$142,16,FALSE)</f>
        <v>199746.69</v>
      </c>
      <c r="E107" s="104">
        <f>VLOOKUP(A107,IRData!$A$3:$AI$142,35,FALSE)</f>
        <v>62143.599224047168</v>
      </c>
      <c r="F107" s="104">
        <f t="shared" si="12"/>
        <v>65885.188739164732</v>
      </c>
      <c r="G107" s="104">
        <f t="shared" si="13"/>
        <v>9762.002611617163</v>
      </c>
      <c r="H107" s="104">
        <f t="shared" si="14"/>
        <v>75647.191350781897</v>
      </c>
      <c r="I107" s="105">
        <f t="shared" si="15"/>
        <v>1.2172965887934821</v>
      </c>
    </row>
    <row r="108" spans="1:9" s="48" customFormat="1" ht="12.75" customHeight="1" x14ac:dyDescent="0.2">
      <c r="A108" s="211">
        <v>6142015</v>
      </c>
      <c r="B108" s="211" t="s">
        <v>287</v>
      </c>
      <c r="C108" s="212">
        <v>0.97144024460292</v>
      </c>
      <c r="D108" s="104">
        <f>VLOOKUP(A108,IRData!$A$3:$AI$142,16,FALSE)</f>
        <v>353879.76</v>
      </c>
      <c r="E108" s="104">
        <f>VLOOKUP(A108,IRData!$A$3:$AI$142,35,FALSE)</f>
        <v>116901.90032534518</v>
      </c>
      <c r="F108" s="104">
        <f t="shared" si="12"/>
        <v>113563.2106465995</v>
      </c>
      <c r="G108" s="104">
        <f t="shared" si="13"/>
        <v>17294.780410721472</v>
      </c>
      <c r="H108" s="104">
        <f t="shared" si="14"/>
        <v>130857.99105732098</v>
      </c>
      <c r="I108" s="105">
        <f t="shared" si="15"/>
        <v>1.119382924427534</v>
      </c>
    </row>
    <row r="109" spans="1:9" s="48" customFormat="1" ht="12.75" customHeight="1" x14ac:dyDescent="0.2">
      <c r="A109" s="211">
        <v>6152015</v>
      </c>
      <c r="B109" s="211" t="s">
        <v>288</v>
      </c>
      <c r="C109" s="212">
        <v>0.92877181621882199</v>
      </c>
      <c r="D109" s="104">
        <f>VLOOKUP(A109,IRData!$A$3:$AI$142,16,FALSE)</f>
        <v>528711.77</v>
      </c>
      <c r="E109" s="104">
        <f>VLOOKUP(A109,IRData!$A$3:$AI$142,35,FALSE)</f>
        <v>192108.13034035539</v>
      </c>
      <c r="F109" s="104">
        <f t="shared" si="12"/>
        <v>178424.61712661406</v>
      </c>
      <c r="G109" s="104">
        <f t="shared" si="13"/>
        <v>25839.154979402825</v>
      </c>
      <c r="H109" s="104">
        <f t="shared" si="14"/>
        <v>204263.77210601687</v>
      </c>
      <c r="I109" s="105">
        <f t="shared" si="15"/>
        <v>1.0632749990545716</v>
      </c>
    </row>
    <row r="110" spans="1:9" s="48" customFormat="1" ht="12.75" customHeight="1" x14ac:dyDescent="0.2">
      <c r="A110" s="211">
        <v>6242015</v>
      </c>
      <c r="B110" s="211" t="s">
        <v>289</v>
      </c>
      <c r="C110" s="212">
        <v>0.85516297388184304</v>
      </c>
      <c r="D110" s="104">
        <f>VLOOKUP(A110,IRData!$A$3:$AI$142,16,FALSE)</f>
        <v>2648300.7999999998</v>
      </c>
      <c r="E110" s="104">
        <f>VLOOKUP(A110,IRData!$A$3:$AI$142,35,FALSE)</f>
        <v>752551.94888775074</v>
      </c>
      <c r="F110" s="104">
        <f t="shared" si="12"/>
        <v>643554.56261142564</v>
      </c>
      <c r="G110" s="104">
        <f t="shared" si="13"/>
        <v>129427.52305906956</v>
      </c>
      <c r="H110" s="104">
        <f t="shared" si="14"/>
        <v>772982.08567049517</v>
      </c>
      <c r="I110" s="105">
        <f t="shared" si="15"/>
        <v>1.0271478092813919</v>
      </c>
    </row>
    <row r="111" spans="1:9" s="48" customFormat="1" ht="12.75" customHeight="1" x14ac:dyDescent="0.2">
      <c r="A111" s="211">
        <v>6252015</v>
      </c>
      <c r="B111" s="211" t="s">
        <v>290</v>
      </c>
      <c r="C111" s="212">
        <v>0.72490507684552696</v>
      </c>
      <c r="D111" s="104">
        <f>VLOOKUP(A111,IRData!$A$3:$AI$142,16,FALSE)</f>
        <v>206774.27</v>
      </c>
      <c r="E111" s="104">
        <f>VLOOKUP(A111,IRData!$A$3:$AI$142,35,FALSE)</f>
        <v>71631.478561466385</v>
      </c>
      <c r="F111" s="104">
        <f t="shared" si="12"/>
        <v>51926.022471158511</v>
      </c>
      <c r="G111" s="104">
        <f t="shared" si="13"/>
        <v>10105.453881389634</v>
      </c>
      <c r="H111" s="104">
        <f t="shared" si="14"/>
        <v>62031.476352548147</v>
      </c>
      <c r="I111" s="105">
        <f t="shared" si="15"/>
        <v>0.86598067774518217</v>
      </c>
    </row>
    <row r="112" spans="1:9" ht="12.75" customHeight="1" x14ac:dyDescent="0.2">
      <c r="A112" s="211">
        <v>6372015</v>
      </c>
      <c r="B112" s="211" t="s">
        <v>291</v>
      </c>
      <c r="C112" s="212">
        <v>0.68864291663034005</v>
      </c>
      <c r="D112" s="104">
        <f>VLOOKUP(A112,IRData!$A$3:$AI$142,16,FALSE)</f>
        <v>148600.29</v>
      </c>
      <c r="E112" s="104">
        <f>VLOOKUP(A112,IRData!$A$3:$AI$142,35,FALSE)</f>
        <v>62454.51600246544</v>
      </c>
      <c r="F112" s="104">
        <f t="shared" si="12"/>
        <v>43008.86005667405</v>
      </c>
      <c r="G112" s="104">
        <f t="shared" si="13"/>
        <v>7262.3802630575146</v>
      </c>
      <c r="H112" s="104">
        <f t="shared" si="14"/>
        <v>50271.240319731565</v>
      </c>
      <c r="I112" s="105">
        <f t="shared" si="15"/>
        <v>0.80492562487790431</v>
      </c>
    </row>
    <row r="113" spans="1:9" ht="12.75" customHeight="1" x14ac:dyDescent="0.2">
      <c r="A113" s="211">
        <v>6592015</v>
      </c>
      <c r="B113" s="211" t="s">
        <v>184</v>
      </c>
      <c r="C113" s="212">
        <v>0.95704674416198399</v>
      </c>
      <c r="D113" s="104">
        <f>VLOOKUP(A113,IRData!$A$3:$AI$142,16,FALSE)</f>
        <v>188068.06</v>
      </c>
      <c r="E113" s="104">
        <f>VLOOKUP(A113,IRData!$A$3:$AI$142,35,FALSE)</f>
        <v>50515.750547270749</v>
      </c>
      <c r="F113" s="104">
        <f t="shared" si="12"/>
        <v>48345.934590164434</v>
      </c>
      <c r="G113" s="104">
        <f t="shared" si="13"/>
        <v>9191.2456365698636</v>
      </c>
      <c r="H113" s="104">
        <f t="shared" si="14"/>
        <v>57537.180226734301</v>
      </c>
      <c r="I113" s="105">
        <f t="shared" si="15"/>
        <v>1.1389948600861262</v>
      </c>
    </row>
    <row r="114" spans="1:9" s="48" customFormat="1" ht="12.75" customHeight="1" x14ac:dyDescent="0.2">
      <c r="A114" s="211">
        <v>6692015</v>
      </c>
      <c r="B114" s="211" t="s">
        <v>293</v>
      </c>
      <c r="C114" s="212">
        <v>0.69794248694013605</v>
      </c>
      <c r="D114" s="104">
        <f>VLOOKUP(A114,IRData!$A$3:$AI$142,16,FALSE)</f>
        <v>304369.56</v>
      </c>
      <c r="E114" s="104">
        <f>VLOOKUP(A114,IRData!$A$3:$AI$142,35,FALSE)</f>
        <v>68912.240000726408</v>
      </c>
      <c r="F114" s="104">
        <f t="shared" si="12"/>
        <v>48096.780166722514</v>
      </c>
      <c r="G114" s="104">
        <f t="shared" si="13"/>
        <v>14875.122284212903</v>
      </c>
      <c r="H114" s="104">
        <f t="shared" si="14"/>
        <v>62971.90245093542</v>
      </c>
      <c r="I114" s="105">
        <f t="shared" si="15"/>
        <v>0.91379851315632221</v>
      </c>
    </row>
    <row r="115" spans="1:9" s="48" customFormat="1" ht="12.75" customHeight="1" x14ac:dyDescent="0.2">
      <c r="A115" s="211">
        <v>6752015</v>
      </c>
      <c r="B115" s="211" t="s">
        <v>294</v>
      </c>
      <c r="C115" s="212">
        <v>1.0233791157785499</v>
      </c>
      <c r="D115" s="104">
        <f>VLOOKUP(A115,IRData!$A$3:$AI$142,16,FALSE)</f>
        <v>4990057.51</v>
      </c>
      <c r="E115" s="104">
        <f>VLOOKUP(A115,IRData!$A$3:$AI$142,35,FALSE)</f>
        <v>1910772.373751916</v>
      </c>
      <c r="F115" s="104">
        <f t="shared" si="12"/>
        <v>1955444.5423043165</v>
      </c>
      <c r="G115" s="104">
        <f t="shared" si="13"/>
        <v>243873.65039560769</v>
      </c>
      <c r="H115" s="104">
        <f t="shared" si="14"/>
        <v>2199318.1926999241</v>
      </c>
      <c r="I115" s="105">
        <f t="shared" si="15"/>
        <v>1.1510100433268413</v>
      </c>
    </row>
    <row r="116" spans="1:9" ht="12.75" customHeight="1" x14ac:dyDescent="0.2">
      <c r="A116" s="211">
        <v>6932015</v>
      </c>
      <c r="B116" s="211" t="s">
        <v>296</v>
      </c>
      <c r="C116" s="212">
        <v>0.82516906214656904</v>
      </c>
      <c r="D116" s="104">
        <f>VLOOKUP(A116,IRData!$A$3:$AI$142,16,FALSE)</f>
        <v>388735.87</v>
      </c>
      <c r="E116" s="104">
        <f>VLOOKUP(A116,IRData!$A$3:$AI$142,35,FALSE)</f>
        <v>113200.1491868124</v>
      </c>
      <c r="F116" s="104">
        <f t="shared" si="12"/>
        <v>93409.26093933369</v>
      </c>
      <c r="G116" s="104">
        <f t="shared" si="13"/>
        <v>18998.265143563927</v>
      </c>
      <c r="H116" s="104">
        <f t="shared" si="14"/>
        <v>112407.52608289762</v>
      </c>
      <c r="I116" s="105">
        <f t="shared" si="15"/>
        <v>0.99299803834527878</v>
      </c>
    </row>
    <row r="117" spans="1:9" ht="12.75" customHeight="1" x14ac:dyDescent="0.2">
      <c r="A117" s="211">
        <v>6992015</v>
      </c>
      <c r="B117" s="211" t="s">
        <v>297</v>
      </c>
      <c r="C117" s="212">
        <v>0.97948665529727696</v>
      </c>
      <c r="D117" s="104">
        <f>VLOOKUP(A117,IRData!$A$3:$AI$142,16,FALSE)</f>
        <v>1376374.47</v>
      </c>
      <c r="E117" s="104">
        <f>VLOOKUP(A117,IRData!$A$3:$AI$142,35,FALSE)</f>
        <v>438095.00982213835</v>
      </c>
      <c r="F117" s="104">
        <f t="shared" si="12"/>
        <v>429108.21587311401</v>
      </c>
      <c r="G117" s="104">
        <f t="shared" si="13"/>
        <v>67266.051671260182</v>
      </c>
      <c r="H117" s="104">
        <f t="shared" si="14"/>
        <v>496374.26754437422</v>
      </c>
      <c r="I117" s="105">
        <f t="shared" si="15"/>
        <v>1.1330288097686769</v>
      </c>
    </row>
    <row r="118" spans="1:9" ht="12.75" customHeight="1" x14ac:dyDescent="0.2">
      <c r="A118" s="211">
        <v>7262015</v>
      </c>
      <c r="B118" s="211" t="s">
        <v>298</v>
      </c>
      <c r="C118" s="212">
        <v>0.79526342332699795</v>
      </c>
      <c r="D118" s="104">
        <f>VLOOKUP(A118,IRData!$A$3:$AI$142,16,FALSE)</f>
        <v>541259</v>
      </c>
      <c r="E118" s="104">
        <f>VLOOKUP(A118,IRData!$A$3:$AI$142,35,FALSE)</f>
        <v>168447.13130950151</v>
      </c>
      <c r="F118" s="104">
        <f t="shared" si="12"/>
        <v>133959.8422948065</v>
      </c>
      <c r="G118" s="104">
        <f t="shared" si="13"/>
        <v>26452.362097020447</v>
      </c>
      <c r="H118" s="104">
        <f t="shared" si="14"/>
        <v>160412.20439182693</v>
      </c>
      <c r="I118" s="105">
        <f t="shared" si="15"/>
        <v>0.95230000739572496</v>
      </c>
    </row>
    <row r="119" spans="1:9" ht="12.75" customHeight="1" x14ac:dyDescent="0.2">
      <c r="A119" s="226">
        <v>1082015</v>
      </c>
      <c r="B119" s="226" t="s">
        <v>187</v>
      </c>
      <c r="C119" s="230">
        <v>0.96612378304339797</v>
      </c>
      <c r="D119" s="163"/>
      <c r="E119" s="163">
        <f>VLOOKUP(A119,IRData!$A$3:$AI$142,35,FALSE)</f>
        <v>4246.6715025317553</v>
      </c>
      <c r="F119" s="163"/>
      <c r="G119" s="163"/>
      <c r="H119" s="163">
        <f>C119*E119</f>
        <v>4102.8103373685708</v>
      </c>
      <c r="I119" s="227" t="s">
        <v>8</v>
      </c>
    </row>
    <row r="120" spans="1:9" ht="12.75" customHeight="1" x14ac:dyDescent="0.2">
      <c r="A120" s="226">
        <v>1212015</v>
      </c>
      <c r="B120" s="226" t="s">
        <v>226</v>
      </c>
      <c r="C120" s="230">
        <v>0.81244027936157703</v>
      </c>
      <c r="D120" s="163"/>
      <c r="E120" s="163">
        <f>VLOOKUP(A120,IRData!$A$3:$AI$142,35,FALSE)</f>
        <v>3717.2662348740419</v>
      </c>
      <c r="F120" s="163"/>
      <c r="G120" s="163"/>
      <c r="H120" s="163">
        <f t="shared" ref="H120:H125" si="16">C120*E120</f>
        <v>3020.0568183224241</v>
      </c>
      <c r="I120" s="227" t="s">
        <v>8</v>
      </c>
    </row>
    <row r="121" spans="1:9" ht="12.75" customHeight="1" x14ac:dyDescent="0.2">
      <c r="A121" s="226">
        <v>1672015</v>
      </c>
      <c r="B121" s="226" t="s">
        <v>188</v>
      </c>
      <c r="C121" s="230">
        <v>0.661857644567592</v>
      </c>
      <c r="D121" s="163"/>
      <c r="E121" s="163">
        <f>VLOOKUP(A121,IRData!$A$3:$AI$142,35,FALSE)</f>
        <v>1823.1516399297</v>
      </c>
      <c r="F121" s="163"/>
      <c r="G121" s="227"/>
      <c r="H121" s="163">
        <f t="shared" si="16"/>
        <v>1206.6668500934138</v>
      </c>
      <c r="I121" s="227" t="s">
        <v>8</v>
      </c>
    </row>
    <row r="122" spans="1:9" s="48" customFormat="1" ht="12.75" customHeight="1" x14ac:dyDescent="0.2">
      <c r="A122" s="226">
        <v>2222015</v>
      </c>
      <c r="B122" s="226" t="s">
        <v>175</v>
      </c>
      <c r="C122" s="230">
        <v>0.985256981136999</v>
      </c>
      <c r="D122" s="163"/>
      <c r="E122" s="163">
        <f>VLOOKUP(A122,IRData!$A$3:$AI$142,35,FALSE)</f>
        <v>979.27445615080001</v>
      </c>
      <c r="F122" s="163"/>
      <c r="G122" s="163"/>
      <c r="H122" s="163">
        <f t="shared" si="16"/>
        <v>964.83699437171367</v>
      </c>
      <c r="I122" s="227" t="s">
        <v>8</v>
      </c>
    </row>
    <row r="123" spans="1:9" ht="12.75" customHeight="1" x14ac:dyDescent="0.2">
      <c r="A123" s="226">
        <v>5122015</v>
      </c>
      <c r="B123" s="226" t="s">
        <v>183</v>
      </c>
      <c r="C123" s="230">
        <v>0.95944335620532395</v>
      </c>
      <c r="D123" s="163"/>
      <c r="E123" s="163">
        <f>VLOOKUP(A123,IRData!$A$3:$AI$142,35,FALSE)</f>
        <v>1932.5887240000002</v>
      </c>
      <c r="F123" s="228"/>
      <c r="G123" s="228"/>
      <c r="H123" s="163">
        <f t="shared" si="16"/>
        <v>1854.2094115191246</v>
      </c>
      <c r="I123" s="227" t="s">
        <v>8</v>
      </c>
    </row>
    <row r="124" spans="1:9" ht="12.75" customHeight="1" x14ac:dyDescent="0.2">
      <c r="A124" s="226">
        <v>6862015</v>
      </c>
      <c r="B124" s="226" t="s">
        <v>185</v>
      </c>
      <c r="C124" s="230">
        <v>0.98617873444147097</v>
      </c>
      <c r="D124" s="163"/>
      <c r="E124" s="163">
        <f>VLOOKUP(A124,IRData!$A$3:$AI$142,35,FALSE)</f>
        <v>15498.625975481129</v>
      </c>
      <c r="F124" s="228"/>
      <c r="G124" s="228"/>
      <c r="H124" s="163">
        <f t="shared" si="16"/>
        <v>15284.415350081688</v>
      </c>
      <c r="I124" s="227" t="s">
        <v>8</v>
      </c>
    </row>
    <row r="125" spans="1:9" s="48" customFormat="1" ht="12.75" customHeight="1" x14ac:dyDescent="0.2">
      <c r="A125" s="226">
        <v>7432015</v>
      </c>
      <c r="B125" s="226" t="s">
        <v>186</v>
      </c>
      <c r="C125" s="230">
        <v>0.70442097726539898</v>
      </c>
      <c r="D125" s="163"/>
      <c r="E125" s="163">
        <f>VLOOKUP(A125,IRData!$A$3:$AI$142,35,FALSE)</f>
        <v>35362.879444816252</v>
      </c>
      <c r="F125" s="228"/>
      <c r="G125" s="228"/>
      <c r="H125" s="163">
        <f t="shared" si="16"/>
        <v>24910.354097435953</v>
      </c>
      <c r="I125" s="227" t="s">
        <v>8</v>
      </c>
    </row>
    <row r="126" spans="1:9" ht="12.75" customHeight="1" x14ac:dyDescent="0.2">
      <c r="A126" s="221">
        <v>102015</v>
      </c>
      <c r="B126" s="221" t="s">
        <v>160</v>
      </c>
      <c r="C126" s="229"/>
      <c r="D126" s="122"/>
      <c r="E126" s="122">
        <f>VLOOKUP(A126,IRData!$A$3:$AI$142,35,FALSE)</f>
        <v>154.39572285224966</v>
      </c>
      <c r="F126" s="122"/>
      <c r="G126" s="122"/>
      <c r="H126" s="122">
        <f>E126</f>
        <v>154.39572285224966</v>
      </c>
      <c r="I126" s="224" t="s">
        <v>9</v>
      </c>
    </row>
    <row r="127" spans="1:9" ht="12.75" customHeight="1" x14ac:dyDescent="0.2">
      <c r="A127" s="221">
        <v>1872015</v>
      </c>
      <c r="B127" s="221" t="s">
        <v>241</v>
      </c>
      <c r="C127" s="229"/>
      <c r="D127" s="122"/>
      <c r="E127" s="122">
        <f>VLOOKUP(A127,IRData!$A$3:$AI$142,35,FALSE)</f>
        <v>5406.384006749011</v>
      </c>
      <c r="F127" s="122"/>
      <c r="G127" s="122"/>
      <c r="H127" s="122">
        <f>E127</f>
        <v>5406.384006749011</v>
      </c>
      <c r="I127" s="224" t="s">
        <v>9</v>
      </c>
    </row>
    <row r="128" spans="1:9" ht="13.5" customHeight="1" x14ac:dyDescent="0.2">
      <c r="A128" s="221">
        <v>2942015</v>
      </c>
      <c r="B128" s="221" t="s">
        <v>266</v>
      </c>
      <c r="C128" s="229"/>
      <c r="D128" s="223"/>
      <c r="E128" s="122">
        <f>VLOOKUP(A128,IRData!$A$3:$AI$142,35,FALSE)</f>
        <v>19650.271873532998</v>
      </c>
      <c r="F128" s="223"/>
      <c r="G128" s="223"/>
      <c r="H128" s="122">
        <f t="shared" ref="H128:H130" si="17">E128</f>
        <v>19650.271873532998</v>
      </c>
      <c r="I128" s="224" t="s">
        <v>9</v>
      </c>
    </row>
    <row r="129" spans="1:9" x14ac:dyDescent="0.2">
      <c r="A129" s="221">
        <v>6522015</v>
      </c>
      <c r="B129" s="221" t="s">
        <v>292</v>
      </c>
      <c r="C129" s="229"/>
      <c r="D129" s="223"/>
      <c r="E129" s="122">
        <f>VLOOKUP(A129,IRData!$A$3:$AI$142,35,FALSE)</f>
        <v>838.03650911879095</v>
      </c>
      <c r="F129" s="223"/>
      <c r="G129" s="223"/>
      <c r="H129" s="122">
        <f t="shared" si="17"/>
        <v>838.03650911879095</v>
      </c>
      <c r="I129" s="224" t="s">
        <v>9</v>
      </c>
    </row>
    <row r="130" spans="1:9" x14ac:dyDescent="0.2">
      <c r="A130" s="221">
        <v>8522015</v>
      </c>
      <c r="B130" s="221" t="s">
        <v>299</v>
      </c>
      <c r="C130" s="229"/>
      <c r="D130" s="223"/>
      <c r="E130" s="122">
        <f>VLOOKUP(A130,IRData!$A$3:$AI$142,35,FALSE)</f>
        <v>33419.884475347622</v>
      </c>
      <c r="F130" s="223"/>
      <c r="G130" s="223"/>
      <c r="H130" s="122">
        <f t="shared" si="17"/>
        <v>33419.884475347622</v>
      </c>
      <c r="I130" s="224" t="s">
        <v>9</v>
      </c>
    </row>
    <row r="131" spans="1:9" x14ac:dyDescent="0.2">
      <c r="I131" s="48"/>
    </row>
    <row r="132" spans="1:9" x14ac:dyDescent="0.2">
      <c r="I132" s="48"/>
    </row>
    <row r="133" spans="1:9" x14ac:dyDescent="0.2">
      <c r="I133" s="48"/>
    </row>
    <row r="134" spans="1:9" x14ac:dyDescent="0.2">
      <c r="I134" s="48"/>
    </row>
    <row r="135" spans="1:9" x14ac:dyDescent="0.2">
      <c r="I135" s="48"/>
    </row>
    <row r="136" spans="1:9" x14ac:dyDescent="0.2">
      <c r="I136" s="48"/>
    </row>
    <row r="137" spans="1:9" x14ac:dyDescent="0.2">
      <c r="I137" s="48"/>
    </row>
    <row r="138" spans="1:9" x14ac:dyDescent="0.2">
      <c r="I138" s="48"/>
    </row>
    <row r="139" spans="1:9" x14ac:dyDescent="0.2">
      <c r="I139" s="48"/>
    </row>
    <row r="140" spans="1:9" x14ac:dyDescent="0.2">
      <c r="I140" s="48"/>
    </row>
    <row r="141" spans="1:9" x14ac:dyDescent="0.2">
      <c r="I141" s="48"/>
    </row>
    <row r="142" spans="1:9" x14ac:dyDescent="0.2">
      <c r="I142" s="48"/>
    </row>
    <row r="143" spans="1:9" x14ac:dyDescent="0.2">
      <c r="I143" s="48"/>
    </row>
    <row r="144" spans="1:9" x14ac:dyDescent="0.2">
      <c r="I144" s="48"/>
    </row>
    <row r="145" spans="9:9" x14ac:dyDescent="0.2">
      <c r="I145" s="48"/>
    </row>
  </sheetData>
  <mergeCells count="1">
    <mergeCell ref="A1:H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J91"/>
  <sheetViews>
    <sheetView workbookViewId="0">
      <pane xSplit="2" ySplit="3" topLeftCell="C4" activePane="bottomRight" state="frozen"/>
      <selection activeCell="C21" sqref="C21"/>
      <selection pane="topRight" activeCell="C21" sqref="C21"/>
      <selection pane="bottomLeft" activeCell="C21" sqref="C21"/>
      <selection pane="bottomRight" activeCell="J39" sqref="J39"/>
    </sheetView>
  </sheetViews>
  <sheetFormatPr baseColWidth="10" defaultColWidth="10.85546875" defaultRowHeight="12.75" x14ac:dyDescent="0.2"/>
  <cols>
    <col min="1" max="1" width="8" style="60" bestFit="1" customWidth="1"/>
    <col min="2" max="2" width="41" style="60" bestFit="1" customWidth="1"/>
    <col min="3" max="3" width="10.85546875" style="60" bestFit="1" customWidth="1"/>
    <col min="4" max="5" width="17.42578125" style="60" customWidth="1"/>
    <col min="6" max="6" width="11.7109375" style="60" customWidth="1"/>
    <col min="7" max="7" width="14.28515625" style="60" bestFit="1" customWidth="1"/>
    <col min="8" max="8" width="12.140625" style="60" bestFit="1" customWidth="1"/>
    <col min="9" max="9" width="26.5703125" style="60" bestFit="1" customWidth="1"/>
    <col min="10" max="16384" width="10.85546875" style="60"/>
  </cols>
  <sheetData>
    <row r="1" spans="1:9" ht="45.75" customHeight="1" thickBot="1" x14ac:dyDescent="0.25">
      <c r="A1" s="292" t="s">
        <v>139</v>
      </c>
      <c r="B1" s="293"/>
      <c r="C1" s="293"/>
      <c r="D1" s="293"/>
      <c r="E1" s="293"/>
      <c r="F1" s="293"/>
      <c r="G1" s="293"/>
      <c r="H1" s="294"/>
      <c r="I1" s="96" t="s">
        <v>19</v>
      </c>
    </row>
    <row r="2" spans="1:9" s="64" customFormat="1" ht="57.75" customHeight="1" x14ac:dyDescent="0.2">
      <c r="A2" s="101" t="s">
        <v>53</v>
      </c>
      <c r="B2" s="95" t="s">
        <v>54</v>
      </c>
      <c r="C2" s="92" t="s">
        <v>64</v>
      </c>
      <c r="D2" s="133" t="s">
        <v>137</v>
      </c>
      <c r="E2" s="133" t="s">
        <v>138</v>
      </c>
      <c r="F2" s="92" t="s">
        <v>25</v>
      </c>
      <c r="G2" s="92" t="s">
        <v>126</v>
      </c>
      <c r="H2" s="92" t="s">
        <v>17</v>
      </c>
      <c r="I2" s="184">
        <f>E3-F3</f>
        <v>822865.6216123458</v>
      </c>
    </row>
    <row r="3" spans="1:9" s="64" customFormat="1" x14ac:dyDescent="0.2">
      <c r="A3" s="193"/>
      <c r="B3" s="193"/>
      <c r="C3" s="192" t="s">
        <v>47</v>
      </c>
      <c r="D3" s="102">
        <f>SUM(D4:D60)</f>
        <v>14743515.399999997</v>
      </c>
      <c r="E3" s="102">
        <f>SUM(E4:E60)</f>
        <v>3457069.5076127937</v>
      </c>
      <c r="F3" s="102">
        <f>SUM(F4:F60)</f>
        <v>2634203.8860004479</v>
      </c>
      <c r="G3" s="102"/>
      <c r="H3" s="102">
        <f>SUM(H4:H60)</f>
        <v>3457069.5076127942</v>
      </c>
      <c r="I3" s="193" t="s">
        <v>7</v>
      </c>
    </row>
    <row r="4" spans="1:9" s="64" customFormat="1" x14ac:dyDescent="0.2">
      <c r="A4" s="211">
        <v>72015</v>
      </c>
      <c r="B4" s="211" t="s">
        <v>193</v>
      </c>
      <c r="C4" s="212">
        <v>1.4937318840751299</v>
      </c>
      <c r="D4" s="213">
        <f>VLOOKUP(A4,IRData!$A$3:$AN$142,22,FALSE)</f>
        <v>13739.03</v>
      </c>
      <c r="E4" s="102">
        <f>VLOOKUP(A4,IRData!$A$3:$AN$142,39,FALSE)</f>
        <v>3952.8603995145049</v>
      </c>
      <c r="F4" s="102">
        <f>(C4*E4)</f>
        <v>5904.5136120527723</v>
      </c>
      <c r="G4" s="214">
        <f>D4/$D$3*$I$2</f>
        <v>766.80324566966374</v>
      </c>
      <c r="H4" s="102">
        <f t="shared" ref="H4:H28" si="0">F4+G4</f>
        <v>6671.316857722436</v>
      </c>
      <c r="I4" s="190">
        <f t="shared" ref="I4:I28" si="1">H4/E4</f>
        <v>1.6877188120637439</v>
      </c>
    </row>
    <row r="5" spans="1:9" x14ac:dyDescent="0.2">
      <c r="A5" s="211">
        <v>92015</v>
      </c>
      <c r="B5" s="211" t="s">
        <v>194</v>
      </c>
      <c r="C5" s="212">
        <v>0.81803760335532705</v>
      </c>
      <c r="D5" s="213">
        <f>VLOOKUP(A5,IRData!$A$3:$AN$142,22,FALSE)</f>
        <v>58807.25</v>
      </c>
      <c r="E5" s="102">
        <f>VLOOKUP(A5,IRData!$A$3:$AN$142,39,FALSE)</f>
        <v>11287.638797134103</v>
      </c>
      <c r="F5" s="102">
        <f t="shared" ref="F5:F60" si="2">(C5*E5)</f>
        <v>9233.7129891481873</v>
      </c>
      <c r="G5" s="102">
        <f t="shared" ref="G5:G28" si="3">D5/$D$3*$I$2</f>
        <v>3282.1523913192805</v>
      </c>
      <c r="H5" s="102">
        <f t="shared" si="0"/>
        <v>12515.865380467469</v>
      </c>
      <c r="I5" s="190">
        <f t="shared" si="1"/>
        <v>1.1088116483356296</v>
      </c>
    </row>
    <row r="6" spans="1:9" x14ac:dyDescent="0.2">
      <c r="A6" s="211">
        <v>142015</v>
      </c>
      <c r="B6" s="211" t="s">
        <v>195</v>
      </c>
      <c r="C6" s="212">
        <v>0.518845036256112</v>
      </c>
      <c r="D6" s="213">
        <f>VLOOKUP(A6,IRData!$A$3:$AN$142,22,FALSE)</f>
        <v>33555.230000000003</v>
      </c>
      <c r="E6" s="102">
        <f>VLOOKUP(A6,IRData!$A$3:$AN$142,39,FALSE)</f>
        <v>12009.382486774779</v>
      </c>
      <c r="F6" s="102">
        <f t="shared" si="2"/>
        <v>6231.0084917641771</v>
      </c>
      <c r="G6" s="102">
        <f t="shared" si="3"/>
        <v>1872.7857260077362</v>
      </c>
      <c r="H6" s="102">
        <f t="shared" si="0"/>
        <v>8103.7942177719133</v>
      </c>
      <c r="I6" s="190">
        <f t="shared" si="1"/>
        <v>0.67478858523293284</v>
      </c>
    </row>
    <row r="7" spans="1:9" x14ac:dyDescent="0.2">
      <c r="A7" s="211">
        <v>372015</v>
      </c>
      <c r="B7" s="211" t="s">
        <v>199</v>
      </c>
      <c r="C7" s="212">
        <v>0.71297317991437104</v>
      </c>
      <c r="D7" s="213">
        <f>VLOOKUP(A7,IRData!$A$3:$AN$142,22,FALSE)</f>
        <v>56293.36</v>
      </c>
      <c r="E7" s="102">
        <f>VLOOKUP(A7,IRData!$A$3:$AN$142,39,FALSE)</f>
        <v>16786.63850612743</v>
      </c>
      <c r="F7" s="102">
        <f t="shared" si="2"/>
        <v>11968.423035786702</v>
      </c>
      <c r="G7" s="102">
        <f t="shared" si="3"/>
        <v>3141.8470705465247</v>
      </c>
      <c r="H7" s="102">
        <f t="shared" si="0"/>
        <v>15110.270106333226</v>
      </c>
      <c r="I7" s="190">
        <f t="shared" si="1"/>
        <v>0.90013674273248334</v>
      </c>
    </row>
    <row r="8" spans="1:9" x14ac:dyDescent="0.2">
      <c r="A8" s="211">
        <v>562015</v>
      </c>
      <c r="B8" s="211" t="s">
        <v>207</v>
      </c>
      <c r="C8" s="212">
        <v>0.66418813683732603</v>
      </c>
      <c r="D8" s="213">
        <f>VLOOKUP(A8,IRData!$A$3:$AN$142,22,FALSE)</f>
        <v>115587.43</v>
      </c>
      <c r="E8" s="102">
        <f>VLOOKUP(A8,IRData!$A$3:$AN$142,39,FALSE)</f>
        <v>27708.72499509099</v>
      </c>
      <c r="F8" s="102">
        <f t="shared" si="2"/>
        <v>18403.806428627329</v>
      </c>
      <c r="G8" s="102">
        <f t="shared" si="3"/>
        <v>6451.1698775397572</v>
      </c>
      <c r="H8" s="102">
        <f t="shared" si="0"/>
        <v>24854.976306167086</v>
      </c>
      <c r="I8" s="190">
        <f t="shared" si="1"/>
        <v>0.89700902190809972</v>
      </c>
    </row>
    <row r="9" spans="1:9" x14ac:dyDescent="0.2">
      <c r="A9" s="211">
        <v>622015</v>
      </c>
      <c r="B9" s="211" t="s">
        <v>208</v>
      </c>
      <c r="C9" s="212">
        <v>1.2465963830982201</v>
      </c>
      <c r="D9" s="213">
        <f>VLOOKUP(A9,IRData!$A$3:$AN$142,22,FALSE)</f>
        <v>33214.86</v>
      </c>
      <c r="E9" s="102">
        <f>VLOOKUP(A9,IRData!$A$3:$AN$142,39,FALSE)</f>
        <v>6248.3142319999997</v>
      </c>
      <c r="F9" s="102">
        <f t="shared" si="2"/>
        <v>7789.1259220723323</v>
      </c>
      <c r="G9" s="102">
        <f t="shared" si="3"/>
        <v>1853.7889830987692</v>
      </c>
      <c r="H9" s="102">
        <f t="shared" si="0"/>
        <v>9642.9149051711011</v>
      </c>
      <c r="I9" s="190">
        <f t="shared" si="1"/>
        <v>1.543282643466626</v>
      </c>
    </row>
    <row r="10" spans="1:9" x14ac:dyDescent="0.2">
      <c r="A10" s="211">
        <v>632015</v>
      </c>
      <c r="B10" s="211" t="s">
        <v>209</v>
      </c>
      <c r="C10" s="212">
        <v>0.44269845423681498</v>
      </c>
      <c r="D10" s="213">
        <f>VLOOKUP(A10,IRData!$A$3:$AN$142,22,FALSE)</f>
        <v>16720.55</v>
      </c>
      <c r="E10" s="102">
        <f>VLOOKUP(A10,IRData!$A$3:$AN$142,39,FALSE)</f>
        <v>9014.4374682124744</v>
      </c>
      <c r="F10" s="102">
        <f t="shared" si="2"/>
        <v>3990.6775329920902</v>
      </c>
      <c r="G10" s="102">
        <f t="shared" si="3"/>
        <v>933.20794913337363</v>
      </c>
      <c r="H10" s="102">
        <f t="shared" si="0"/>
        <v>4923.8854821254636</v>
      </c>
      <c r="I10" s="190">
        <f t="shared" si="1"/>
        <v>0.54622215745447389</v>
      </c>
    </row>
    <row r="11" spans="1:9" x14ac:dyDescent="0.2">
      <c r="A11" s="211">
        <v>652015</v>
      </c>
      <c r="B11" s="211" t="s">
        <v>210</v>
      </c>
      <c r="C11" s="212">
        <v>0.78935895901491104</v>
      </c>
      <c r="D11" s="213">
        <f>VLOOKUP(A11,IRData!$A$3:$AN$142,22,FALSE)</f>
        <v>72945.23</v>
      </c>
      <c r="E11" s="102">
        <f>VLOOKUP(A11,IRData!$A$3:$AN$142,39,FALSE)</f>
        <v>18831.565195259565</v>
      </c>
      <c r="F11" s="102">
        <f t="shared" si="2"/>
        <v>14864.86469915152</v>
      </c>
      <c r="G11" s="102">
        <f t="shared" si="3"/>
        <v>4071.2218490039049</v>
      </c>
      <c r="H11" s="102">
        <f t="shared" si="0"/>
        <v>18936.086548155425</v>
      </c>
      <c r="I11" s="190">
        <f t="shared" si="1"/>
        <v>1.0055503274322715</v>
      </c>
    </row>
    <row r="12" spans="1:9" x14ac:dyDescent="0.2">
      <c r="A12" s="211">
        <v>712015</v>
      </c>
      <c r="B12" s="211" t="s">
        <v>211</v>
      </c>
      <c r="C12" s="212">
        <v>0.49845348623902203</v>
      </c>
      <c r="D12" s="213">
        <f>VLOOKUP(A12,IRData!$A$3:$AN$142,22,FALSE)</f>
        <v>656270.73</v>
      </c>
      <c r="E12" s="102">
        <f>VLOOKUP(A12,IRData!$A$3:$AN$142,39,FALSE)</f>
        <v>133444.16801959093</v>
      </c>
      <c r="F12" s="102">
        <f t="shared" si="2"/>
        <v>66515.71076763091</v>
      </c>
      <c r="G12" s="102">
        <f t="shared" si="3"/>
        <v>36627.80602429717</v>
      </c>
      <c r="H12" s="102">
        <f t="shared" si="0"/>
        <v>103143.51679192808</v>
      </c>
      <c r="I12" s="190">
        <f t="shared" si="1"/>
        <v>0.77293386681975929</v>
      </c>
    </row>
    <row r="13" spans="1:9" x14ac:dyDescent="0.2">
      <c r="A13" s="211">
        <v>862015</v>
      </c>
      <c r="B13" s="211" t="s">
        <v>215</v>
      </c>
      <c r="C13" s="212">
        <v>0.95533783574909403</v>
      </c>
      <c r="D13" s="213">
        <f>VLOOKUP(A13,IRData!$A$3:$AN$142,22,FALSE)</f>
        <v>76356</v>
      </c>
      <c r="E13" s="102">
        <f>VLOOKUP(A13,IRData!$A$3:$AN$142,39,FALSE)</f>
        <v>18263.60184724116</v>
      </c>
      <c r="F13" s="102">
        <f t="shared" si="2"/>
        <v>17447.909861726526</v>
      </c>
      <c r="G13" s="102">
        <f t="shared" si="3"/>
        <v>4261.5838691925737</v>
      </c>
      <c r="H13" s="102">
        <f t="shared" si="0"/>
        <v>21709.493730919101</v>
      </c>
      <c r="I13" s="190">
        <f t="shared" si="1"/>
        <v>1.1886753726072092</v>
      </c>
    </row>
    <row r="14" spans="1:9" x14ac:dyDescent="0.2">
      <c r="A14" s="211">
        <v>932015</v>
      </c>
      <c r="B14" s="211" t="s">
        <v>217</v>
      </c>
      <c r="C14" s="212">
        <v>0.82362906963696303</v>
      </c>
      <c r="D14" s="213">
        <f>VLOOKUP(A14,IRData!$A$3:$AN$142,22,FALSE)</f>
        <v>19042.54</v>
      </c>
      <c r="E14" s="102">
        <f>VLOOKUP(A14,IRData!$A$3:$AN$142,39,FALSE)</f>
        <v>7167.5765735863824</v>
      </c>
      <c r="F14" s="102">
        <f t="shared" si="2"/>
        <v>5903.4244248546438</v>
      </c>
      <c r="G14" s="102">
        <f t="shared" si="3"/>
        <v>1062.8029400761477</v>
      </c>
      <c r="H14" s="102">
        <f t="shared" si="0"/>
        <v>6966.2273649307917</v>
      </c>
      <c r="I14" s="190">
        <f t="shared" si="1"/>
        <v>0.97190832820711071</v>
      </c>
    </row>
    <row r="15" spans="1:9" x14ac:dyDescent="0.2">
      <c r="A15" s="211">
        <v>1032015</v>
      </c>
      <c r="B15" s="211" t="s">
        <v>222</v>
      </c>
      <c r="C15" s="212">
        <v>0.73284114641346898</v>
      </c>
      <c r="D15" s="213">
        <f>VLOOKUP(A15,IRData!$A$3:$AN$142,22,FALSE)</f>
        <v>50112.160000000003</v>
      </c>
      <c r="E15" s="102">
        <f>VLOOKUP(A15,IRData!$A$3:$AN$142,39,FALSE)</f>
        <v>7037.3650424747548</v>
      </c>
      <c r="F15" s="102">
        <f t="shared" si="2"/>
        <v>5157.2706654572703</v>
      </c>
      <c r="G15" s="102">
        <f t="shared" si="3"/>
        <v>2796.861709707126</v>
      </c>
      <c r="H15" s="102">
        <f t="shared" si="0"/>
        <v>7954.1323751643959</v>
      </c>
      <c r="I15" s="190">
        <f t="shared" si="1"/>
        <v>1.1302713909476623</v>
      </c>
    </row>
    <row r="16" spans="1:9" x14ac:dyDescent="0.2">
      <c r="A16" s="211">
        <v>1062015</v>
      </c>
      <c r="B16" s="211" t="s">
        <v>166</v>
      </c>
      <c r="C16" s="212">
        <v>1.0487358006595799</v>
      </c>
      <c r="D16" s="213">
        <f>VLOOKUP(A16,IRData!$A$3:$AN$142,22,FALSE)</f>
        <v>4755.08</v>
      </c>
      <c r="E16" s="102">
        <f>VLOOKUP(A16,IRData!$A$3:$AN$142,39,FALSE)</f>
        <v>2431.5122002608468</v>
      </c>
      <c r="F16" s="102">
        <f t="shared" si="2"/>
        <v>2550.0138941540963</v>
      </c>
      <c r="G16" s="102">
        <f t="shared" ref="G16" si="4">D16/$D$3*$I$2</f>
        <v>265.3906991555375</v>
      </c>
      <c r="H16" s="102">
        <f t="shared" ref="H16" si="5">F16+G16</f>
        <v>2815.404593309634</v>
      </c>
      <c r="I16" s="190">
        <f t="shared" ref="I16" si="6">H16/E16</f>
        <v>1.1578821578635732</v>
      </c>
    </row>
    <row r="17" spans="1:9" x14ac:dyDescent="0.2">
      <c r="A17" s="211">
        <v>1322015</v>
      </c>
      <c r="B17" s="211" t="s">
        <v>227</v>
      </c>
      <c r="C17" s="212">
        <v>0.91785665519199899</v>
      </c>
      <c r="D17" s="213">
        <f>VLOOKUP(A17,IRData!$A$3:$AN$142,22,FALSE)</f>
        <v>105374.31</v>
      </c>
      <c r="E17" s="102">
        <f>VLOOKUP(A17,IRData!$A$3:$AN$142,39,FALSE)</f>
        <v>21066.749130774708</v>
      </c>
      <c r="F17" s="102">
        <f t="shared" si="2"/>
        <v>19336.255892941826</v>
      </c>
      <c r="G17" s="102">
        <f t="shared" si="3"/>
        <v>5881.1548499567507</v>
      </c>
      <c r="H17" s="102">
        <f t="shared" si="0"/>
        <v>25217.410742898577</v>
      </c>
      <c r="I17" s="190">
        <f t="shared" si="1"/>
        <v>1.1970243052859306</v>
      </c>
    </row>
    <row r="18" spans="1:9" x14ac:dyDescent="0.2">
      <c r="A18" s="211">
        <v>1332015</v>
      </c>
      <c r="B18" s="211" t="s">
        <v>228</v>
      </c>
      <c r="C18" s="212">
        <v>1.1902035225677901</v>
      </c>
      <c r="D18" s="213">
        <f>VLOOKUP(A18,IRData!$A$3:$AN$142,22,FALSE)</f>
        <v>67544.759999999995</v>
      </c>
      <c r="E18" s="102">
        <f>VLOOKUP(A18,IRData!$A$3:$AN$142,39,FALSE)</f>
        <v>15640.206174970461</v>
      </c>
      <c r="F18" s="102">
        <f t="shared" si="2"/>
        <v>18615.028483136342</v>
      </c>
      <c r="G18" s="102">
        <f t="shared" si="3"/>
        <v>3769.81061952543</v>
      </c>
      <c r="H18" s="102">
        <f t="shared" si="0"/>
        <v>22384.839102661772</v>
      </c>
      <c r="I18" s="190">
        <f t="shared" si="1"/>
        <v>1.4312368297602733</v>
      </c>
    </row>
    <row r="19" spans="1:9" x14ac:dyDescent="0.2">
      <c r="A19" s="211">
        <v>1382015</v>
      </c>
      <c r="B19" s="211" t="s">
        <v>229</v>
      </c>
      <c r="C19" s="212">
        <v>1.22478991596639</v>
      </c>
      <c r="D19" s="213">
        <f>VLOOKUP(A19,IRData!$A$3:$AN$142,22,FALSE)</f>
        <v>20316.150000000001</v>
      </c>
      <c r="E19" s="102">
        <f>VLOOKUP(A19,IRData!$A$3:$AN$142,39,FALSE)</f>
        <v>3892.8380345973865</v>
      </c>
      <c r="F19" s="102">
        <f t="shared" si="2"/>
        <v>4767.9087692652993</v>
      </c>
      <c r="G19" s="102">
        <f t="shared" si="3"/>
        <v>1133.885708053024</v>
      </c>
      <c r="H19" s="102">
        <f t="shared" si="0"/>
        <v>5901.7944773183235</v>
      </c>
      <c r="I19" s="190">
        <f t="shared" si="1"/>
        <v>1.5160647385959667</v>
      </c>
    </row>
    <row r="20" spans="1:9" x14ac:dyDescent="0.2">
      <c r="A20" s="211">
        <v>1462015</v>
      </c>
      <c r="B20" s="211" t="s">
        <v>230</v>
      </c>
      <c r="C20" s="212">
        <v>0.76494212746232904</v>
      </c>
      <c r="D20" s="213">
        <f>VLOOKUP(A20,IRData!$A$3:$AN$142,22,FALSE)</f>
        <v>86247.94</v>
      </c>
      <c r="E20" s="102">
        <f>VLOOKUP(A20,IRData!$A$3:$AN$142,39,FALSE)</f>
        <v>18169.562347633491</v>
      </c>
      <c r="F20" s="102">
        <f t="shared" si="2"/>
        <v>13898.663677258193</v>
      </c>
      <c r="G20" s="102">
        <f t="shared" si="3"/>
        <v>4813.6731868496108</v>
      </c>
      <c r="H20" s="102">
        <f t="shared" si="0"/>
        <v>18712.336864107805</v>
      </c>
      <c r="I20" s="190">
        <f t="shared" si="1"/>
        <v>1.0298727347466907</v>
      </c>
    </row>
    <row r="21" spans="1:9" x14ac:dyDescent="0.2">
      <c r="A21" s="211">
        <v>1642015</v>
      </c>
      <c r="B21" s="211" t="s">
        <v>236</v>
      </c>
      <c r="C21" s="212">
        <v>0.87870642587149295</v>
      </c>
      <c r="D21" s="213">
        <f>VLOOKUP(A21,IRData!$A$3:$AN$142,22,FALSE)</f>
        <v>38668.86</v>
      </c>
      <c r="E21" s="102">
        <f>VLOOKUP(A21,IRData!$A$3:$AN$142,39,FALSE)</f>
        <v>11797.696369629259</v>
      </c>
      <c r="F21" s="102">
        <f t="shared" si="2"/>
        <v>10366.711610474014</v>
      </c>
      <c r="G21" s="102">
        <f t="shared" si="3"/>
        <v>2158.1878308982391</v>
      </c>
      <c r="H21" s="102">
        <f t="shared" si="0"/>
        <v>12524.899441372254</v>
      </c>
      <c r="I21" s="190">
        <f t="shared" si="1"/>
        <v>1.0616394123868986</v>
      </c>
    </row>
    <row r="22" spans="1:9" x14ac:dyDescent="0.2">
      <c r="A22" s="211">
        <v>1732015</v>
      </c>
      <c r="B22" s="211" t="s">
        <v>172</v>
      </c>
      <c r="C22" s="212">
        <v>0.82707509881422903</v>
      </c>
      <c r="D22" s="213">
        <f>VLOOKUP(A22,IRData!$A$3:$AN$142,22,FALSE)</f>
        <v>2730.03</v>
      </c>
      <c r="E22" s="102">
        <f>VLOOKUP(A22,IRData!$A$3:$AN$142,39,FALSE)</f>
        <v>2109.2618668820719</v>
      </c>
      <c r="F22" s="102">
        <f t="shared" si="2"/>
        <v>1744.5179669765748</v>
      </c>
      <c r="G22" s="102">
        <f t="shared" ref="G22:G24" si="7">D22/$D$3*$I$2</f>
        <v>152.36853437073449</v>
      </c>
      <c r="H22" s="102">
        <f t="shared" ref="H22:H24" si="8">F22+G22</f>
        <v>1896.8865013473094</v>
      </c>
      <c r="I22" s="190">
        <f t="shared" ref="I22:I24" si="9">H22/E22</f>
        <v>0.8993129450310039</v>
      </c>
    </row>
    <row r="23" spans="1:9" x14ac:dyDescent="0.2">
      <c r="A23" s="211">
        <v>1842015</v>
      </c>
      <c r="B23" s="211" t="s">
        <v>173</v>
      </c>
      <c r="C23" s="212">
        <v>0.74485516583341205</v>
      </c>
      <c r="D23" s="213">
        <f>VLOOKUP(A23,IRData!$A$3:$AN$142,22,FALSE)</f>
        <v>23956.19</v>
      </c>
      <c r="E23" s="102">
        <f>VLOOKUP(A23,IRData!$A$3:$AN$142,39,FALSE)</f>
        <v>3692.1371539406509</v>
      </c>
      <c r="F23" s="102">
        <f t="shared" si="2"/>
        <v>2750.1074320781654</v>
      </c>
      <c r="G23" s="102">
        <f t="shared" si="7"/>
        <v>1337.0437538806698</v>
      </c>
      <c r="H23" s="102">
        <f t="shared" si="8"/>
        <v>4087.1511859588354</v>
      </c>
      <c r="I23" s="190">
        <f t="shared" si="9"/>
        <v>1.1069879085062109</v>
      </c>
    </row>
    <row r="24" spans="1:9" x14ac:dyDescent="0.2">
      <c r="A24" s="211">
        <v>1972015</v>
      </c>
      <c r="B24" s="211" t="s">
        <v>244</v>
      </c>
      <c r="C24" s="212">
        <v>0.80770589107481405</v>
      </c>
      <c r="D24" s="213">
        <f>VLOOKUP(A24,IRData!$A$3:$AN$142,22,FALSE)</f>
        <v>51631.199999999997</v>
      </c>
      <c r="E24" s="102">
        <f>VLOOKUP(A24,IRData!$A$3:$AN$142,39,FALSE)</f>
        <v>15020.220936680791</v>
      </c>
      <c r="F24" s="102">
        <f t="shared" si="2"/>
        <v>12131.920935802336</v>
      </c>
      <c r="G24" s="102">
        <f t="shared" si="7"/>
        <v>2881.642425834978</v>
      </c>
      <c r="H24" s="102">
        <f t="shared" si="8"/>
        <v>15013.563361637314</v>
      </c>
      <c r="I24" s="190">
        <f t="shared" si="9"/>
        <v>0.99955675918007181</v>
      </c>
    </row>
    <row r="25" spans="1:9" x14ac:dyDescent="0.2">
      <c r="A25" s="211">
        <v>2062015</v>
      </c>
      <c r="B25" s="211" t="s">
        <v>246</v>
      </c>
      <c r="C25" s="212">
        <v>1.2360146870202999</v>
      </c>
      <c r="D25" s="213">
        <f>VLOOKUP(A25,IRData!$A$3:$AN$142,22,FALSE)</f>
        <v>8211.2999999999993</v>
      </c>
      <c r="E25" s="102">
        <f>VLOOKUP(A25,IRData!$A$3:$AN$142,39,FALSE)</f>
        <v>2695.2410594236594</v>
      </c>
      <c r="F25" s="102">
        <f t="shared" si="2"/>
        <v>3331.3575345077961</v>
      </c>
      <c r="G25" s="102">
        <f t="shared" si="3"/>
        <v>458.28937640920128</v>
      </c>
      <c r="H25" s="102">
        <f t="shared" si="0"/>
        <v>3789.6469109169975</v>
      </c>
      <c r="I25" s="190">
        <f t="shared" si="1"/>
        <v>1.406051194443944</v>
      </c>
    </row>
    <row r="26" spans="1:9" x14ac:dyDescent="0.2">
      <c r="A26" s="211">
        <v>2102015</v>
      </c>
      <c r="B26" s="211" t="s">
        <v>247</v>
      </c>
      <c r="C26" s="212">
        <v>0.65114156738991702</v>
      </c>
      <c r="D26" s="213">
        <f>VLOOKUP(A26,IRData!$A$3:$AN$142,22,FALSE)</f>
        <v>345246.28</v>
      </c>
      <c r="E26" s="102">
        <f>VLOOKUP(A26,IRData!$A$3:$AN$142,39,FALSE)</f>
        <v>81939.748720396878</v>
      </c>
      <c r="F26" s="102">
        <f t="shared" si="2"/>
        <v>53354.376413335172</v>
      </c>
      <c r="G26" s="102">
        <f t="shared" si="3"/>
        <v>19268.898026962423</v>
      </c>
      <c r="H26" s="102">
        <f t="shared" si="0"/>
        <v>72623.274440297595</v>
      </c>
      <c r="I26" s="190">
        <f t="shared" si="1"/>
        <v>0.88630091713009884</v>
      </c>
    </row>
    <row r="27" spans="1:9" x14ac:dyDescent="0.2">
      <c r="A27" s="211">
        <v>2152015</v>
      </c>
      <c r="B27" s="211" t="s">
        <v>250</v>
      </c>
      <c r="C27" s="212">
        <v>0.87858966129696003</v>
      </c>
      <c r="D27" s="213">
        <f>VLOOKUP(A27,IRData!$A$3:$AN$142,22,FALSE)</f>
        <v>526530.17000000004</v>
      </c>
      <c r="E27" s="102">
        <f>VLOOKUP(A27,IRData!$A$3:$AN$142,39,FALSE)</f>
        <v>133356.39113512103</v>
      </c>
      <c r="F27" s="102">
        <f t="shared" si="2"/>
        <v>117165.5465191909</v>
      </c>
      <c r="G27" s="102">
        <f t="shared" si="3"/>
        <v>29386.721136717792</v>
      </c>
      <c r="H27" s="102">
        <f t="shared" si="0"/>
        <v>146552.26765590868</v>
      </c>
      <c r="I27" s="190">
        <f t="shared" si="1"/>
        <v>1.0989519617954955</v>
      </c>
    </row>
    <row r="28" spans="1:9" x14ac:dyDescent="0.2">
      <c r="A28" s="211">
        <v>2272015</v>
      </c>
      <c r="B28" s="211" t="s">
        <v>252</v>
      </c>
      <c r="C28" s="212">
        <v>0.66323841357480395</v>
      </c>
      <c r="D28" s="213">
        <f>VLOOKUP(A28,IRData!$A$3:$AN$142,22,FALSE)</f>
        <v>454313.15</v>
      </c>
      <c r="E28" s="102">
        <f>VLOOKUP(A28,IRData!$A$3:$AN$142,39,FALSE)</f>
        <v>92160.229241195077</v>
      </c>
      <c r="F28" s="102">
        <f t="shared" si="2"/>
        <v>61124.204236620484</v>
      </c>
      <c r="G28" s="102">
        <f t="shared" si="3"/>
        <v>25356.142170910814</v>
      </c>
      <c r="H28" s="102">
        <f t="shared" si="0"/>
        <v>86480.346407531295</v>
      </c>
      <c r="I28" s="190">
        <f t="shared" si="1"/>
        <v>0.93836948019303634</v>
      </c>
    </row>
    <row r="29" spans="1:9" x14ac:dyDescent="0.2">
      <c r="A29" s="211">
        <v>2382015</v>
      </c>
      <c r="B29" s="211" t="s">
        <v>176</v>
      </c>
      <c r="C29" s="212">
        <v>0.57349192863211595</v>
      </c>
      <c r="D29" s="213">
        <f>VLOOKUP(A29,IRData!$A$3:$AN$142,22,FALSE)</f>
        <v>18324.43</v>
      </c>
      <c r="E29" s="102">
        <f>VLOOKUP(A29,IRData!$A$3:$AN$142,39,FALSE)</f>
        <v>2371.1821447651155</v>
      </c>
      <c r="F29" s="102">
        <f t="shared" si="2"/>
        <v>1359.8538213393833</v>
      </c>
      <c r="G29" s="102">
        <f t="shared" ref="G29" si="10">D29/$D$3*$I$2</f>
        <v>1022.7237584492178</v>
      </c>
      <c r="H29" s="102">
        <f t="shared" ref="H29" si="11">F29+G29</f>
        <v>2382.5775797886013</v>
      </c>
      <c r="I29" s="190">
        <f t="shared" ref="I29" si="12">H29/E29</f>
        <v>1.0048058033199363</v>
      </c>
    </row>
    <row r="30" spans="1:9" x14ac:dyDescent="0.2">
      <c r="A30" s="211">
        <v>2492015</v>
      </c>
      <c r="B30" s="211" t="s">
        <v>257</v>
      </c>
      <c r="C30" s="212">
        <v>0.59000022754812198</v>
      </c>
      <c r="D30" s="213">
        <f>VLOOKUP(A30,IRData!$A$3:$AN$142,22,FALSE)</f>
        <v>282595.98</v>
      </c>
      <c r="E30" s="102">
        <f>VLOOKUP(A30,IRData!$A$3:$AN$142,39,FALSE)</f>
        <v>44235.133089020179</v>
      </c>
      <c r="F30" s="102">
        <f t="shared" si="2"/>
        <v>26098.738588143366</v>
      </c>
      <c r="G30" s="102">
        <f t="shared" ref="G30:G57" si="13">D30/$D$3*$I$2</f>
        <v>15772.257188258514</v>
      </c>
      <c r="H30" s="102">
        <f t="shared" ref="H30:H57" si="14">F30+G30</f>
        <v>41870.995776401876</v>
      </c>
      <c r="I30" s="190">
        <f t="shared" ref="I30:I57" si="15">H30/E30</f>
        <v>0.94655521194294501</v>
      </c>
    </row>
    <row r="31" spans="1:9" x14ac:dyDescent="0.2">
      <c r="A31" s="211">
        <v>2512015</v>
      </c>
      <c r="B31" s="211" t="s">
        <v>258</v>
      </c>
      <c r="C31" s="212">
        <v>0.73881017905452695</v>
      </c>
      <c r="D31" s="213">
        <f>VLOOKUP(A31,IRData!$A$3:$AN$142,22,FALSE)</f>
        <v>66632.73</v>
      </c>
      <c r="E31" s="102">
        <f>VLOOKUP(A31,IRData!$A$3:$AN$142,39,FALSE)</f>
        <v>13081.382065394042</v>
      </c>
      <c r="F31" s="102">
        <f t="shared" si="2"/>
        <v>9664.6582260144496</v>
      </c>
      <c r="G31" s="102">
        <f t="shared" si="13"/>
        <v>3718.9083677545186</v>
      </c>
      <c r="H31" s="102">
        <f t="shared" si="14"/>
        <v>13383.566593768968</v>
      </c>
      <c r="I31" s="190">
        <f t="shared" si="15"/>
        <v>1.0231003518484745</v>
      </c>
    </row>
    <row r="32" spans="1:9" x14ac:dyDescent="0.2">
      <c r="A32" s="211">
        <v>2572015</v>
      </c>
      <c r="B32" s="211" t="s">
        <v>259</v>
      </c>
      <c r="C32" s="212">
        <v>0.49712811950685498</v>
      </c>
      <c r="D32" s="213">
        <f>VLOOKUP(A32,IRData!$A$3:$AN$142,22,FALSE)</f>
        <v>73961.289999999994</v>
      </c>
      <c r="E32" s="102">
        <f>VLOOKUP(A32,IRData!$A$3:$AN$142,39,FALSE)</f>
        <v>17562.753390506761</v>
      </c>
      <c r="F32" s="102">
        <f t="shared" si="2"/>
        <v>8730.9385663852681</v>
      </c>
      <c r="G32" s="102">
        <f t="shared" si="13"/>
        <v>4127.9302269458058</v>
      </c>
      <c r="H32" s="102">
        <f t="shared" si="14"/>
        <v>12858.868793331074</v>
      </c>
      <c r="I32" s="190">
        <f t="shared" si="15"/>
        <v>0.73216701888450531</v>
      </c>
    </row>
    <row r="33" spans="1:10" x14ac:dyDescent="0.2">
      <c r="A33" s="211">
        <v>2692015</v>
      </c>
      <c r="B33" s="211" t="s">
        <v>262</v>
      </c>
      <c r="C33" s="212">
        <v>0.88800325182877704</v>
      </c>
      <c r="D33" s="213">
        <f>VLOOKUP(A33,IRData!$A$3:$AN$142,22,FALSE)</f>
        <v>277619.71000000002</v>
      </c>
      <c r="E33" s="102">
        <f>VLOOKUP(A33,IRData!$A$3:$AN$142,39,FALSE)</f>
        <v>46346.647094620988</v>
      </c>
      <c r="F33" s="102">
        <f t="shared" si="2"/>
        <v>41155.973331384179</v>
      </c>
      <c r="G33" s="102">
        <f t="shared" si="13"/>
        <v>15494.521424719998</v>
      </c>
      <c r="H33" s="102">
        <f t="shared" si="14"/>
        <v>56650.494756104177</v>
      </c>
      <c r="I33" s="190">
        <f t="shared" si="15"/>
        <v>1.2223213178818939</v>
      </c>
    </row>
    <row r="34" spans="1:10" x14ac:dyDescent="0.2">
      <c r="A34" s="211">
        <v>2712015</v>
      </c>
      <c r="B34" s="211" t="s">
        <v>263</v>
      </c>
      <c r="C34" s="212">
        <v>0.99803149606299202</v>
      </c>
      <c r="D34" s="213">
        <f>VLOOKUP(A34,IRData!$A$3:$AN$142,22,FALSE)</f>
        <v>523.17999999999995</v>
      </c>
      <c r="E34" s="102">
        <f>VLOOKUP(A34,IRData!$A$3:$AN$142,39,FALSE)</f>
        <v>1070.8710870215157</v>
      </c>
      <c r="F34" s="102">
        <f t="shared" si="2"/>
        <v>1068.7630730706858</v>
      </c>
      <c r="G34" s="102">
        <f t="shared" si="13"/>
        <v>29.199741325949113</v>
      </c>
      <c r="H34" s="102">
        <f t="shared" si="14"/>
        <v>1097.9628143966349</v>
      </c>
      <c r="I34" s="190">
        <f t="shared" si="15"/>
        <v>1.0252987756448551</v>
      </c>
    </row>
    <row r="35" spans="1:10" x14ac:dyDescent="0.2">
      <c r="A35" s="211">
        <v>2752015</v>
      </c>
      <c r="B35" s="211" t="s">
        <v>264</v>
      </c>
      <c r="C35" s="212">
        <v>0.74635427082871497</v>
      </c>
      <c r="D35" s="213">
        <f>VLOOKUP(A35,IRData!$A$3:$AN$142,22,FALSE)</f>
        <v>59914.21</v>
      </c>
      <c r="E35" s="102">
        <f>VLOOKUP(A35,IRData!$A$3:$AN$142,39,FALSE)</f>
        <v>13840.638469717294</v>
      </c>
      <c r="F35" s="102">
        <f t="shared" si="2"/>
        <v>10330.019632869713</v>
      </c>
      <c r="G35" s="102">
        <f t="shared" si="13"/>
        <v>3343.9340833911724</v>
      </c>
      <c r="H35" s="102">
        <f t="shared" si="14"/>
        <v>13673.953716260885</v>
      </c>
      <c r="I35" s="190">
        <f t="shared" si="15"/>
        <v>0.98795685951763657</v>
      </c>
    </row>
    <row r="36" spans="1:10" x14ac:dyDescent="0.2">
      <c r="A36" s="211">
        <v>2882015</v>
      </c>
      <c r="B36" s="211" t="s">
        <v>265</v>
      </c>
      <c r="C36" s="212">
        <v>1.3322333883305799</v>
      </c>
      <c r="D36" s="213">
        <f>VLOOKUP(A36,IRData!$A$3:$AN$142,22,FALSE)</f>
        <v>17042.740000000002</v>
      </c>
      <c r="E36" s="102">
        <f>VLOOKUP(A36,IRData!$A$3:$AN$142,39,FALSE)</f>
        <v>6721.4566445974888</v>
      </c>
      <c r="F36" s="102">
        <f t="shared" si="2"/>
        <v>8954.5489601492027</v>
      </c>
      <c r="G36" s="102">
        <f t="shared" si="13"/>
        <v>951.1900292163424</v>
      </c>
      <c r="H36" s="102">
        <f t="shared" si="14"/>
        <v>9905.7389893655454</v>
      </c>
      <c r="I36" s="190">
        <f t="shared" si="15"/>
        <v>1.4737488483731409</v>
      </c>
    </row>
    <row r="37" spans="1:10" x14ac:dyDescent="0.2">
      <c r="A37" s="211">
        <v>2952015</v>
      </c>
      <c r="B37" s="211" t="s">
        <v>267</v>
      </c>
      <c r="C37" s="212">
        <v>1.28667208883648</v>
      </c>
      <c r="D37" s="213">
        <f>VLOOKUP(A37,IRData!$A$3:$AN$142,22,FALSE)</f>
        <v>30025.279999999999</v>
      </c>
      <c r="E37" s="102">
        <f>VLOOKUP(A37,IRData!$A$3:$AN$142,39,FALSE)</f>
        <v>7051.3780057031699</v>
      </c>
      <c r="F37" s="102">
        <f t="shared" si="2"/>
        <v>9072.8112677737099</v>
      </c>
      <c r="G37" s="102">
        <f t="shared" si="13"/>
        <v>1675.7720272930794</v>
      </c>
      <c r="H37" s="102">
        <f t="shared" si="14"/>
        <v>10748.58329506679</v>
      </c>
      <c r="I37" s="190">
        <f t="shared" si="15"/>
        <v>1.5243237969051315</v>
      </c>
    </row>
    <row r="38" spans="1:10" x14ac:dyDescent="0.2">
      <c r="A38" s="211">
        <v>3112015</v>
      </c>
      <c r="B38" s="211" t="s">
        <v>269</v>
      </c>
      <c r="C38" s="212">
        <v>0.75876359136363403</v>
      </c>
      <c r="D38" s="213">
        <f>VLOOKUP(A38,IRData!$A$3:$AN$142,22,FALSE)</f>
        <v>340771.98</v>
      </c>
      <c r="E38" s="102">
        <f>VLOOKUP(A38,IRData!$A$3:$AN$142,39,FALSE)</f>
        <v>63276.960479968744</v>
      </c>
      <c r="F38" s="102">
        <f t="shared" si="2"/>
        <v>48012.253784355824</v>
      </c>
      <c r="G38" s="102">
        <f t="shared" si="13"/>
        <v>19019.178231452854</v>
      </c>
      <c r="H38" s="102">
        <f t="shared" si="14"/>
        <v>67031.432015808678</v>
      </c>
      <c r="I38" s="190">
        <f t="shared" si="15"/>
        <v>1.0593339425181219</v>
      </c>
    </row>
    <row r="39" spans="1:10" x14ac:dyDescent="0.2">
      <c r="A39" s="211">
        <v>3432015</v>
      </c>
      <c r="B39" s="211" t="s">
        <v>180</v>
      </c>
      <c r="C39" s="212">
        <v>0.41986852161155203</v>
      </c>
      <c r="D39" s="213">
        <f>VLOOKUP(A39,IRData!$A$3:$AN$142,22,FALSE)</f>
        <v>24722.78</v>
      </c>
      <c r="E39" s="102">
        <f>VLOOKUP(A39,IRData!$A$3:$AN$142,39,FALSE)</f>
        <v>5309.4607846704839</v>
      </c>
      <c r="F39" s="102">
        <f t="shared" si="2"/>
        <v>2229.275450214107</v>
      </c>
      <c r="G39" s="102">
        <f t="shared" ref="G39" si="16">D39/$D$3*$I$2</f>
        <v>1379.8287030435954</v>
      </c>
      <c r="H39" s="102">
        <f t="shared" ref="H39" si="17">F39+G39</f>
        <v>3609.1041532577024</v>
      </c>
      <c r="I39" s="190">
        <f t="shared" ref="I39" si="18">H39/E39</f>
        <v>0.67974965813438826</v>
      </c>
      <c r="J39" s="67"/>
    </row>
    <row r="40" spans="1:10" x14ac:dyDescent="0.2">
      <c r="A40" s="211">
        <v>3542015</v>
      </c>
      <c r="B40" s="211" t="s">
        <v>271</v>
      </c>
      <c r="C40" s="212">
        <v>0.32017339148381802</v>
      </c>
      <c r="D40" s="213">
        <f>VLOOKUP(A40,IRData!$A$3:$AN$142,22,FALSE)</f>
        <v>424860.54</v>
      </c>
      <c r="E40" s="102">
        <f>VLOOKUP(A40,IRData!$A$3:$AN$142,39,FALSE)</f>
        <v>71394.298731970921</v>
      </c>
      <c r="F40" s="102">
        <f t="shared" si="2"/>
        <v>22858.554757623977</v>
      </c>
      <c r="G40" s="102">
        <f t="shared" si="13"/>
        <v>23712.332022636678</v>
      </c>
      <c r="H40" s="102">
        <f t="shared" si="14"/>
        <v>46570.886780260655</v>
      </c>
      <c r="I40" s="190">
        <f t="shared" si="15"/>
        <v>0.65230540263582493</v>
      </c>
    </row>
    <row r="41" spans="1:10" x14ac:dyDescent="0.2">
      <c r="A41" s="211">
        <v>4332015</v>
      </c>
      <c r="B41" s="211" t="s">
        <v>274</v>
      </c>
      <c r="C41" s="212">
        <v>1.0627682788142701</v>
      </c>
      <c r="D41" s="213">
        <f>VLOOKUP(A41,IRData!$A$3:$AN$142,22,FALSE)</f>
        <v>71945.33</v>
      </c>
      <c r="E41" s="102">
        <f>VLOOKUP(A41,IRData!$A$3:$AN$142,39,FALSE)</f>
        <v>15623.545006836306</v>
      </c>
      <c r="F41" s="102">
        <f t="shared" si="2"/>
        <v>16604.208035892705</v>
      </c>
      <c r="G41" s="102">
        <f t="shared" si="13"/>
        <v>4015.4153935740023</v>
      </c>
      <c r="H41" s="102">
        <f t="shared" si="14"/>
        <v>20619.623429466708</v>
      </c>
      <c r="I41" s="190">
        <f t="shared" si="15"/>
        <v>1.3197787967099845</v>
      </c>
    </row>
    <row r="42" spans="1:10" x14ac:dyDescent="0.2">
      <c r="A42" s="211">
        <v>4602015</v>
      </c>
      <c r="B42" s="211" t="s">
        <v>140</v>
      </c>
      <c r="C42" s="212">
        <v>0.76443564441092005</v>
      </c>
      <c r="D42" s="213">
        <f>VLOOKUP(A42,IRData!$A$3:$AN$142,22,FALSE)</f>
        <v>627082.74</v>
      </c>
      <c r="E42" s="102">
        <f>VLOOKUP(A42,IRData!$A$3:$AN$142,39,FALSE)</f>
        <v>123374.99622672025</v>
      </c>
      <c r="F42" s="102">
        <f t="shared" si="2"/>
        <v>94312.244744767726</v>
      </c>
      <c r="G42" s="102">
        <f t="shared" si="13"/>
        <v>34998.76485715701</v>
      </c>
      <c r="H42" s="102">
        <f t="shared" si="14"/>
        <v>129311.00960192474</v>
      </c>
      <c r="I42" s="190">
        <f t="shared" si="15"/>
        <v>1.0481135850597811</v>
      </c>
    </row>
    <row r="43" spans="1:10" x14ac:dyDescent="0.2">
      <c r="A43" s="211">
        <v>4642015</v>
      </c>
      <c r="B43" s="211" t="s">
        <v>275</v>
      </c>
      <c r="C43" s="212">
        <v>0.65904009312102696</v>
      </c>
      <c r="D43" s="213">
        <f>VLOOKUP(A43,IRData!$A$3:$AN$142,22,FALSE)</f>
        <v>53450.21</v>
      </c>
      <c r="E43" s="102">
        <f>VLOOKUP(A43,IRData!$A$3:$AN$142,39,FALSE)</f>
        <v>12408.215704352764</v>
      </c>
      <c r="F43" s="102">
        <f t="shared" si="2"/>
        <v>8177.5116332624348</v>
      </c>
      <c r="G43" s="102">
        <f t="shared" si="13"/>
        <v>2983.1650785918009</v>
      </c>
      <c r="H43" s="102">
        <f t="shared" si="14"/>
        <v>11160.676711854236</v>
      </c>
      <c r="I43" s="190">
        <f t="shared" si="15"/>
        <v>0.89945863110190005</v>
      </c>
    </row>
    <row r="44" spans="1:10" x14ac:dyDescent="0.2">
      <c r="A44" s="211">
        <v>4842015</v>
      </c>
      <c r="B44" s="211" t="s">
        <v>182</v>
      </c>
      <c r="C44" s="212">
        <v>0.31322259646662398</v>
      </c>
      <c r="D44" s="213">
        <f>VLOOKUP(A44,IRData!$A$3:$AN$142,22,FALSE)</f>
        <v>51465.56</v>
      </c>
      <c r="E44" s="102">
        <f>VLOOKUP(A44,IRData!$A$3:$AN$142,39,FALSE)</f>
        <v>6569.9739377468313</v>
      </c>
      <c r="F44" s="102">
        <f t="shared" si="2"/>
        <v>2057.8642954991124</v>
      </c>
      <c r="G44" s="102">
        <f t="shared" si="13"/>
        <v>2872.397720086994</v>
      </c>
      <c r="H44" s="102">
        <f t="shared" si="14"/>
        <v>4930.2620155861059</v>
      </c>
      <c r="I44" s="190">
        <f t="shared" si="15"/>
        <v>0.75042337493304223</v>
      </c>
    </row>
    <row r="45" spans="1:10" x14ac:dyDescent="0.2">
      <c r="A45" s="211">
        <v>5032015</v>
      </c>
      <c r="B45" s="211" t="s">
        <v>276</v>
      </c>
      <c r="C45" s="212">
        <v>1.0668028081797101</v>
      </c>
      <c r="D45" s="213">
        <f>VLOOKUP(A45,IRData!$A$3:$AN$142,22,FALSE)</f>
        <v>144712.79999999999</v>
      </c>
      <c r="E45" s="102">
        <f>VLOOKUP(A45,IRData!$A$3:$AN$142,39,FALSE)</f>
        <v>41048.809963347689</v>
      </c>
      <c r="F45" s="102">
        <f t="shared" si="2"/>
        <v>43790.985741334574</v>
      </c>
      <c r="G45" s="102">
        <f t="shared" si="13"/>
        <v>8076.7160949459239</v>
      </c>
      <c r="H45" s="102">
        <f t="shared" si="14"/>
        <v>51867.701836280496</v>
      </c>
      <c r="I45" s="190">
        <f t="shared" si="15"/>
        <v>1.2635616448465363</v>
      </c>
    </row>
    <row r="46" spans="1:10" x14ac:dyDescent="0.2">
      <c r="A46" s="211">
        <v>5112015</v>
      </c>
      <c r="B46" s="211" t="s">
        <v>277</v>
      </c>
      <c r="C46" s="212">
        <v>0.71543999726154495</v>
      </c>
      <c r="D46" s="213">
        <f>VLOOKUP(A46,IRData!$A$3:$AN$142,22,FALSE)</f>
        <v>661633.82999999996</v>
      </c>
      <c r="E46" s="102">
        <f>VLOOKUP(A46,IRData!$A$3:$AN$142,39,FALSE)</f>
        <v>223577.54596392671</v>
      </c>
      <c r="F46" s="102">
        <f t="shared" si="2"/>
        <v>159956.31887217466</v>
      </c>
      <c r="G46" s="102">
        <f t="shared" si="13"/>
        <v>36927.131557966641</v>
      </c>
      <c r="H46" s="102">
        <f t="shared" si="14"/>
        <v>196883.4504301413</v>
      </c>
      <c r="I46" s="190">
        <f t="shared" si="15"/>
        <v>0.880604756534485</v>
      </c>
    </row>
    <row r="47" spans="1:10" x14ac:dyDescent="0.2">
      <c r="A47" s="211">
        <v>5662015</v>
      </c>
      <c r="B47" s="211" t="s">
        <v>279</v>
      </c>
      <c r="C47" s="212">
        <v>0.68096583862936499</v>
      </c>
      <c r="D47" s="213">
        <f>VLOOKUP(A47,IRData!$A$3:$AN$142,22,FALSE)</f>
        <v>1155390.51</v>
      </c>
      <c r="E47" s="102">
        <f>VLOOKUP(A47,IRData!$A$3:$AN$142,39,FALSE)</f>
        <v>282225.91840836557</v>
      </c>
      <c r="F47" s="102">
        <f t="shared" si="2"/>
        <v>192186.20921189539</v>
      </c>
      <c r="G47" s="102">
        <f t="shared" si="13"/>
        <v>64484.697470194624</v>
      </c>
      <c r="H47" s="102">
        <f t="shared" si="14"/>
        <v>256670.90668209002</v>
      </c>
      <c r="I47" s="190">
        <f t="shared" si="15"/>
        <v>0.90945193173470751</v>
      </c>
    </row>
    <row r="48" spans="1:10" x14ac:dyDescent="0.2">
      <c r="A48" s="211">
        <v>5742015</v>
      </c>
      <c r="B48" s="211" t="s">
        <v>280</v>
      </c>
      <c r="C48" s="212">
        <v>0.81428141385519104</v>
      </c>
      <c r="D48" s="213">
        <f>VLOOKUP(A48,IRData!$A$3:$AN$142,22,FALSE)</f>
        <v>582770</v>
      </c>
      <c r="E48" s="102">
        <f>VLOOKUP(A48,IRData!$A$3:$AN$142,39,FALSE)</f>
        <v>207551.289467978</v>
      </c>
      <c r="F48" s="102">
        <f t="shared" si="2"/>
        <v>169005.15743545315</v>
      </c>
      <c r="G48" s="102">
        <f t="shared" si="13"/>
        <v>32525.580588943318</v>
      </c>
      <c r="H48" s="102">
        <f t="shared" si="14"/>
        <v>201530.73802439647</v>
      </c>
      <c r="I48" s="190">
        <f t="shared" si="15"/>
        <v>0.97099246427707497</v>
      </c>
    </row>
    <row r="49" spans="1:9" x14ac:dyDescent="0.2">
      <c r="A49" s="211">
        <v>5912015</v>
      </c>
      <c r="B49" s="211" t="s">
        <v>282</v>
      </c>
      <c r="C49" s="212">
        <v>0.64844040235867495</v>
      </c>
      <c r="D49" s="213">
        <f>VLOOKUP(A49,IRData!$A$3:$AN$142,22,FALSE)</f>
        <v>50195.99</v>
      </c>
      <c r="E49" s="102">
        <f>VLOOKUP(A49,IRData!$A$3:$AN$142,39,FALSE)</f>
        <v>7432.9175083052796</v>
      </c>
      <c r="F49" s="102">
        <f t="shared" si="2"/>
        <v>4819.8040197843147</v>
      </c>
      <c r="G49" s="102">
        <f t="shared" si="13"/>
        <v>2801.5404327381175</v>
      </c>
      <c r="H49" s="102">
        <f t="shared" si="14"/>
        <v>7621.3444525224322</v>
      </c>
      <c r="I49" s="190">
        <f t="shared" si="15"/>
        <v>1.0253503343749761</v>
      </c>
    </row>
    <row r="50" spans="1:9" x14ac:dyDescent="0.2">
      <c r="A50" s="211">
        <v>6112015</v>
      </c>
      <c r="B50" s="211" t="s">
        <v>285</v>
      </c>
      <c r="C50" s="212">
        <v>0.82413170411265302</v>
      </c>
      <c r="D50" s="213">
        <f>VLOOKUP(A50,IRData!$A$3:$AN$142,22,FALSE)</f>
        <v>1118537.6299999999</v>
      </c>
      <c r="E50" s="102">
        <f>VLOOKUP(A50,IRData!$A$3:$AN$142,39,FALSE)</f>
        <v>278047.43856780179</v>
      </c>
      <c r="F50" s="102">
        <f t="shared" si="2"/>
        <v>229147.70937104069</v>
      </c>
      <c r="G50" s="102">
        <f t="shared" si="13"/>
        <v>62427.863181582201</v>
      </c>
      <c r="H50" s="102">
        <f t="shared" si="14"/>
        <v>291575.57255262288</v>
      </c>
      <c r="I50" s="190">
        <f t="shared" si="15"/>
        <v>1.0486540500229145</v>
      </c>
    </row>
    <row r="51" spans="1:9" x14ac:dyDescent="0.2">
      <c r="A51" s="211">
        <v>6152015</v>
      </c>
      <c r="B51" s="211" t="s">
        <v>288</v>
      </c>
      <c r="C51" s="212">
        <v>1.0729614264160401</v>
      </c>
      <c r="D51" s="213">
        <f>VLOOKUP(A51,IRData!$A$3:$AN$142,22,FALSE)</f>
        <v>515321.19</v>
      </c>
      <c r="E51" s="102">
        <f>VLOOKUP(A51,IRData!$A$3:$AN$142,39,FALSE)</f>
        <v>121056.96181990419</v>
      </c>
      <c r="F51" s="102">
        <f t="shared" si="2"/>
        <v>129889.4504318765</v>
      </c>
      <c r="G51" s="102">
        <f t="shared" si="13"/>
        <v>28761.12513433288</v>
      </c>
      <c r="H51" s="102">
        <f t="shared" si="14"/>
        <v>158650.57556620939</v>
      </c>
      <c r="I51" s="190">
        <f t="shared" si="15"/>
        <v>1.310544830971663</v>
      </c>
    </row>
    <row r="52" spans="1:9" x14ac:dyDescent="0.2">
      <c r="A52" s="211">
        <v>6242015</v>
      </c>
      <c r="B52" s="211" t="s">
        <v>289</v>
      </c>
      <c r="C52" s="212">
        <v>0.78900380425358596</v>
      </c>
      <c r="D52" s="213">
        <f>VLOOKUP(A52,IRData!$A$3:$AN$142,22,FALSE)</f>
        <v>1260998.1299999999</v>
      </c>
      <c r="E52" s="102">
        <f>VLOOKUP(A52,IRData!$A$3:$AN$142,39,FALSE)</f>
        <v>213163.73181525135</v>
      </c>
      <c r="F52" s="102">
        <f t="shared" si="2"/>
        <v>168186.99533112446</v>
      </c>
      <c r="G52" s="102">
        <f t="shared" si="13"/>
        <v>70378.873826418348</v>
      </c>
      <c r="H52" s="102">
        <f t="shared" si="14"/>
        <v>238565.86915754282</v>
      </c>
      <c r="I52" s="190">
        <f t="shared" si="15"/>
        <v>1.1191672576097864</v>
      </c>
    </row>
    <row r="53" spans="1:9" x14ac:dyDescent="0.2">
      <c r="A53" s="211">
        <v>6252015</v>
      </c>
      <c r="B53" s="211" t="s">
        <v>290</v>
      </c>
      <c r="C53" s="212">
        <v>1.25303946941994</v>
      </c>
      <c r="D53" s="213">
        <f>VLOOKUP(A53,IRData!$A$3:$AN$142,22,FALSE)</f>
        <v>56831.69</v>
      </c>
      <c r="E53" s="102">
        <f>VLOOKUP(A53,IRData!$A$3:$AN$142,39,FALSE)</f>
        <v>5610.5186026097035</v>
      </c>
      <c r="F53" s="102">
        <f t="shared" si="2"/>
        <v>7030.2012529847661</v>
      </c>
      <c r="G53" s="102">
        <f t="shared" si="13"/>
        <v>3171.8923642274726</v>
      </c>
      <c r="H53" s="102">
        <f t="shared" si="14"/>
        <v>10202.093617212238</v>
      </c>
      <c r="I53" s="190">
        <f t="shared" si="15"/>
        <v>1.8183869156884691</v>
      </c>
    </row>
    <row r="54" spans="1:9" x14ac:dyDescent="0.2">
      <c r="A54" s="211">
        <v>6372015</v>
      </c>
      <c r="B54" s="211" t="s">
        <v>291</v>
      </c>
      <c r="C54" s="212">
        <v>0.51605633990872501</v>
      </c>
      <c r="D54" s="213">
        <f>VLOOKUP(A54,IRData!$A$3:$AN$142,22,FALSE)</f>
        <v>70356.600000000006</v>
      </c>
      <c r="E54" s="102">
        <f>VLOOKUP(A54,IRData!$A$3:$AN$142,39,FALSE)</f>
        <v>21135.887977085997</v>
      </c>
      <c r="F54" s="102">
        <f t="shared" si="2"/>
        <v>10907.308990175825</v>
      </c>
      <c r="G54" s="102">
        <f t="shared" si="13"/>
        <v>3926.7451366131568</v>
      </c>
      <c r="H54" s="102">
        <f t="shared" si="14"/>
        <v>14834.054126788982</v>
      </c>
      <c r="I54" s="190">
        <f t="shared" si="15"/>
        <v>0.70184201122143497</v>
      </c>
    </row>
    <row r="55" spans="1:9" x14ac:dyDescent="0.2">
      <c r="A55" s="211">
        <v>6692015</v>
      </c>
      <c r="B55" s="211" t="s">
        <v>293</v>
      </c>
      <c r="C55" s="212">
        <v>0.96453900709219798</v>
      </c>
      <c r="D55" s="213">
        <f>VLOOKUP(A55,IRData!$A$3:$AN$142,22,FALSE)</f>
        <v>18450.68</v>
      </c>
      <c r="E55" s="102">
        <f>VLOOKUP(A55,IRData!$A$3:$AN$142,39,FALSE)</f>
        <v>5026.583602434117</v>
      </c>
      <c r="F55" s="102">
        <f t="shared" si="2"/>
        <v>4848.3359569577269</v>
      </c>
      <c r="G55" s="102">
        <f>D55/$D$3*$I$2</f>
        <v>1029.7700280742054</v>
      </c>
      <c r="H55" s="102">
        <f>F55+G55</f>
        <v>5878.1059850319325</v>
      </c>
      <c r="I55" s="190">
        <f>H55/E55</f>
        <v>1.169403803845114</v>
      </c>
    </row>
    <row r="56" spans="1:9" x14ac:dyDescent="0.2">
      <c r="A56" s="211">
        <v>6752015</v>
      </c>
      <c r="B56" s="211" t="s">
        <v>294</v>
      </c>
      <c r="C56" s="212">
        <v>0.786469951733198</v>
      </c>
      <c r="D56" s="213">
        <f>VLOOKUP(A56,IRData!$A$3:$AN$142,22,FALSE)</f>
        <v>2908079.87</v>
      </c>
      <c r="E56" s="102">
        <f>VLOOKUP(A56,IRData!$A$3:$AN$142,39,FALSE)</f>
        <v>682872.73860223242</v>
      </c>
      <c r="F56" s="102">
        <f t="shared" si="2"/>
        <v>537058.88976841443</v>
      </c>
      <c r="G56" s="102">
        <f t="shared" si="13"/>
        <v>162305.86023777616</v>
      </c>
      <c r="H56" s="102">
        <f t="shared" si="14"/>
        <v>699364.75000619062</v>
      </c>
      <c r="I56" s="190">
        <f t="shared" si="15"/>
        <v>1.0241509295534561</v>
      </c>
    </row>
    <row r="57" spans="1:9" x14ac:dyDescent="0.2">
      <c r="A57" s="211">
        <v>6992015</v>
      </c>
      <c r="B57" s="211" t="s">
        <v>297</v>
      </c>
      <c r="C57" s="212">
        <v>0.68585695185393802</v>
      </c>
      <c r="D57" s="213">
        <f>VLOOKUP(A57,IRData!$A$3:$AN$142,22,FALSE)</f>
        <v>559658.17000000004</v>
      </c>
      <c r="E57" s="102">
        <f>VLOOKUP(A57,IRData!$A$3:$AN$142,39,FALSE)</f>
        <v>120991.96126380182</v>
      </c>
      <c r="F57" s="102">
        <f t="shared" si="2"/>
        <v>82983.17775122085</v>
      </c>
      <c r="G57" s="102">
        <f t="shared" si="13"/>
        <v>31235.662286314568</v>
      </c>
      <c r="H57" s="102">
        <f t="shared" si="14"/>
        <v>114218.84003753541</v>
      </c>
      <c r="I57" s="190">
        <f t="shared" si="15"/>
        <v>0.94402007244515362</v>
      </c>
    </row>
    <row r="58" spans="1:9" x14ac:dyDescent="0.2">
      <c r="A58" s="211">
        <v>7262015</v>
      </c>
      <c r="B58" s="211" t="s">
        <v>298</v>
      </c>
      <c r="C58" s="212">
        <v>0.97751834021008899</v>
      </c>
      <c r="D58" s="213">
        <f>VLOOKUP(A58,IRData!$A$3:$AN$142,22,FALSE)</f>
        <v>201903.04</v>
      </c>
      <c r="E58" s="102">
        <f>VLOOKUP(A58,IRData!$A$3:$AN$142,39,FALSE)</f>
        <v>60704.140311941665</v>
      </c>
      <c r="F58" s="102">
        <f t="shared" si="2"/>
        <v>59339.410481609571</v>
      </c>
      <c r="G58" s="102">
        <f t="shared" ref="G58:G60" si="19">D58/$D$3*$I$2</f>
        <v>11268.619864908362</v>
      </c>
      <c r="H58" s="102">
        <f t="shared" ref="H58:H60" si="20">F58+G58</f>
        <v>70608.030346517931</v>
      </c>
      <c r="I58" s="190">
        <f t="shared" ref="I58:I60" si="21">H58/E58</f>
        <v>1.1631501571998704</v>
      </c>
    </row>
    <row r="59" spans="1:9" s="62" customFormat="1" x14ac:dyDescent="0.2">
      <c r="A59" s="215">
        <v>7432015</v>
      </c>
      <c r="B59" s="215" t="s">
        <v>186</v>
      </c>
      <c r="C59" s="212">
        <v>0.73888404533565799</v>
      </c>
      <c r="D59" s="216">
        <f>VLOOKUP(A59,IRData!$A$3:$AN$142,22,FALSE)</f>
        <v>26262.02</v>
      </c>
      <c r="E59" s="104">
        <f>VLOOKUP(A59,IRData!$A$3:$AN$142,39,FALSE)</f>
        <v>16706.656997429505</v>
      </c>
      <c r="F59" s="102">
        <f t="shared" si="2"/>
        <v>12344.282306295991</v>
      </c>
      <c r="G59" s="104">
        <f t="shared" si="19"/>
        <v>1465.7368223114456</v>
      </c>
      <c r="H59" s="104">
        <f t="shared" si="20"/>
        <v>13810.019128607437</v>
      </c>
      <c r="I59" s="191">
        <f t="shared" si="21"/>
        <v>0.82661774469495919</v>
      </c>
    </row>
    <row r="60" spans="1:9" x14ac:dyDescent="0.2">
      <c r="A60" s="211">
        <v>7532015</v>
      </c>
      <c r="B60" s="211" t="s">
        <v>58</v>
      </c>
      <c r="C60" s="212">
        <v>0.39756539533470697</v>
      </c>
      <c r="D60" s="213">
        <f>VLOOKUP(A60,IRData!$A$3:$AN$142,22,FALSE)</f>
        <v>53304.77</v>
      </c>
      <c r="E60" s="102">
        <f>VLOOKUP(A60,IRData!$A$3:$AN$142,39,FALSE)</f>
        <v>43953.445942251332</v>
      </c>
      <c r="F60" s="102">
        <f t="shared" si="2"/>
        <v>17474.369112353823</v>
      </c>
      <c r="G60" s="102">
        <f t="shared" si="19"/>
        <v>2975.0477759838154</v>
      </c>
      <c r="H60" s="102">
        <f t="shared" si="20"/>
        <v>20449.416888337637</v>
      </c>
      <c r="I60" s="190">
        <f t="shared" si="21"/>
        <v>0.46525173282671178</v>
      </c>
    </row>
    <row r="61" spans="1:9" x14ac:dyDescent="0.2">
      <c r="A61" s="217">
        <v>102015</v>
      </c>
      <c r="B61" s="217" t="s">
        <v>160</v>
      </c>
      <c r="C61" s="225">
        <v>0.60125185808669201</v>
      </c>
      <c r="D61" s="218"/>
      <c r="E61" s="121">
        <f>VLOOKUP(A61,IRData!$A$3:$AN$142,39,FALSE)</f>
        <v>1237.7906567502791</v>
      </c>
      <c r="F61" s="121"/>
      <c r="G61" s="121"/>
      <c r="H61" s="121">
        <f>C61*E61</f>
        <v>744.22393229345209</v>
      </c>
      <c r="I61" s="219" t="s">
        <v>8</v>
      </c>
    </row>
    <row r="62" spans="1:9" x14ac:dyDescent="0.2">
      <c r="A62" s="217">
        <v>182015</v>
      </c>
      <c r="B62" s="217" t="s">
        <v>161</v>
      </c>
      <c r="C62" s="225">
        <v>1.1822746595759901</v>
      </c>
      <c r="D62" s="218"/>
      <c r="E62" s="121">
        <f>VLOOKUP(A62,IRData!$A$3:$AN$142,39,FALSE)</f>
        <v>856.42113587387689</v>
      </c>
      <c r="F62" s="121"/>
      <c r="G62" s="121"/>
      <c r="H62" s="121">
        <f>C62*E62</f>
        <v>1012.5250068689705</v>
      </c>
      <c r="I62" s="219" t="s">
        <v>8</v>
      </c>
    </row>
    <row r="63" spans="1:9" x14ac:dyDescent="0.2">
      <c r="A63" s="217">
        <v>412015</v>
      </c>
      <c r="B63" s="217" t="s">
        <v>163</v>
      </c>
      <c r="C63" s="225">
        <v>3.3679332609438899</v>
      </c>
      <c r="D63" s="220"/>
      <c r="E63" s="121">
        <f>VLOOKUP(A63,IRData!$A$3:$AN$142,39,FALSE)</f>
        <v>37.556315169075553</v>
      </c>
      <c r="F63" s="220"/>
      <c r="G63" s="220"/>
      <c r="H63" s="121">
        <f t="shared" ref="H63:H79" si="22">E63*C63</f>
        <v>126.48716301642111</v>
      </c>
      <c r="I63" s="219" t="s">
        <v>8</v>
      </c>
    </row>
    <row r="64" spans="1:9" x14ac:dyDescent="0.2">
      <c r="A64" s="217">
        <v>882015</v>
      </c>
      <c r="B64" s="217" t="s">
        <v>164</v>
      </c>
      <c r="C64" s="225">
        <v>1.07679675525028</v>
      </c>
      <c r="D64" s="220"/>
      <c r="E64" s="121">
        <f>VLOOKUP(A64,IRData!$A$3:$AN$142,39,FALSE)</f>
        <v>3491.9629372954996</v>
      </c>
      <c r="F64" s="220"/>
      <c r="G64" s="220"/>
      <c r="H64" s="121">
        <f t="shared" si="22"/>
        <v>3760.1343603340306</v>
      </c>
      <c r="I64" s="219" t="s">
        <v>8</v>
      </c>
    </row>
    <row r="65" spans="1:9" x14ac:dyDescent="0.2">
      <c r="A65" s="217">
        <v>1352015</v>
      </c>
      <c r="B65" s="217" t="s">
        <v>167</v>
      </c>
      <c r="C65" s="225">
        <v>1.04032726749848</v>
      </c>
      <c r="D65" s="218"/>
      <c r="E65" s="121">
        <f>VLOOKUP(A65,IRData!$A$3:$AN$142,39,FALSE)</f>
        <v>105.775604</v>
      </c>
      <c r="F65" s="121"/>
      <c r="G65" s="121"/>
      <c r="H65" s="121">
        <f t="shared" si="22"/>
        <v>110.04124507732129</v>
      </c>
      <c r="I65" s="219" t="s">
        <v>8</v>
      </c>
    </row>
    <row r="66" spans="1:9" x14ac:dyDescent="0.2">
      <c r="A66" s="217">
        <v>1472015</v>
      </c>
      <c r="B66" s="217" t="s">
        <v>168</v>
      </c>
      <c r="C66" s="225">
        <v>2.0003758249891299</v>
      </c>
      <c r="D66" s="220"/>
      <c r="E66" s="121">
        <f>VLOOKUP(A66,IRData!$A$3:$AN$142,39,FALSE)</f>
        <v>374.02566857571151</v>
      </c>
      <c r="F66" s="220"/>
      <c r="G66" s="220"/>
      <c r="H66" s="121">
        <f t="shared" si="22"/>
        <v>748.19190534424979</v>
      </c>
      <c r="I66" s="219" t="s">
        <v>8</v>
      </c>
    </row>
    <row r="67" spans="1:9" x14ac:dyDescent="0.2">
      <c r="A67" s="217">
        <v>1562015</v>
      </c>
      <c r="B67" s="217" t="s">
        <v>169</v>
      </c>
      <c r="C67" s="225">
        <v>1.0961839187647</v>
      </c>
      <c r="D67" s="220"/>
      <c r="E67" s="121">
        <f>VLOOKUP(A67,IRData!$A$3:$AN$142,39,FALSE)</f>
        <v>515.18983236839028</v>
      </c>
      <c r="F67" s="220"/>
      <c r="G67" s="220"/>
      <c r="H67" s="121">
        <f t="shared" si="22"/>
        <v>564.74280935331092</v>
      </c>
      <c r="I67" s="219" t="s">
        <v>8</v>
      </c>
    </row>
    <row r="68" spans="1:9" x14ac:dyDescent="0.2">
      <c r="A68" s="217">
        <v>1612015</v>
      </c>
      <c r="B68" s="217" t="s">
        <v>170</v>
      </c>
      <c r="C68" s="225">
        <v>0.91080357825073899</v>
      </c>
      <c r="D68" s="220"/>
      <c r="E68" s="121">
        <f>VLOOKUP(A68,IRData!$A$3:$AN$142,39,FALSE)</f>
        <v>2300.7762023238529</v>
      </c>
      <c r="F68" s="220"/>
      <c r="G68" s="220"/>
      <c r="H68" s="121">
        <f t="shared" si="22"/>
        <v>2095.5551978307112</v>
      </c>
      <c r="I68" s="219" t="s">
        <v>8</v>
      </c>
    </row>
    <row r="69" spans="1:9" x14ac:dyDescent="0.2">
      <c r="A69" s="217">
        <v>1622015</v>
      </c>
      <c r="B69" s="217" t="s">
        <v>171</v>
      </c>
      <c r="C69" s="225">
        <v>0.88877295823340197</v>
      </c>
      <c r="D69" s="220"/>
      <c r="E69" s="121">
        <f>VLOOKUP(A69,IRData!$A$3:$AN$142,39,FALSE)</f>
        <v>719.05374499637173</v>
      </c>
      <c r="F69" s="220"/>
      <c r="G69" s="220"/>
      <c r="H69" s="121">
        <f t="shared" si="22"/>
        <v>639.07552406923162</v>
      </c>
      <c r="I69" s="219" t="s">
        <v>8</v>
      </c>
    </row>
    <row r="70" spans="1:9" x14ac:dyDescent="0.2">
      <c r="A70" s="217">
        <v>2042015</v>
      </c>
      <c r="B70" s="217" t="s">
        <v>174</v>
      </c>
      <c r="C70" s="225">
        <v>0.80459961021369797</v>
      </c>
      <c r="D70" s="220"/>
      <c r="E70" s="121">
        <f>VLOOKUP(A70,IRData!$A$3:$AN$142,39,FALSE)</f>
        <v>833.52237200000002</v>
      </c>
      <c r="F70" s="220"/>
      <c r="G70" s="220"/>
      <c r="H70" s="121">
        <f t="shared" si="22"/>
        <v>670.65177561559699</v>
      </c>
      <c r="I70" s="219" t="s">
        <v>8</v>
      </c>
    </row>
    <row r="71" spans="1:9" x14ac:dyDescent="0.2">
      <c r="A71" s="217">
        <v>2222015</v>
      </c>
      <c r="B71" s="217" t="s">
        <v>175</v>
      </c>
      <c r="C71" s="225">
        <v>1.10016187989488</v>
      </c>
      <c r="D71" s="220"/>
      <c r="E71" s="121">
        <f>VLOOKUP(A71,IRData!$A$3:$AN$142,39,FALSE)</f>
        <v>388.65786000000003</v>
      </c>
      <c r="F71" s="220"/>
      <c r="G71" s="220"/>
      <c r="H71" s="121">
        <f t="shared" si="22"/>
        <v>427.58656189352109</v>
      </c>
      <c r="I71" s="219" t="s">
        <v>8</v>
      </c>
    </row>
    <row r="72" spans="1:9" x14ac:dyDescent="0.2">
      <c r="A72" s="217">
        <v>2742015</v>
      </c>
      <c r="B72" s="217" t="s">
        <v>177</v>
      </c>
      <c r="C72" s="225">
        <v>1.1385103688895599</v>
      </c>
      <c r="D72" s="220"/>
      <c r="E72" s="121">
        <f>VLOOKUP(A72,IRData!$A$3:$AN$142,39,FALSE)</f>
        <v>2706.7173646535543</v>
      </c>
      <c r="F72" s="220"/>
      <c r="G72" s="220"/>
      <c r="H72" s="121">
        <f t="shared" si="22"/>
        <v>3081.6257853114957</v>
      </c>
      <c r="I72" s="219" t="s">
        <v>8</v>
      </c>
    </row>
    <row r="73" spans="1:9" x14ac:dyDescent="0.2">
      <c r="A73" s="217">
        <v>2872015</v>
      </c>
      <c r="B73" s="217" t="s">
        <v>178</v>
      </c>
      <c r="C73" s="225">
        <v>1.1105982930396301</v>
      </c>
      <c r="D73" s="220"/>
      <c r="E73" s="121">
        <f>VLOOKUP(A73,IRData!$A$3:$AN$142,39,FALSE)</f>
        <v>306.68754000000001</v>
      </c>
      <c r="F73" s="220"/>
      <c r="G73" s="220"/>
      <c r="H73" s="121">
        <f t="shared" si="22"/>
        <v>340.60665842052327</v>
      </c>
      <c r="I73" s="219" t="s">
        <v>8</v>
      </c>
    </row>
    <row r="74" spans="1:9" x14ac:dyDescent="0.2">
      <c r="A74" s="217">
        <v>3072015</v>
      </c>
      <c r="B74" s="217" t="s">
        <v>179</v>
      </c>
      <c r="C74" s="225">
        <v>1.1422696030919901</v>
      </c>
      <c r="D74" s="220"/>
      <c r="E74" s="121">
        <f>VLOOKUP(A74,IRData!$A$3:$AN$142,39,FALSE)</f>
        <v>537.17926399999999</v>
      </c>
      <c r="F74" s="220"/>
      <c r="G74" s="220"/>
      <c r="H74" s="121">
        <f t="shared" si="22"/>
        <v>613.60354467852733</v>
      </c>
      <c r="I74" s="219" t="s">
        <v>8</v>
      </c>
    </row>
    <row r="75" spans="1:9" x14ac:dyDescent="0.2">
      <c r="A75" s="217">
        <v>3492015</v>
      </c>
      <c r="B75" s="217" t="s">
        <v>270</v>
      </c>
      <c r="C75" s="225">
        <v>1.09022029055563</v>
      </c>
      <c r="D75" s="220"/>
      <c r="E75" s="121">
        <f>VLOOKUP(A75,IRData!$A$3:$AN$142,39,FALSE)</f>
        <v>1049.7726455360753</v>
      </c>
      <c r="F75" s="220"/>
      <c r="G75" s="220"/>
      <c r="H75" s="121">
        <f t="shared" si="22"/>
        <v>1144.4834386336925</v>
      </c>
      <c r="I75" s="219" t="s">
        <v>8</v>
      </c>
    </row>
    <row r="76" spans="1:9" x14ac:dyDescent="0.2">
      <c r="A76" s="217">
        <v>4472015</v>
      </c>
      <c r="B76" s="217" t="s">
        <v>181</v>
      </c>
      <c r="C76" s="225">
        <v>0.94055547864496802</v>
      </c>
      <c r="D76" s="220"/>
      <c r="E76" s="121">
        <f>VLOOKUP(A76,IRData!$A$3:$AN$142,39,FALSE)</f>
        <v>6023.6333589158357</v>
      </c>
      <c r="F76" s="220"/>
      <c r="G76" s="220"/>
      <c r="H76" s="121">
        <f t="shared" si="22"/>
        <v>5665.5613570768801</v>
      </c>
      <c r="I76" s="219" t="s">
        <v>8</v>
      </c>
    </row>
    <row r="77" spans="1:9" x14ac:dyDescent="0.2">
      <c r="A77" s="217">
        <v>5122015</v>
      </c>
      <c r="B77" s="217" t="s">
        <v>183</v>
      </c>
      <c r="C77" s="225">
        <v>1.10021400015759</v>
      </c>
      <c r="D77" s="220"/>
      <c r="E77" s="121">
        <f>VLOOKUP(A77,IRData!$A$3:$AN$142,39,FALSE)</f>
        <v>1666.3324319999999</v>
      </c>
      <c r="F77" s="220"/>
      <c r="G77" s="220"/>
      <c r="H77" s="121">
        <f t="shared" si="22"/>
        <v>1833.3222706030451</v>
      </c>
      <c r="I77" s="219" t="s">
        <v>8</v>
      </c>
    </row>
    <row r="78" spans="1:9" x14ac:dyDescent="0.2">
      <c r="A78" s="217">
        <v>6592015</v>
      </c>
      <c r="B78" s="217" t="s">
        <v>184</v>
      </c>
      <c r="C78" s="225">
        <v>1.14415763226445</v>
      </c>
      <c r="D78" s="218"/>
      <c r="E78" s="121">
        <f>VLOOKUP(A78,IRData!$A$3:$AN$142,39,FALSE)</f>
        <v>2374.9639200868342</v>
      </c>
      <c r="F78" s="121"/>
      <c r="G78" s="121"/>
      <c r="H78" s="121">
        <f t="shared" si="22"/>
        <v>2717.3330955200486</v>
      </c>
      <c r="I78" s="219" t="s">
        <v>8</v>
      </c>
    </row>
    <row r="79" spans="1:9" x14ac:dyDescent="0.2">
      <c r="A79" s="217">
        <v>6862015</v>
      </c>
      <c r="B79" s="217" t="s">
        <v>185</v>
      </c>
      <c r="C79" s="225">
        <v>2.9240940340757402</v>
      </c>
      <c r="D79" s="218"/>
      <c r="E79" s="121">
        <f>VLOOKUP(A79,IRData!$A$3:$AN$142,39,FALSE)</f>
        <v>297.676964</v>
      </c>
      <c r="F79" s="121"/>
      <c r="G79" s="121"/>
      <c r="H79" s="121">
        <f t="shared" si="22"/>
        <v>870.43543451417884</v>
      </c>
      <c r="I79" s="219" t="s">
        <v>8</v>
      </c>
    </row>
    <row r="80" spans="1:9" x14ac:dyDescent="0.2">
      <c r="A80" s="221">
        <v>982015</v>
      </c>
      <c r="B80" s="221" t="s">
        <v>165</v>
      </c>
      <c r="C80" s="222"/>
      <c r="D80" s="223"/>
      <c r="E80" s="122">
        <f>VLOOKUP(A80,IRData!$A$3:$AN$142,39,FALSE)</f>
        <v>1750.5111819287542</v>
      </c>
      <c r="F80" s="223"/>
      <c r="G80" s="223"/>
      <c r="H80" s="122">
        <f t="shared" ref="H80:H84" si="23">E80</f>
        <v>1750.5111819287542</v>
      </c>
      <c r="I80" s="224" t="s">
        <v>9</v>
      </c>
    </row>
    <row r="81" spans="1:9" x14ac:dyDescent="0.2">
      <c r="A81" s="221">
        <v>1162015</v>
      </c>
      <c r="B81" s="221" t="s">
        <v>125</v>
      </c>
      <c r="C81" s="222"/>
      <c r="D81" s="223"/>
      <c r="E81" s="122">
        <f>VLOOKUP(A81,IRData!$A$3:$AN$142,39,FALSE)</f>
        <v>-62.711668000000024</v>
      </c>
      <c r="F81" s="223"/>
      <c r="G81" s="223"/>
      <c r="H81" s="122">
        <f t="shared" si="23"/>
        <v>-62.711668000000024</v>
      </c>
      <c r="I81" s="224" t="s">
        <v>9</v>
      </c>
    </row>
    <row r="82" spans="1:9" x14ac:dyDescent="0.2">
      <c r="A82" s="221">
        <v>1522015</v>
      </c>
      <c r="B82" s="221" t="s">
        <v>232</v>
      </c>
      <c r="C82" s="222"/>
      <c r="D82" s="223"/>
      <c r="E82" s="122">
        <f>VLOOKUP(A82,IRData!$A$3:$AN$142,39,FALSE)</f>
        <v>1342.1344160000001</v>
      </c>
      <c r="F82" s="223"/>
      <c r="G82" s="223"/>
      <c r="H82" s="122">
        <f t="shared" si="23"/>
        <v>1342.1344160000001</v>
      </c>
      <c r="I82" s="224" t="s">
        <v>9</v>
      </c>
    </row>
    <row r="83" spans="1:9" x14ac:dyDescent="0.2">
      <c r="A83" s="221">
        <v>5422015</v>
      </c>
      <c r="B83" s="221" t="s">
        <v>11</v>
      </c>
      <c r="C83" s="222"/>
      <c r="D83" s="223"/>
      <c r="E83" s="122">
        <f>VLOOKUP(A83,IRData!$A$3:$AN$142,39,FALSE)</f>
        <v>444.98492253491503</v>
      </c>
      <c r="F83" s="223"/>
      <c r="G83" s="223"/>
      <c r="H83" s="122">
        <f t="shared" si="23"/>
        <v>444.98492253491503</v>
      </c>
      <c r="I83" s="224" t="s">
        <v>9</v>
      </c>
    </row>
    <row r="84" spans="1:9" x14ac:dyDescent="0.2">
      <c r="A84" s="221">
        <v>6852015</v>
      </c>
      <c r="B84" s="221" t="s">
        <v>42</v>
      </c>
      <c r="C84" s="222"/>
      <c r="D84" s="223"/>
      <c r="E84" s="122">
        <f>VLOOKUP(A84,IRData!$A$3:$AN$142,39,FALSE)</f>
        <v>429.87966399999999</v>
      </c>
      <c r="F84" s="122"/>
      <c r="G84" s="122"/>
      <c r="H84" s="122">
        <f t="shared" si="23"/>
        <v>429.87966399999999</v>
      </c>
      <c r="I84" s="224" t="s">
        <v>9</v>
      </c>
    </row>
    <row r="85" spans="1:9" x14ac:dyDescent="0.2">
      <c r="A85" s="221">
        <v>8522015</v>
      </c>
      <c r="B85" s="221" t="s">
        <v>10</v>
      </c>
      <c r="C85" s="222"/>
      <c r="D85" s="223"/>
      <c r="E85" s="122">
        <f>VLOOKUP(A85,IRData!$A$3:$AN$142,39,FALSE)</f>
        <v>14666.097933165376</v>
      </c>
      <c r="F85" s="223"/>
      <c r="G85" s="223"/>
      <c r="H85" s="122">
        <f t="shared" ref="H85" si="24">E85</f>
        <v>14666.097933165376</v>
      </c>
      <c r="I85" s="224" t="s">
        <v>9</v>
      </c>
    </row>
    <row r="87" spans="1:9" x14ac:dyDescent="0.2">
      <c r="A87"/>
      <c r="B87"/>
    </row>
    <row r="88" spans="1:9" x14ac:dyDescent="0.2">
      <c r="A88"/>
      <c r="B88"/>
    </row>
    <row r="89" spans="1:9" x14ac:dyDescent="0.2">
      <c r="A89"/>
      <c r="B89"/>
    </row>
    <row r="90" spans="1:9" x14ac:dyDescent="0.2">
      <c r="A90"/>
      <c r="B90"/>
    </row>
    <row r="91" spans="1:9" x14ac:dyDescent="0.2">
      <c r="A91"/>
    </row>
  </sheetData>
  <mergeCells count="1">
    <mergeCell ref="A1:H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workbookViewId="0">
      <selection activeCell="K4" sqref="K4"/>
    </sheetView>
  </sheetViews>
  <sheetFormatPr baseColWidth="10" defaultColWidth="9.140625" defaultRowHeight="15" x14ac:dyDescent="0.25"/>
  <cols>
    <col min="1" max="2" width="11.42578125" style="186" customWidth="1"/>
    <col min="3" max="3" width="6.140625" style="186" customWidth="1"/>
    <col min="4" max="4" width="47.42578125" style="186" customWidth="1"/>
    <col min="5" max="5" width="41.85546875" style="186" customWidth="1"/>
    <col min="6" max="6" width="41.7109375" style="186" customWidth="1"/>
    <col min="7" max="7" width="41.5703125" style="186" customWidth="1"/>
    <col min="8" max="8" width="9.28515625" style="186" bestFit="1" customWidth="1"/>
    <col min="9" max="9" width="11.7109375" style="186" bestFit="1" customWidth="1"/>
    <col min="10" max="10" width="11.5703125" style="186" bestFit="1" customWidth="1"/>
    <col min="11" max="11" width="11.42578125" style="186" bestFit="1" customWidth="1"/>
    <col min="12" max="16384" width="9.140625" style="186"/>
  </cols>
  <sheetData>
    <row r="1" spans="1:11" x14ac:dyDescent="0.25">
      <c r="A1" s="186" t="s">
        <v>368</v>
      </c>
      <c r="B1" s="186" t="s">
        <v>364</v>
      </c>
      <c r="C1" s="186" t="s">
        <v>363</v>
      </c>
      <c r="D1" s="186" t="s">
        <v>362</v>
      </c>
      <c r="E1" s="186" t="s">
        <v>361</v>
      </c>
      <c r="F1" s="186" t="s">
        <v>360</v>
      </c>
      <c r="G1" s="186" t="s">
        <v>359</v>
      </c>
      <c r="H1" s="186" t="s">
        <v>48</v>
      </c>
      <c r="I1" s="186" t="s">
        <v>365</v>
      </c>
      <c r="J1" s="186" t="s">
        <v>366</v>
      </c>
      <c r="K1" s="186" t="s">
        <v>367</v>
      </c>
    </row>
    <row r="2" spans="1:11" x14ac:dyDescent="0.25">
      <c r="A2" s="188">
        <v>982974011</v>
      </c>
      <c r="B2" s="186">
        <v>6242015</v>
      </c>
      <c r="C2" s="186">
        <v>2017</v>
      </c>
      <c r="D2" s="186" t="s">
        <v>289</v>
      </c>
      <c r="E2" s="186">
        <v>701315</v>
      </c>
      <c r="F2" s="186">
        <v>250864</v>
      </c>
      <c r="G2" s="186">
        <v>800</v>
      </c>
      <c r="H2" s="186">
        <f>SUM(Table1[[#This Row],[Justert tillatt inntekt fordelt på nettnivå_D_KKr]:[Justert tillatt inntekt fordelt på nettnivå_S_KKr]])</f>
        <v>952979</v>
      </c>
      <c r="I2" s="187">
        <f>Table1[[#This Row],[Justert tillatt inntekt fordelt på nettnivå_D_KKr]]/Table1[[#This Row],[Sum IR]]</f>
        <v>0.73591862989635659</v>
      </c>
      <c r="J2" s="187">
        <f>Table1[[#This Row],[Justert tillatt inntekt fordelt på nettnivå_R_KKr]]/Table1[[#This Row],[Sum IR]]</f>
        <v>0.26324189725062147</v>
      </c>
      <c r="K2" s="187">
        <f>Table1[[#This Row],[Justert tillatt inntekt fordelt på nettnivå_S_KKr]]/Table1[[#This Row],[Sum IR]]</f>
        <v>8.3947285302194482E-4</v>
      </c>
    </row>
    <row r="3" spans="1:11" x14ac:dyDescent="0.25">
      <c r="A3" s="188">
        <v>915729290</v>
      </c>
      <c r="B3" s="186">
        <v>7532015</v>
      </c>
      <c r="C3" s="186">
        <v>2017</v>
      </c>
      <c r="D3" s="186" t="s">
        <v>58</v>
      </c>
      <c r="F3" s="186">
        <v>31932</v>
      </c>
      <c r="H3" s="186">
        <f>SUM(Table1[[#This Row],[Justert tillatt inntekt fordelt på nettnivå_D_KKr]:[Justert tillatt inntekt fordelt på nettnivå_S_KKr]])</f>
        <v>31932</v>
      </c>
      <c r="I3" s="187">
        <f>Table1[[#This Row],[Justert tillatt inntekt fordelt på nettnivå_D_KKr]]/Table1[[#This Row],[Sum IR]]</f>
        <v>0</v>
      </c>
      <c r="J3" s="187">
        <f>Table1[[#This Row],[Justert tillatt inntekt fordelt på nettnivå_R_KKr]]/Table1[[#This Row],[Sum IR]]</f>
        <v>1</v>
      </c>
      <c r="K3" s="187">
        <f>Table1[[#This Row],[Justert tillatt inntekt fordelt på nettnivå_S_KKr]]/Table1[[#This Row],[Sum IR]]</f>
        <v>0</v>
      </c>
    </row>
    <row r="4" spans="1:11" x14ac:dyDescent="0.25">
      <c r="A4" s="188">
        <v>971029390</v>
      </c>
      <c r="B4" s="186">
        <v>72015</v>
      </c>
      <c r="C4" s="186">
        <v>2017</v>
      </c>
      <c r="D4" s="186" t="s">
        <v>193</v>
      </c>
      <c r="E4" s="186">
        <v>80631</v>
      </c>
      <c r="F4" s="186">
        <v>-4895</v>
      </c>
      <c r="H4" s="186">
        <f>SUM(Table1[[#This Row],[Justert tillatt inntekt fordelt på nettnivå_D_KKr]:[Justert tillatt inntekt fordelt på nettnivå_S_KKr]])</f>
        <v>75736</v>
      </c>
      <c r="I4" s="187">
        <f>Table1[[#This Row],[Justert tillatt inntekt fordelt på nettnivå_D_KKr]]/Table1[[#This Row],[Sum IR]]</f>
        <v>1.0646324073096018</v>
      </c>
      <c r="J4" s="187">
        <f>Table1[[#This Row],[Justert tillatt inntekt fordelt på nettnivå_R_KKr]]/Table1[[#This Row],[Sum IR]]</f>
        <v>-6.4632407309601778E-2</v>
      </c>
      <c r="K4" s="187">
        <f>Table1[[#This Row],[Justert tillatt inntekt fordelt på nettnivå_S_KKr]]/Table1[[#This Row],[Sum IR]]</f>
        <v>0</v>
      </c>
    </row>
    <row r="5" spans="1:11" x14ac:dyDescent="0.25">
      <c r="A5" s="188">
        <v>971048611</v>
      </c>
      <c r="B5" s="186">
        <v>92015</v>
      </c>
      <c r="C5" s="186">
        <v>2017</v>
      </c>
      <c r="D5" s="186" t="s">
        <v>194</v>
      </c>
      <c r="E5" s="186">
        <v>24760</v>
      </c>
      <c r="F5" s="186">
        <v>11757</v>
      </c>
      <c r="H5" s="186">
        <f>SUM(Table1[[#This Row],[Justert tillatt inntekt fordelt på nettnivå_D_KKr]:[Justert tillatt inntekt fordelt på nettnivå_S_KKr]])</f>
        <v>36517</v>
      </c>
      <c r="I5" s="187">
        <f>Table1[[#This Row],[Justert tillatt inntekt fordelt på nettnivå_D_KKr]]/Table1[[#This Row],[Sum IR]]</f>
        <v>0.67804036476161789</v>
      </c>
      <c r="J5" s="187">
        <f>Table1[[#This Row],[Justert tillatt inntekt fordelt på nettnivå_R_KKr]]/Table1[[#This Row],[Sum IR]]</f>
        <v>0.32195963523838211</v>
      </c>
      <c r="K5" s="187">
        <f>Table1[[#This Row],[Justert tillatt inntekt fordelt på nettnivå_S_KKr]]/Table1[[#This Row],[Sum IR]]</f>
        <v>0</v>
      </c>
    </row>
    <row r="6" spans="1:11" x14ac:dyDescent="0.25">
      <c r="A6" s="188">
        <v>910261525</v>
      </c>
      <c r="B6" s="186">
        <v>102015</v>
      </c>
      <c r="C6" s="186">
        <v>2017</v>
      </c>
      <c r="D6" s="186" t="s">
        <v>160</v>
      </c>
      <c r="E6" s="186">
        <v>121</v>
      </c>
      <c r="F6" s="186">
        <v>2000</v>
      </c>
      <c r="H6" s="186">
        <f>SUM(Table1[[#This Row],[Justert tillatt inntekt fordelt på nettnivå_D_KKr]:[Justert tillatt inntekt fordelt på nettnivå_S_KKr]])</f>
        <v>2121</v>
      </c>
      <c r="I6" s="187">
        <f>Table1[[#This Row],[Justert tillatt inntekt fordelt på nettnivå_D_KKr]]/Table1[[#This Row],[Sum IR]]</f>
        <v>5.704856199905705E-2</v>
      </c>
      <c r="J6" s="187">
        <f>Table1[[#This Row],[Justert tillatt inntekt fordelt på nettnivå_R_KKr]]/Table1[[#This Row],[Sum IR]]</f>
        <v>0.94295143800094294</v>
      </c>
      <c r="K6" s="187">
        <f>Table1[[#This Row],[Justert tillatt inntekt fordelt på nettnivå_S_KKr]]/Table1[[#This Row],[Sum IR]]</f>
        <v>0</v>
      </c>
    </row>
    <row r="7" spans="1:11" x14ac:dyDescent="0.25">
      <c r="A7" s="188">
        <v>911305631</v>
      </c>
      <c r="B7" s="186">
        <v>372015</v>
      </c>
      <c r="C7" s="186">
        <v>2017</v>
      </c>
      <c r="D7" s="186" t="s">
        <v>199</v>
      </c>
      <c r="E7" s="186">
        <v>66303</v>
      </c>
      <c r="F7" s="186">
        <v>19717</v>
      </c>
      <c r="H7" s="186">
        <f>SUM(Table1[[#This Row],[Justert tillatt inntekt fordelt på nettnivå_D_KKr]:[Justert tillatt inntekt fordelt på nettnivå_S_KKr]])</f>
        <v>86020</v>
      </c>
      <c r="I7" s="187">
        <f>Table1[[#This Row],[Justert tillatt inntekt fordelt på nettnivå_D_KKr]]/Table1[[#This Row],[Sum IR]]</f>
        <v>0.77078586375261571</v>
      </c>
      <c r="J7" s="187">
        <f>Table1[[#This Row],[Justert tillatt inntekt fordelt på nettnivå_R_KKr]]/Table1[[#This Row],[Sum IR]]</f>
        <v>0.22921413624738432</v>
      </c>
      <c r="K7" s="187">
        <f>Table1[[#This Row],[Justert tillatt inntekt fordelt på nettnivå_S_KKr]]/Table1[[#This Row],[Sum IR]]</f>
        <v>0</v>
      </c>
    </row>
    <row r="8" spans="1:11" x14ac:dyDescent="0.25">
      <c r="A8" s="188">
        <v>975332438</v>
      </c>
      <c r="B8" s="186">
        <v>4182015</v>
      </c>
      <c r="C8" s="186">
        <v>2017</v>
      </c>
      <c r="D8" s="186" t="s">
        <v>273</v>
      </c>
      <c r="E8" s="186">
        <v>17453</v>
      </c>
      <c r="H8" s="186">
        <f>SUM(Table1[[#This Row],[Justert tillatt inntekt fordelt på nettnivå_D_KKr]:[Justert tillatt inntekt fordelt på nettnivå_S_KKr]])</f>
        <v>17453</v>
      </c>
      <c r="I8" s="187">
        <f>Table1[[#This Row],[Justert tillatt inntekt fordelt på nettnivå_D_KKr]]/Table1[[#This Row],[Sum IR]]</f>
        <v>1</v>
      </c>
      <c r="J8" s="187">
        <f>Table1[[#This Row],[Justert tillatt inntekt fordelt på nettnivå_R_KKr]]/Table1[[#This Row],[Sum IR]]</f>
        <v>0</v>
      </c>
      <c r="K8" s="187">
        <f>Table1[[#This Row],[Justert tillatt inntekt fordelt på nettnivå_S_KKr]]/Table1[[#This Row],[Sum IR]]</f>
        <v>0</v>
      </c>
    </row>
    <row r="9" spans="1:11" x14ac:dyDescent="0.25">
      <c r="A9" s="188">
        <v>959254893</v>
      </c>
      <c r="B9" s="186">
        <v>162015</v>
      </c>
      <c r="C9" s="186">
        <v>2017</v>
      </c>
      <c r="D9" s="186" t="s">
        <v>196</v>
      </c>
      <c r="E9" s="186">
        <v>25229</v>
      </c>
      <c r="H9" s="186">
        <f>SUM(Table1[[#This Row],[Justert tillatt inntekt fordelt på nettnivå_D_KKr]:[Justert tillatt inntekt fordelt på nettnivå_S_KKr]])</f>
        <v>25229</v>
      </c>
      <c r="I9" s="187">
        <f>Table1[[#This Row],[Justert tillatt inntekt fordelt på nettnivå_D_KKr]]/Table1[[#This Row],[Sum IR]]</f>
        <v>1</v>
      </c>
      <c r="J9" s="187">
        <f>Table1[[#This Row],[Justert tillatt inntekt fordelt på nettnivå_R_KKr]]/Table1[[#This Row],[Sum IR]]</f>
        <v>0</v>
      </c>
      <c r="K9" s="187">
        <f>Table1[[#This Row],[Justert tillatt inntekt fordelt på nettnivå_S_KKr]]/Table1[[#This Row],[Sum IR]]</f>
        <v>0</v>
      </c>
    </row>
    <row r="10" spans="1:11" x14ac:dyDescent="0.25">
      <c r="A10" s="188">
        <v>971592117</v>
      </c>
      <c r="B10" s="186">
        <v>182015</v>
      </c>
      <c r="C10" s="186">
        <v>2017</v>
      </c>
      <c r="D10" s="186" t="s">
        <v>161</v>
      </c>
      <c r="E10" s="186">
        <v>20076</v>
      </c>
      <c r="F10" s="186">
        <v>1214</v>
      </c>
      <c r="H10" s="186">
        <f>SUM(Table1[[#This Row],[Justert tillatt inntekt fordelt på nettnivå_D_KKr]:[Justert tillatt inntekt fordelt på nettnivå_S_KKr]])</f>
        <v>21290</v>
      </c>
      <c r="I10" s="187">
        <f>Table1[[#This Row],[Justert tillatt inntekt fordelt på nettnivå_D_KKr]]/Table1[[#This Row],[Sum IR]]</f>
        <v>0.942977923907938</v>
      </c>
      <c r="J10" s="187">
        <f>Table1[[#This Row],[Justert tillatt inntekt fordelt på nettnivå_R_KKr]]/Table1[[#This Row],[Sum IR]]</f>
        <v>5.7022076092062002E-2</v>
      </c>
      <c r="K10" s="187">
        <f>Table1[[#This Row],[Justert tillatt inntekt fordelt på nettnivå_S_KKr]]/Table1[[#This Row],[Sum IR]]</f>
        <v>0</v>
      </c>
    </row>
    <row r="11" spans="1:11" x14ac:dyDescent="0.25">
      <c r="A11" s="188">
        <v>953181606</v>
      </c>
      <c r="B11" s="186">
        <v>222015</v>
      </c>
      <c r="C11" s="186">
        <v>2017</v>
      </c>
      <c r="D11" s="186" t="s">
        <v>197</v>
      </c>
      <c r="E11" s="186">
        <v>9398</v>
      </c>
      <c r="H11" s="186">
        <f>SUM(Table1[[#This Row],[Justert tillatt inntekt fordelt på nettnivå_D_KKr]:[Justert tillatt inntekt fordelt på nettnivå_S_KKr]])</f>
        <v>9398</v>
      </c>
      <c r="I11" s="187">
        <f>Table1[[#This Row],[Justert tillatt inntekt fordelt på nettnivå_D_KKr]]/Table1[[#This Row],[Sum IR]]</f>
        <v>1</v>
      </c>
      <c r="J11" s="187">
        <f>Table1[[#This Row],[Justert tillatt inntekt fordelt på nettnivå_R_KKr]]/Table1[[#This Row],[Sum IR]]</f>
        <v>0</v>
      </c>
      <c r="K11" s="187">
        <f>Table1[[#This Row],[Justert tillatt inntekt fordelt på nettnivå_S_KKr]]/Table1[[#This Row],[Sum IR]]</f>
        <v>0</v>
      </c>
    </row>
    <row r="12" spans="1:11" x14ac:dyDescent="0.25">
      <c r="A12" s="188">
        <v>976944801</v>
      </c>
      <c r="B12" s="186">
        <v>5662015</v>
      </c>
      <c r="C12" s="186">
        <v>2017</v>
      </c>
      <c r="D12" s="186" t="s">
        <v>279</v>
      </c>
      <c r="E12" s="186">
        <v>811879</v>
      </c>
      <c r="F12" s="186">
        <v>273883</v>
      </c>
      <c r="G12" s="186">
        <v>35782</v>
      </c>
      <c r="H12" s="186">
        <f>SUM(Table1[[#This Row],[Justert tillatt inntekt fordelt på nettnivå_D_KKr]:[Justert tillatt inntekt fordelt på nettnivå_S_KKr]])</f>
        <v>1121544</v>
      </c>
      <c r="I12" s="187">
        <f>Table1[[#This Row],[Justert tillatt inntekt fordelt på nettnivå_D_KKr]]/Table1[[#This Row],[Sum IR]]</f>
        <v>0.72389402466599617</v>
      </c>
      <c r="J12" s="187">
        <f>Table1[[#This Row],[Justert tillatt inntekt fordelt på nettnivå_R_KKr]]/Table1[[#This Row],[Sum IR]]</f>
        <v>0.24420174331100697</v>
      </c>
      <c r="K12" s="187">
        <f>Table1[[#This Row],[Justert tillatt inntekt fordelt på nettnivå_S_KKr]]/Table1[[#This Row],[Sum IR]]</f>
        <v>3.1904232022996866E-2</v>
      </c>
    </row>
    <row r="13" spans="1:11" x14ac:dyDescent="0.25">
      <c r="A13" s="188">
        <v>918312730</v>
      </c>
      <c r="B13" s="186">
        <v>2572015</v>
      </c>
      <c r="C13" s="186">
        <v>2017</v>
      </c>
      <c r="D13" s="186" t="s">
        <v>353</v>
      </c>
      <c r="E13" s="186">
        <v>87007</v>
      </c>
      <c r="F13" s="186">
        <v>6744</v>
      </c>
      <c r="H13" s="186">
        <f>SUM(Table1[[#This Row],[Justert tillatt inntekt fordelt på nettnivå_D_KKr]:[Justert tillatt inntekt fordelt på nettnivå_S_KKr]])</f>
        <v>93751</v>
      </c>
      <c r="I13" s="187">
        <f>Table1[[#This Row],[Justert tillatt inntekt fordelt på nettnivå_D_KKr]]/Table1[[#This Row],[Sum IR]]</f>
        <v>0.92806476730914866</v>
      </c>
      <c r="J13" s="187">
        <f>Table1[[#This Row],[Justert tillatt inntekt fordelt på nettnivå_R_KKr]]/Table1[[#This Row],[Sum IR]]</f>
        <v>7.1935232690851295E-2</v>
      </c>
      <c r="K13" s="187">
        <f>Table1[[#This Row],[Justert tillatt inntekt fordelt på nettnivå_S_KKr]]/Table1[[#This Row],[Sum IR]]</f>
        <v>0</v>
      </c>
    </row>
    <row r="14" spans="1:11" x14ac:dyDescent="0.25">
      <c r="A14" s="188">
        <v>971028440</v>
      </c>
      <c r="B14" s="186">
        <v>352015</v>
      </c>
      <c r="C14" s="186">
        <v>2017</v>
      </c>
      <c r="D14" s="186" t="s">
        <v>162</v>
      </c>
      <c r="E14" s="186">
        <v>21827</v>
      </c>
      <c r="H14" s="186">
        <f>SUM(Table1[[#This Row],[Justert tillatt inntekt fordelt på nettnivå_D_KKr]:[Justert tillatt inntekt fordelt på nettnivå_S_KKr]])</f>
        <v>21827</v>
      </c>
      <c r="I14" s="187">
        <f>Table1[[#This Row],[Justert tillatt inntekt fordelt på nettnivå_D_KKr]]/Table1[[#This Row],[Sum IR]]</f>
        <v>1</v>
      </c>
      <c r="J14" s="187">
        <f>Table1[[#This Row],[Justert tillatt inntekt fordelt på nettnivå_R_KKr]]/Table1[[#This Row],[Sum IR]]</f>
        <v>0</v>
      </c>
      <c r="K14" s="187">
        <f>Table1[[#This Row],[Justert tillatt inntekt fordelt på nettnivå_S_KKr]]/Table1[[#This Row],[Sum IR]]</f>
        <v>0</v>
      </c>
    </row>
    <row r="15" spans="1:11" x14ac:dyDescent="0.25">
      <c r="A15" s="188">
        <v>976894677</v>
      </c>
      <c r="B15" s="186">
        <v>4472015</v>
      </c>
      <c r="C15" s="186">
        <v>2017</v>
      </c>
      <c r="D15" s="186" t="s">
        <v>181</v>
      </c>
      <c r="F15" s="186">
        <v>6195</v>
      </c>
      <c r="G15" s="186">
        <v>35477</v>
      </c>
      <c r="H15" s="186">
        <f>SUM(Table1[[#This Row],[Justert tillatt inntekt fordelt på nettnivå_D_KKr]:[Justert tillatt inntekt fordelt på nettnivå_S_KKr]])</f>
        <v>41672</v>
      </c>
      <c r="I15" s="187">
        <f>Table1[[#This Row],[Justert tillatt inntekt fordelt på nettnivå_D_KKr]]/Table1[[#This Row],[Sum IR]]</f>
        <v>0</v>
      </c>
      <c r="J15" s="187">
        <f>Table1[[#This Row],[Justert tillatt inntekt fordelt på nettnivå_R_KKr]]/Table1[[#This Row],[Sum IR]]</f>
        <v>0.14866097139566137</v>
      </c>
      <c r="K15" s="187">
        <f>Table1[[#This Row],[Justert tillatt inntekt fordelt på nettnivå_S_KKr]]/Table1[[#This Row],[Sum IR]]</f>
        <v>0.85133902860433863</v>
      </c>
    </row>
    <row r="16" spans="1:11" x14ac:dyDescent="0.25">
      <c r="A16" s="188">
        <v>981963849</v>
      </c>
      <c r="B16" s="186">
        <v>5742015</v>
      </c>
      <c r="C16" s="186">
        <v>2017</v>
      </c>
      <c r="D16" s="186" t="s">
        <v>280</v>
      </c>
      <c r="E16" s="186">
        <v>744478</v>
      </c>
      <c r="F16" s="186">
        <v>245455</v>
      </c>
      <c r="G16" s="186">
        <v>1272</v>
      </c>
      <c r="H16" s="186">
        <f>SUM(Table1[[#This Row],[Justert tillatt inntekt fordelt på nettnivå_D_KKr]:[Justert tillatt inntekt fordelt på nettnivå_S_KKr]])</f>
        <v>991205</v>
      </c>
      <c r="I16" s="187">
        <f>Table1[[#This Row],[Justert tillatt inntekt fordelt på nettnivå_D_KKr]]/Table1[[#This Row],[Sum IR]]</f>
        <v>0.75108378186147162</v>
      </c>
      <c r="J16" s="187">
        <f>Table1[[#This Row],[Justert tillatt inntekt fordelt på nettnivå_R_KKr]]/Table1[[#This Row],[Sum IR]]</f>
        <v>0.24763293163371855</v>
      </c>
      <c r="K16" s="187">
        <f>Table1[[#This Row],[Justert tillatt inntekt fordelt på nettnivå_S_KKr]]/Table1[[#This Row],[Sum IR]]</f>
        <v>1.2832865048098023E-3</v>
      </c>
    </row>
    <row r="17" spans="1:11" x14ac:dyDescent="0.25">
      <c r="A17" s="188">
        <v>971028513</v>
      </c>
      <c r="B17" s="186">
        <v>412015</v>
      </c>
      <c r="C17" s="186">
        <v>2017</v>
      </c>
      <c r="D17" s="186" t="s">
        <v>163</v>
      </c>
      <c r="E17" s="186">
        <v>13610</v>
      </c>
      <c r="F17" s="186">
        <v>16</v>
      </c>
      <c r="H17" s="186">
        <f>SUM(Table1[[#This Row],[Justert tillatt inntekt fordelt på nettnivå_D_KKr]:[Justert tillatt inntekt fordelt på nettnivå_S_KKr]])</f>
        <v>13626</v>
      </c>
      <c r="I17" s="187">
        <f>Table1[[#This Row],[Justert tillatt inntekt fordelt på nettnivå_D_KKr]]/Table1[[#This Row],[Sum IR]]</f>
        <v>0.99882577425510055</v>
      </c>
      <c r="J17" s="187">
        <f>Table1[[#This Row],[Justert tillatt inntekt fordelt på nettnivå_R_KKr]]/Table1[[#This Row],[Sum IR]]</f>
        <v>1.1742257448994569E-3</v>
      </c>
      <c r="K17" s="187">
        <f>Table1[[#This Row],[Justert tillatt inntekt fordelt på nettnivå_S_KKr]]/Table1[[#This Row],[Sum IR]]</f>
        <v>0</v>
      </c>
    </row>
    <row r="18" spans="1:11" x14ac:dyDescent="0.25">
      <c r="A18" s="188">
        <v>944664440</v>
      </c>
      <c r="B18" s="186">
        <v>432015</v>
      </c>
      <c r="C18" s="186">
        <v>2017</v>
      </c>
      <c r="D18" s="186" t="s">
        <v>201</v>
      </c>
      <c r="E18" s="186">
        <v>41452</v>
      </c>
      <c r="H18" s="186">
        <f>SUM(Table1[[#This Row],[Justert tillatt inntekt fordelt på nettnivå_D_KKr]:[Justert tillatt inntekt fordelt på nettnivå_S_KKr]])</f>
        <v>41452</v>
      </c>
      <c r="I18" s="187">
        <f>Table1[[#This Row],[Justert tillatt inntekt fordelt på nettnivå_D_KKr]]/Table1[[#This Row],[Sum IR]]</f>
        <v>1</v>
      </c>
      <c r="J18" s="187">
        <f>Table1[[#This Row],[Justert tillatt inntekt fordelt på nettnivå_R_KKr]]/Table1[[#This Row],[Sum IR]]</f>
        <v>0</v>
      </c>
      <c r="K18" s="187">
        <f>Table1[[#This Row],[Justert tillatt inntekt fordelt på nettnivå_S_KKr]]/Table1[[#This Row],[Sum IR]]</f>
        <v>0</v>
      </c>
    </row>
    <row r="19" spans="1:11" x14ac:dyDescent="0.25">
      <c r="A19" s="188">
        <v>971028548</v>
      </c>
      <c r="B19" s="186">
        <v>452015</v>
      </c>
      <c r="C19" s="186">
        <v>2017</v>
      </c>
      <c r="D19" s="186" t="s">
        <v>202</v>
      </c>
      <c r="E19" s="186">
        <v>21330</v>
      </c>
      <c r="H19" s="186">
        <f>SUM(Table1[[#This Row],[Justert tillatt inntekt fordelt på nettnivå_D_KKr]:[Justert tillatt inntekt fordelt på nettnivå_S_KKr]])</f>
        <v>21330</v>
      </c>
      <c r="I19" s="187">
        <f>Table1[[#This Row],[Justert tillatt inntekt fordelt på nettnivå_D_KKr]]/Table1[[#This Row],[Sum IR]]</f>
        <v>1</v>
      </c>
      <c r="J19" s="187">
        <f>Table1[[#This Row],[Justert tillatt inntekt fordelt på nettnivå_R_KKr]]/Table1[[#This Row],[Sum IR]]</f>
        <v>0</v>
      </c>
      <c r="K19" s="187">
        <f>Table1[[#This Row],[Justert tillatt inntekt fordelt på nettnivå_S_KKr]]/Table1[[#This Row],[Sum IR]]</f>
        <v>0</v>
      </c>
    </row>
    <row r="20" spans="1:11" x14ac:dyDescent="0.25">
      <c r="A20" s="188">
        <v>911665670</v>
      </c>
      <c r="B20" s="186">
        <v>462015</v>
      </c>
      <c r="C20" s="186">
        <v>2017</v>
      </c>
      <c r="D20" s="186" t="s">
        <v>203</v>
      </c>
      <c r="E20" s="186">
        <v>12602</v>
      </c>
      <c r="H20" s="186">
        <f>SUM(Table1[[#This Row],[Justert tillatt inntekt fordelt på nettnivå_D_KKr]:[Justert tillatt inntekt fordelt på nettnivå_S_KKr]])</f>
        <v>12602</v>
      </c>
      <c r="I20" s="187">
        <f>Table1[[#This Row],[Justert tillatt inntekt fordelt på nettnivå_D_KKr]]/Table1[[#This Row],[Sum IR]]</f>
        <v>1</v>
      </c>
      <c r="J20" s="187">
        <f>Table1[[#This Row],[Justert tillatt inntekt fordelt på nettnivå_R_KKr]]/Table1[[#This Row],[Sum IR]]</f>
        <v>0</v>
      </c>
      <c r="K20" s="187">
        <f>Table1[[#This Row],[Justert tillatt inntekt fordelt på nettnivå_S_KKr]]/Table1[[#This Row],[Sum IR]]</f>
        <v>0</v>
      </c>
    </row>
    <row r="21" spans="1:11" x14ac:dyDescent="0.25">
      <c r="A21" s="188">
        <v>982677386</v>
      </c>
      <c r="B21" s="186">
        <v>5782015</v>
      </c>
      <c r="C21" s="186">
        <v>2017</v>
      </c>
      <c r="D21" s="186" t="s">
        <v>281</v>
      </c>
      <c r="E21" s="186">
        <v>20176</v>
      </c>
      <c r="H21" s="186">
        <f>SUM(Table1[[#This Row],[Justert tillatt inntekt fordelt på nettnivå_D_KKr]:[Justert tillatt inntekt fordelt på nettnivå_S_KKr]])</f>
        <v>20176</v>
      </c>
      <c r="I21" s="187">
        <f>Table1[[#This Row],[Justert tillatt inntekt fordelt på nettnivå_D_KKr]]/Table1[[#This Row],[Sum IR]]</f>
        <v>1</v>
      </c>
      <c r="J21" s="187">
        <f>Table1[[#This Row],[Justert tillatt inntekt fordelt på nettnivå_R_KKr]]/Table1[[#This Row],[Sum IR]]</f>
        <v>0</v>
      </c>
      <c r="K21" s="187">
        <f>Table1[[#This Row],[Justert tillatt inntekt fordelt på nettnivå_S_KKr]]/Table1[[#This Row],[Sum IR]]</f>
        <v>0</v>
      </c>
    </row>
    <row r="22" spans="1:11" x14ac:dyDescent="0.25">
      <c r="A22" s="188">
        <v>971031107</v>
      </c>
      <c r="B22" s="186">
        <v>522015</v>
      </c>
      <c r="C22" s="186">
        <v>2017</v>
      </c>
      <c r="D22" s="186" t="s">
        <v>204</v>
      </c>
      <c r="E22" s="186">
        <v>10312</v>
      </c>
      <c r="H22" s="186">
        <f>SUM(Table1[[#This Row],[Justert tillatt inntekt fordelt på nettnivå_D_KKr]:[Justert tillatt inntekt fordelt på nettnivå_S_KKr]])</f>
        <v>10312</v>
      </c>
      <c r="I22" s="187">
        <f>Table1[[#This Row],[Justert tillatt inntekt fordelt på nettnivå_D_KKr]]/Table1[[#This Row],[Sum IR]]</f>
        <v>1</v>
      </c>
      <c r="J22" s="187">
        <f>Table1[[#This Row],[Justert tillatt inntekt fordelt på nettnivå_R_KKr]]/Table1[[#This Row],[Sum IR]]</f>
        <v>0</v>
      </c>
      <c r="K22" s="187">
        <f>Table1[[#This Row],[Justert tillatt inntekt fordelt på nettnivå_S_KKr]]/Table1[[#This Row],[Sum IR]]</f>
        <v>0</v>
      </c>
    </row>
    <row r="23" spans="1:11" x14ac:dyDescent="0.25">
      <c r="A23" s="188">
        <v>814943852</v>
      </c>
      <c r="B23" s="186">
        <v>532015</v>
      </c>
      <c r="C23" s="186">
        <v>2017</v>
      </c>
      <c r="D23" s="186" t="s">
        <v>205</v>
      </c>
      <c r="E23" s="186">
        <v>57615</v>
      </c>
      <c r="H23" s="186">
        <f>SUM(Table1[[#This Row],[Justert tillatt inntekt fordelt på nettnivå_D_KKr]:[Justert tillatt inntekt fordelt på nettnivå_S_KKr]])</f>
        <v>57615</v>
      </c>
      <c r="I23" s="187">
        <f>Table1[[#This Row],[Justert tillatt inntekt fordelt på nettnivå_D_KKr]]/Table1[[#This Row],[Sum IR]]</f>
        <v>1</v>
      </c>
      <c r="J23" s="187">
        <f>Table1[[#This Row],[Justert tillatt inntekt fordelt på nettnivå_R_KKr]]/Table1[[#This Row],[Sum IR]]</f>
        <v>0</v>
      </c>
      <c r="K23" s="187">
        <f>Table1[[#This Row],[Justert tillatt inntekt fordelt på nettnivå_S_KKr]]/Table1[[#This Row],[Sum IR]]</f>
        <v>0</v>
      </c>
    </row>
    <row r="24" spans="1:11" x14ac:dyDescent="0.25">
      <c r="A24" s="188">
        <v>858837162</v>
      </c>
      <c r="B24" s="186">
        <v>552015</v>
      </c>
      <c r="C24" s="186">
        <v>2017</v>
      </c>
      <c r="D24" s="186" t="s">
        <v>206</v>
      </c>
      <c r="E24" s="186">
        <v>25155</v>
      </c>
      <c r="H24" s="186">
        <f>SUM(Table1[[#This Row],[Justert tillatt inntekt fordelt på nettnivå_D_KKr]:[Justert tillatt inntekt fordelt på nettnivå_S_KKr]])</f>
        <v>25155</v>
      </c>
      <c r="I24" s="187">
        <f>Table1[[#This Row],[Justert tillatt inntekt fordelt på nettnivå_D_KKr]]/Table1[[#This Row],[Sum IR]]</f>
        <v>1</v>
      </c>
      <c r="J24" s="187">
        <f>Table1[[#This Row],[Justert tillatt inntekt fordelt på nettnivå_R_KKr]]/Table1[[#This Row],[Sum IR]]</f>
        <v>0</v>
      </c>
      <c r="K24" s="187">
        <f>Table1[[#This Row],[Justert tillatt inntekt fordelt på nettnivå_S_KKr]]/Table1[[#This Row],[Sum IR]]</f>
        <v>0</v>
      </c>
    </row>
    <row r="25" spans="1:11" x14ac:dyDescent="0.25">
      <c r="A25" s="188">
        <v>983452841</v>
      </c>
      <c r="B25" s="186">
        <v>9002015</v>
      </c>
      <c r="C25" s="186">
        <v>2017</v>
      </c>
      <c r="D25" s="186" t="s">
        <v>142</v>
      </c>
      <c r="G25" s="186">
        <v>2322</v>
      </c>
      <c r="H25" s="186">
        <f>SUM(Table1[[#This Row],[Justert tillatt inntekt fordelt på nettnivå_D_KKr]:[Justert tillatt inntekt fordelt på nettnivå_S_KKr]])</f>
        <v>2322</v>
      </c>
      <c r="I25" s="187">
        <f>Table1[[#This Row],[Justert tillatt inntekt fordelt på nettnivå_D_KKr]]/Table1[[#This Row],[Sum IR]]</f>
        <v>0</v>
      </c>
      <c r="J25" s="187">
        <f>Table1[[#This Row],[Justert tillatt inntekt fordelt på nettnivå_R_KKr]]/Table1[[#This Row],[Sum IR]]</f>
        <v>0</v>
      </c>
      <c r="K25" s="187">
        <f>Table1[[#This Row],[Justert tillatt inntekt fordelt på nettnivå_S_KKr]]/Table1[[#This Row],[Sum IR]]</f>
        <v>1</v>
      </c>
    </row>
    <row r="26" spans="1:11" x14ac:dyDescent="0.25">
      <c r="A26" s="188">
        <v>995350580</v>
      </c>
      <c r="B26" s="186">
        <v>1192015</v>
      </c>
      <c r="C26" s="186">
        <v>2017</v>
      </c>
      <c r="D26" s="186" t="s">
        <v>225</v>
      </c>
      <c r="E26" s="186">
        <v>30425</v>
      </c>
      <c r="H26" s="186">
        <f>SUM(Table1[[#This Row],[Justert tillatt inntekt fordelt på nettnivå_D_KKr]:[Justert tillatt inntekt fordelt på nettnivå_S_KKr]])</f>
        <v>30425</v>
      </c>
      <c r="I26" s="187">
        <f>Table1[[#This Row],[Justert tillatt inntekt fordelt på nettnivå_D_KKr]]/Table1[[#This Row],[Sum IR]]</f>
        <v>1</v>
      </c>
      <c r="J26" s="187">
        <f>Table1[[#This Row],[Justert tillatt inntekt fordelt på nettnivå_R_KKr]]/Table1[[#This Row],[Sum IR]]</f>
        <v>0</v>
      </c>
      <c r="K26" s="187">
        <f>Table1[[#This Row],[Justert tillatt inntekt fordelt på nettnivå_S_KKr]]/Table1[[#This Row],[Sum IR]]</f>
        <v>0</v>
      </c>
    </row>
    <row r="27" spans="1:11" x14ac:dyDescent="0.25">
      <c r="A27" s="188">
        <v>981915550</v>
      </c>
      <c r="B27" s="186">
        <v>6152015</v>
      </c>
      <c r="C27" s="186">
        <v>2017</v>
      </c>
      <c r="D27" s="186" t="s">
        <v>347</v>
      </c>
      <c r="E27" s="186">
        <v>317621</v>
      </c>
      <c r="F27" s="186">
        <v>166205</v>
      </c>
      <c r="G27" s="186">
        <v>828</v>
      </c>
      <c r="H27" s="186">
        <f>SUM(Table1[[#This Row],[Justert tillatt inntekt fordelt på nettnivå_D_KKr]:[Justert tillatt inntekt fordelt på nettnivå_S_KKr]])</f>
        <v>484654</v>
      </c>
      <c r="I27" s="187">
        <f>Table1[[#This Row],[Justert tillatt inntekt fordelt på nettnivå_D_KKr]]/Table1[[#This Row],[Sum IR]]</f>
        <v>0.65535619225261732</v>
      </c>
      <c r="J27" s="187">
        <f>Table1[[#This Row],[Justert tillatt inntekt fordelt på nettnivå_R_KKr]]/Table1[[#This Row],[Sum IR]]</f>
        <v>0.34293537245127453</v>
      </c>
      <c r="K27" s="187">
        <f>Table1[[#This Row],[Justert tillatt inntekt fordelt på nettnivå_S_KKr]]/Table1[[#This Row],[Sum IR]]</f>
        <v>1.7084352961081514E-3</v>
      </c>
    </row>
    <row r="28" spans="1:11" x14ac:dyDescent="0.25">
      <c r="A28" s="188">
        <v>916319908</v>
      </c>
      <c r="B28" s="186">
        <v>2952015</v>
      </c>
      <c r="C28" s="186">
        <v>2017</v>
      </c>
      <c r="D28" s="186" t="s">
        <v>267</v>
      </c>
      <c r="E28" s="186">
        <v>82546</v>
      </c>
      <c r="F28" s="186">
        <v>12335</v>
      </c>
      <c r="H28" s="186">
        <f>SUM(Table1[[#This Row],[Justert tillatt inntekt fordelt på nettnivå_D_KKr]:[Justert tillatt inntekt fordelt på nettnivå_S_KKr]])</f>
        <v>94881</v>
      </c>
      <c r="I28" s="187">
        <f>Table1[[#This Row],[Justert tillatt inntekt fordelt på nettnivå_D_KKr]]/Table1[[#This Row],[Sum IR]]</f>
        <v>0.86999504642657643</v>
      </c>
      <c r="J28" s="187">
        <f>Table1[[#This Row],[Justert tillatt inntekt fordelt på nettnivå_R_KKr]]/Table1[[#This Row],[Sum IR]]</f>
        <v>0.13000495357342357</v>
      </c>
      <c r="K28" s="187">
        <f>Table1[[#This Row],[Justert tillatt inntekt fordelt på nettnivå_S_KKr]]/Table1[[#This Row],[Sum IR]]</f>
        <v>0</v>
      </c>
    </row>
    <row r="29" spans="1:11" x14ac:dyDescent="0.25">
      <c r="A29" s="188">
        <v>980489698</v>
      </c>
      <c r="B29" s="186">
        <v>6752015</v>
      </c>
      <c r="C29" s="186">
        <v>2017</v>
      </c>
      <c r="D29" s="186" t="s">
        <v>294</v>
      </c>
      <c r="E29" s="186">
        <v>1964187</v>
      </c>
      <c r="F29" s="186">
        <v>740243</v>
      </c>
      <c r="G29" s="186">
        <v>11165</v>
      </c>
      <c r="H29" s="186">
        <f>SUM(Table1[[#This Row],[Justert tillatt inntekt fordelt på nettnivå_D_KKr]:[Justert tillatt inntekt fordelt på nettnivå_S_KKr]])</f>
        <v>2715595</v>
      </c>
      <c r="I29" s="187">
        <f>Table1[[#This Row],[Justert tillatt inntekt fordelt på nettnivå_D_KKr]]/Table1[[#This Row],[Sum IR]]</f>
        <v>0.72329894553495644</v>
      </c>
      <c r="J29" s="187">
        <f>Table1[[#This Row],[Justert tillatt inntekt fordelt på nettnivå_R_KKr]]/Table1[[#This Row],[Sum IR]]</f>
        <v>0.27258961664018383</v>
      </c>
      <c r="K29" s="187">
        <f>Table1[[#This Row],[Justert tillatt inntekt fordelt på nettnivå_S_KKr]]/Table1[[#This Row],[Sum IR]]</f>
        <v>4.1114378248597455E-3</v>
      </c>
    </row>
    <row r="30" spans="1:11" x14ac:dyDescent="0.25">
      <c r="A30" s="188">
        <v>971589752</v>
      </c>
      <c r="B30" s="186">
        <v>2752015</v>
      </c>
      <c r="C30" s="186">
        <v>2017</v>
      </c>
      <c r="D30" s="186" t="s">
        <v>264</v>
      </c>
      <c r="E30" s="186">
        <v>110620</v>
      </c>
      <c r="F30" s="186">
        <v>9000</v>
      </c>
      <c r="G30" s="186">
        <v>900</v>
      </c>
      <c r="H30" s="186">
        <f>SUM(Table1[[#This Row],[Justert tillatt inntekt fordelt på nettnivå_D_KKr]:[Justert tillatt inntekt fordelt på nettnivå_S_KKr]])</f>
        <v>120520</v>
      </c>
      <c r="I30" s="187">
        <f>Table1[[#This Row],[Justert tillatt inntekt fordelt på nettnivå_D_KKr]]/Table1[[#This Row],[Sum IR]]</f>
        <v>0.91785595751742455</v>
      </c>
      <c r="J30" s="187">
        <f>Table1[[#This Row],[Justert tillatt inntekt fordelt på nettnivå_R_KKr]]/Table1[[#This Row],[Sum IR]]</f>
        <v>7.467640225688682E-2</v>
      </c>
      <c r="K30" s="187">
        <f>Table1[[#This Row],[Justert tillatt inntekt fordelt på nettnivå_S_KKr]]/Table1[[#This Row],[Sum IR]]</f>
        <v>7.4676402256886824E-3</v>
      </c>
    </row>
    <row r="31" spans="1:11" x14ac:dyDescent="0.25">
      <c r="A31" s="188">
        <v>982897327</v>
      </c>
      <c r="B31" s="186">
        <v>652015</v>
      </c>
      <c r="C31" s="186">
        <v>2017</v>
      </c>
      <c r="D31" s="186" t="s">
        <v>210</v>
      </c>
      <c r="E31" s="186">
        <v>49321</v>
      </c>
      <c r="F31" s="186">
        <v>18186</v>
      </c>
      <c r="H31" s="186">
        <f>SUM(Table1[[#This Row],[Justert tillatt inntekt fordelt på nettnivå_D_KKr]:[Justert tillatt inntekt fordelt på nettnivå_S_KKr]])</f>
        <v>67507</v>
      </c>
      <c r="I31" s="187">
        <f>Table1[[#This Row],[Justert tillatt inntekt fordelt på nettnivå_D_KKr]]/Table1[[#This Row],[Sum IR]]</f>
        <v>0.73060571496289273</v>
      </c>
      <c r="J31" s="187">
        <f>Table1[[#This Row],[Justert tillatt inntekt fordelt på nettnivå_R_KKr]]/Table1[[#This Row],[Sum IR]]</f>
        <v>0.26939428503710727</v>
      </c>
      <c r="K31" s="187">
        <f>Table1[[#This Row],[Justert tillatt inntekt fordelt på nettnivå_S_KKr]]/Table1[[#This Row],[Sum IR]]</f>
        <v>0</v>
      </c>
    </row>
    <row r="32" spans="1:11" x14ac:dyDescent="0.25">
      <c r="A32" s="188">
        <v>983502601</v>
      </c>
      <c r="B32" s="186">
        <v>2382015</v>
      </c>
      <c r="C32" s="186">
        <v>2017</v>
      </c>
      <c r="D32" s="186" t="s">
        <v>176</v>
      </c>
      <c r="E32" s="186">
        <v>51321</v>
      </c>
      <c r="F32" s="186">
        <v>2277</v>
      </c>
      <c r="H32" s="186">
        <f>SUM(Table1[[#This Row],[Justert tillatt inntekt fordelt på nettnivå_D_KKr]:[Justert tillatt inntekt fordelt på nettnivå_S_KKr]])</f>
        <v>53598</v>
      </c>
      <c r="I32" s="187">
        <f>Table1[[#This Row],[Justert tillatt inntekt fordelt på nettnivå_D_KKr]]/Table1[[#This Row],[Sum IR]]</f>
        <v>0.95751707153251986</v>
      </c>
      <c r="J32" s="187">
        <f>Table1[[#This Row],[Justert tillatt inntekt fordelt på nettnivå_R_KKr]]/Table1[[#This Row],[Sum IR]]</f>
        <v>4.2482928467480127E-2</v>
      </c>
      <c r="K32" s="187">
        <f>Table1[[#This Row],[Justert tillatt inntekt fordelt på nettnivå_S_KKr]]/Table1[[#This Row],[Sum IR]]</f>
        <v>0</v>
      </c>
    </row>
    <row r="33" spans="1:11" x14ac:dyDescent="0.25">
      <c r="A33" s="188">
        <v>915635857</v>
      </c>
      <c r="B33" s="186">
        <v>5032015</v>
      </c>
      <c r="C33" s="186">
        <v>2017</v>
      </c>
      <c r="D33" s="186" t="s">
        <v>357</v>
      </c>
      <c r="E33" s="186">
        <v>319544</v>
      </c>
      <c r="F33" s="186">
        <v>120513</v>
      </c>
      <c r="G33" s="186">
        <v>43825</v>
      </c>
      <c r="H33" s="186">
        <f>SUM(Table1[[#This Row],[Justert tillatt inntekt fordelt på nettnivå_D_KKr]:[Justert tillatt inntekt fordelt på nettnivå_S_KKr]])</f>
        <v>483882</v>
      </c>
      <c r="I33" s="187">
        <f>Table1[[#This Row],[Justert tillatt inntekt fordelt på nettnivå_D_KKr]]/Table1[[#This Row],[Sum IR]]</f>
        <v>0.66037587676334308</v>
      </c>
      <c r="J33" s="187">
        <f>Table1[[#This Row],[Justert tillatt inntekt fordelt på nettnivå_R_KKr]]/Table1[[#This Row],[Sum IR]]</f>
        <v>0.24905452155690849</v>
      </c>
      <c r="K33" s="187">
        <f>Table1[[#This Row],[Justert tillatt inntekt fordelt på nettnivå_S_KKr]]/Table1[[#This Row],[Sum IR]]</f>
        <v>9.0569601679748368E-2</v>
      </c>
    </row>
    <row r="34" spans="1:11" x14ac:dyDescent="0.25">
      <c r="A34" s="188">
        <v>844011342</v>
      </c>
      <c r="B34" s="186">
        <v>712015</v>
      </c>
      <c r="C34" s="186">
        <v>2017</v>
      </c>
      <c r="D34" s="186" t="s">
        <v>211</v>
      </c>
      <c r="E34" s="186">
        <v>299510</v>
      </c>
      <c r="F34" s="186">
        <v>112705</v>
      </c>
      <c r="H34" s="186">
        <f>SUM(Table1[[#This Row],[Justert tillatt inntekt fordelt på nettnivå_D_KKr]:[Justert tillatt inntekt fordelt på nettnivå_S_KKr]])</f>
        <v>412215</v>
      </c>
      <c r="I34" s="187">
        <f>Table1[[#This Row],[Justert tillatt inntekt fordelt på nettnivå_D_KKr]]/Table1[[#This Row],[Sum IR]]</f>
        <v>0.72658685394757594</v>
      </c>
      <c r="J34" s="187">
        <f>Table1[[#This Row],[Justert tillatt inntekt fordelt på nettnivå_R_KKr]]/Table1[[#This Row],[Sum IR]]</f>
        <v>0.27341314605242412</v>
      </c>
      <c r="K34" s="187">
        <f>Table1[[#This Row],[Justert tillatt inntekt fordelt på nettnivå_S_KKr]]/Table1[[#This Row],[Sum IR]]</f>
        <v>0</v>
      </c>
    </row>
    <row r="35" spans="1:11" x14ac:dyDescent="0.25">
      <c r="A35" s="188">
        <v>971030569</v>
      </c>
      <c r="B35" s="186">
        <v>3432015</v>
      </c>
      <c r="C35" s="186">
        <v>2017</v>
      </c>
      <c r="D35" s="186" t="s">
        <v>180</v>
      </c>
      <c r="E35" s="186">
        <v>22226</v>
      </c>
      <c r="F35" s="186">
        <v>3765</v>
      </c>
      <c r="H35" s="186">
        <f>SUM(Table1[[#This Row],[Justert tillatt inntekt fordelt på nettnivå_D_KKr]:[Justert tillatt inntekt fordelt på nettnivå_S_KKr]])</f>
        <v>25991</v>
      </c>
      <c r="I35" s="187">
        <f>Table1[[#This Row],[Justert tillatt inntekt fordelt på nettnivå_D_KKr]]/Table1[[#This Row],[Sum IR]]</f>
        <v>0.8551421645954369</v>
      </c>
      <c r="J35" s="187">
        <f>Table1[[#This Row],[Justert tillatt inntekt fordelt på nettnivå_R_KKr]]/Table1[[#This Row],[Sum IR]]</f>
        <v>0.14485783540456312</v>
      </c>
      <c r="K35" s="187">
        <f>Table1[[#This Row],[Justert tillatt inntekt fordelt på nettnivå_S_KKr]]/Table1[[#This Row],[Sum IR]]</f>
        <v>0</v>
      </c>
    </row>
    <row r="36" spans="1:11" x14ac:dyDescent="0.25">
      <c r="A36" s="188">
        <v>998509289</v>
      </c>
      <c r="B36" s="186">
        <v>8522015</v>
      </c>
      <c r="C36" s="186">
        <v>2017</v>
      </c>
      <c r="D36" s="186" t="s">
        <v>299</v>
      </c>
      <c r="E36" s="186">
        <v>33199</v>
      </c>
      <c r="F36" s="186">
        <v>15905</v>
      </c>
      <c r="H36" s="186">
        <f>SUM(Table1[[#This Row],[Justert tillatt inntekt fordelt på nettnivå_D_KKr]:[Justert tillatt inntekt fordelt på nettnivå_S_KKr]])</f>
        <v>49104</v>
      </c>
      <c r="I36" s="187">
        <f>Table1[[#This Row],[Justert tillatt inntekt fordelt på nettnivå_D_KKr]]/Table1[[#This Row],[Sum IR]]</f>
        <v>0.67609563375692405</v>
      </c>
      <c r="J36" s="187">
        <f>Table1[[#This Row],[Justert tillatt inntekt fordelt på nettnivå_R_KKr]]/Table1[[#This Row],[Sum IR]]</f>
        <v>0.32390436624307595</v>
      </c>
      <c r="K36" s="187">
        <f>Table1[[#This Row],[Justert tillatt inntekt fordelt på nettnivå_S_KKr]]/Table1[[#This Row],[Sum IR]]</f>
        <v>0</v>
      </c>
    </row>
    <row r="37" spans="1:11" x14ac:dyDescent="0.25">
      <c r="A37" s="188">
        <v>985834059</v>
      </c>
      <c r="B37" s="186">
        <v>1832015</v>
      </c>
      <c r="C37" s="186">
        <v>2017</v>
      </c>
      <c r="D37" s="186" t="s">
        <v>240</v>
      </c>
      <c r="E37" s="186">
        <v>15223</v>
      </c>
      <c r="H37" s="186">
        <f>SUM(Table1[[#This Row],[Justert tillatt inntekt fordelt på nettnivå_D_KKr]:[Justert tillatt inntekt fordelt på nettnivå_S_KKr]])</f>
        <v>15223</v>
      </c>
      <c r="I37" s="187">
        <f>Table1[[#This Row],[Justert tillatt inntekt fordelt på nettnivå_D_KKr]]/Table1[[#This Row],[Sum IR]]</f>
        <v>1</v>
      </c>
      <c r="J37" s="187">
        <f>Table1[[#This Row],[Justert tillatt inntekt fordelt på nettnivå_R_KKr]]/Table1[[#This Row],[Sum IR]]</f>
        <v>0</v>
      </c>
      <c r="K37" s="187">
        <f>Table1[[#This Row],[Justert tillatt inntekt fordelt på nettnivå_S_KKr]]/Table1[[#This Row],[Sum IR]]</f>
        <v>0</v>
      </c>
    </row>
    <row r="38" spans="1:11" x14ac:dyDescent="0.25">
      <c r="A38" s="188">
        <v>917743193</v>
      </c>
      <c r="B38" s="186">
        <v>822015</v>
      </c>
      <c r="C38" s="186">
        <v>2017</v>
      </c>
      <c r="D38" s="186" t="s">
        <v>355</v>
      </c>
      <c r="E38" s="186">
        <v>29205</v>
      </c>
      <c r="H38" s="186">
        <f>SUM(Table1[[#This Row],[Justert tillatt inntekt fordelt på nettnivå_D_KKr]:[Justert tillatt inntekt fordelt på nettnivå_S_KKr]])</f>
        <v>29205</v>
      </c>
      <c r="I38" s="187">
        <f>Table1[[#This Row],[Justert tillatt inntekt fordelt på nettnivå_D_KKr]]/Table1[[#This Row],[Sum IR]]</f>
        <v>1</v>
      </c>
      <c r="J38" s="187">
        <f>Table1[[#This Row],[Justert tillatt inntekt fordelt på nettnivå_R_KKr]]/Table1[[#This Row],[Sum IR]]</f>
        <v>0</v>
      </c>
      <c r="K38" s="187">
        <f>Table1[[#This Row],[Justert tillatt inntekt fordelt på nettnivå_S_KKr]]/Table1[[#This Row],[Sum IR]]</f>
        <v>0</v>
      </c>
    </row>
    <row r="39" spans="1:11" x14ac:dyDescent="0.25">
      <c r="A39" s="188">
        <v>917537534</v>
      </c>
      <c r="B39" s="186">
        <v>2942015</v>
      </c>
      <c r="C39" s="186">
        <v>2017</v>
      </c>
      <c r="D39" s="186" t="s">
        <v>266</v>
      </c>
      <c r="E39" s="186">
        <v>17160</v>
      </c>
      <c r="H39" s="186">
        <f>SUM(Table1[[#This Row],[Justert tillatt inntekt fordelt på nettnivå_D_KKr]:[Justert tillatt inntekt fordelt på nettnivå_S_KKr]])</f>
        <v>17160</v>
      </c>
      <c r="I39" s="187">
        <f>Table1[[#This Row],[Justert tillatt inntekt fordelt på nettnivå_D_KKr]]/Table1[[#This Row],[Sum IR]]</f>
        <v>1</v>
      </c>
      <c r="J39" s="187">
        <f>Table1[[#This Row],[Justert tillatt inntekt fordelt på nettnivå_R_KKr]]/Table1[[#This Row],[Sum IR]]</f>
        <v>0</v>
      </c>
      <c r="K39" s="187">
        <f>Table1[[#This Row],[Justert tillatt inntekt fordelt på nettnivå_S_KKr]]/Table1[[#This Row],[Sum IR]]</f>
        <v>0</v>
      </c>
    </row>
    <row r="40" spans="1:11" x14ac:dyDescent="0.25">
      <c r="A40" s="188">
        <v>930187240</v>
      </c>
      <c r="B40" s="186">
        <v>1672015</v>
      </c>
      <c r="C40" s="186">
        <v>2017</v>
      </c>
      <c r="D40" s="186" t="s">
        <v>188</v>
      </c>
      <c r="E40" s="186">
        <v>1174</v>
      </c>
      <c r="H40" s="186">
        <f>SUM(Table1[[#This Row],[Justert tillatt inntekt fordelt på nettnivå_D_KKr]:[Justert tillatt inntekt fordelt på nettnivå_S_KKr]])</f>
        <v>1174</v>
      </c>
      <c r="I40" s="187">
        <f>Table1[[#This Row],[Justert tillatt inntekt fordelt på nettnivå_D_KKr]]/Table1[[#This Row],[Sum IR]]</f>
        <v>1</v>
      </c>
      <c r="J40" s="187">
        <f>Table1[[#This Row],[Justert tillatt inntekt fordelt på nettnivå_R_KKr]]/Table1[[#This Row],[Sum IR]]</f>
        <v>0</v>
      </c>
      <c r="K40" s="187">
        <f>Table1[[#This Row],[Justert tillatt inntekt fordelt på nettnivå_S_KKr]]/Table1[[#This Row],[Sum IR]]</f>
        <v>0</v>
      </c>
    </row>
    <row r="41" spans="1:11" x14ac:dyDescent="0.25">
      <c r="A41" s="188">
        <v>948067323</v>
      </c>
      <c r="B41" s="186">
        <v>842015</v>
      </c>
      <c r="C41" s="186">
        <v>2017</v>
      </c>
      <c r="D41" s="186" t="s">
        <v>214</v>
      </c>
      <c r="E41" s="186">
        <v>24877</v>
      </c>
      <c r="H41" s="186">
        <f>SUM(Table1[[#This Row],[Justert tillatt inntekt fordelt på nettnivå_D_KKr]:[Justert tillatt inntekt fordelt på nettnivå_S_KKr]])</f>
        <v>24877</v>
      </c>
      <c r="I41" s="187">
        <f>Table1[[#This Row],[Justert tillatt inntekt fordelt på nettnivå_D_KKr]]/Table1[[#This Row],[Sum IR]]</f>
        <v>1</v>
      </c>
      <c r="J41" s="187">
        <f>Table1[[#This Row],[Justert tillatt inntekt fordelt på nettnivå_R_KKr]]/Table1[[#This Row],[Sum IR]]</f>
        <v>0</v>
      </c>
      <c r="K41" s="187">
        <f>Table1[[#This Row],[Justert tillatt inntekt fordelt på nettnivå_S_KKr]]/Table1[[#This Row],[Sum IR]]</f>
        <v>0</v>
      </c>
    </row>
    <row r="42" spans="1:11" x14ac:dyDescent="0.25">
      <c r="A42" s="188">
        <v>985411131</v>
      </c>
      <c r="B42" s="186">
        <v>4332015</v>
      </c>
      <c r="C42" s="186">
        <v>2017</v>
      </c>
      <c r="D42" s="186" t="s">
        <v>346</v>
      </c>
      <c r="E42" s="186">
        <v>128746</v>
      </c>
      <c r="F42" s="186">
        <v>14500</v>
      </c>
      <c r="G42" s="186">
        <v>535</v>
      </c>
      <c r="H42" s="186">
        <f>SUM(Table1[[#This Row],[Justert tillatt inntekt fordelt på nettnivå_D_KKr]:[Justert tillatt inntekt fordelt på nettnivå_S_KKr]])</f>
        <v>143781</v>
      </c>
      <c r="I42" s="187">
        <f>Table1[[#This Row],[Justert tillatt inntekt fordelt på nettnivå_D_KKr]]/Table1[[#This Row],[Sum IR]]</f>
        <v>0.89543124613126912</v>
      </c>
      <c r="J42" s="187">
        <f>Table1[[#This Row],[Justert tillatt inntekt fordelt på nettnivå_R_KKr]]/Table1[[#This Row],[Sum IR]]</f>
        <v>0.10084781716638498</v>
      </c>
      <c r="K42" s="187">
        <f>Table1[[#This Row],[Justert tillatt inntekt fordelt på nettnivå_S_KKr]]/Table1[[#This Row],[Sum IR]]</f>
        <v>3.720936702345929E-3</v>
      </c>
    </row>
    <row r="43" spans="1:11" x14ac:dyDescent="0.25">
      <c r="A43" s="188">
        <v>914385261</v>
      </c>
      <c r="B43" s="186">
        <v>422015</v>
      </c>
      <c r="C43" s="186">
        <v>2017</v>
      </c>
      <c r="D43" s="186" t="s">
        <v>200</v>
      </c>
      <c r="E43" s="186">
        <v>42773</v>
      </c>
      <c r="H43" s="186">
        <f>SUM(Table1[[#This Row],[Justert tillatt inntekt fordelt på nettnivå_D_KKr]:[Justert tillatt inntekt fordelt på nettnivå_S_KKr]])</f>
        <v>42773</v>
      </c>
      <c r="I43" s="187">
        <f>Table1[[#This Row],[Justert tillatt inntekt fordelt på nettnivå_D_KKr]]/Table1[[#This Row],[Sum IR]]</f>
        <v>1</v>
      </c>
      <c r="J43" s="187">
        <f>Table1[[#This Row],[Justert tillatt inntekt fordelt på nettnivå_R_KKr]]/Table1[[#This Row],[Sum IR]]</f>
        <v>0</v>
      </c>
      <c r="K43" s="187">
        <f>Table1[[#This Row],[Justert tillatt inntekt fordelt på nettnivå_S_KKr]]/Table1[[#This Row],[Sum IR]]</f>
        <v>0</v>
      </c>
    </row>
    <row r="44" spans="1:11" x14ac:dyDescent="0.25">
      <c r="A44" s="188">
        <v>979379455</v>
      </c>
      <c r="B44" s="186">
        <v>862015</v>
      </c>
      <c r="C44" s="186">
        <v>2017</v>
      </c>
      <c r="D44" s="186" t="s">
        <v>215</v>
      </c>
      <c r="E44" s="186">
        <v>123688</v>
      </c>
      <c r="F44" s="186">
        <v>22910</v>
      </c>
      <c r="H44" s="186">
        <f>SUM(Table1[[#This Row],[Justert tillatt inntekt fordelt på nettnivå_D_KKr]:[Justert tillatt inntekt fordelt på nettnivå_S_KKr]])</f>
        <v>146598</v>
      </c>
      <c r="I44" s="187">
        <f>Table1[[#This Row],[Justert tillatt inntekt fordelt på nettnivå_D_KKr]]/Table1[[#This Row],[Sum IR]]</f>
        <v>0.84372228816218497</v>
      </c>
      <c r="J44" s="187">
        <f>Table1[[#This Row],[Justert tillatt inntekt fordelt på nettnivå_R_KKr]]/Table1[[#This Row],[Sum IR]]</f>
        <v>0.15627771183781497</v>
      </c>
      <c r="K44" s="187">
        <f>Table1[[#This Row],[Justert tillatt inntekt fordelt på nettnivå_S_KKr]]/Table1[[#This Row],[Sum IR]]</f>
        <v>0</v>
      </c>
    </row>
    <row r="45" spans="1:11" x14ac:dyDescent="0.25">
      <c r="A45" s="188">
        <v>882023702</v>
      </c>
      <c r="B45" s="186">
        <v>882015</v>
      </c>
      <c r="C45" s="186">
        <v>2017</v>
      </c>
      <c r="D45" s="186" t="s">
        <v>164</v>
      </c>
      <c r="E45" s="186">
        <v>40995</v>
      </c>
      <c r="H45" s="186">
        <f>SUM(Table1[[#This Row],[Justert tillatt inntekt fordelt på nettnivå_D_KKr]:[Justert tillatt inntekt fordelt på nettnivå_S_KKr]])</f>
        <v>40995</v>
      </c>
      <c r="I45" s="187">
        <f>Table1[[#This Row],[Justert tillatt inntekt fordelt på nettnivå_D_KKr]]/Table1[[#This Row],[Sum IR]]</f>
        <v>1</v>
      </c>
      <c r="J45" s="187">
        <f>Table1[[#This Row],[Justert tillatt inntekt fordelt på nettnivå_R_KKr]]/Table1[[#This Row],[Sum IR]]</f>
        <v>0</v>
      </c>
      <c r="K45" s="187">
        <f>Table1[[#This Row],[Justert tillatt inntekt fordelt på nettnivå_S_KKr]]/Table1[[#This Row],[Sum IR]]</f>
        <v>0</v>
      </c>
    </row>
    <row r="46" spans="1:11" x14ac:dyDescent="0.25">
      <c r="A46" s="188">
        <v>977285712</v>
      </c>
      <c r="B46" s="186">
        <v>912015</v>
      </c>
      <c r="C46" s="186">
        <v>2017</v>
      </c>
      <c r="D46" s="186" t="s">
        <v>216</v>
      </c>
      <c r="E46" s="186">
        <v>34123</v>
      </c>
      <c r="H46" s="186">
        <f>SUM(Table1[[#This Row],[Justert tillatt inntekt fordelt på nettnivå_D_KKr]:[Justert tillatt inntekt fordelt på nettnivå_S_KKr]])</f>
        <v>34123</v>
      </c>
      <c r="I46" s="187">
        <f>Table1[[#This Row],[Justert tillatt inntekt fordelt på nettnivå_D_KKr]]/Table1[[#This Row],[Sum IR]]</f>
        <v>1</v>
      </c>
      <c r="J46" s="187">
        <f>Table1[[#This Row],[Justert tillatt inntekt fordelt på nettnivå_R_KKr]]/Table1[[#This Row],[Sum IR]]</f>
        <v>0</v>
      </c>
      <c r="K46" s="187">
        <f>Table1[[#This Row],[Justert tillatt inntekt fordelt på nettnivå_S_KKr]]/Table1[[#This Row],[Sum IR]]</f>
        <v>0</v>
      </c>
    </row>
    <row r="47" spans="1:11" x14ac:dyDescent="0.25">
      <c r="A47" s="188">
        <v>979399901</v>
      </c>
      <c r="B47" s="186">
        <v>932015</v>
      </c>
      <c r="C47" s="186">
        <v>2017</v>
      </c>
      <c r="D47" s="186" t="s">
        <v>217</v>
      </c>
      <c r="E47" s="186">
        <v>45192</v>
      </c>
      <c r="F47" s="186">
        <v>6939</v>
      </c>
      <c r="H47" s="186">
        <f>SUM(Table1[[#This Row],[Justert tillatt inntekt fordelt på nettnivå_D_KKr]:[Justert tillatt inntekt fordelt på nettnivå_S_KKr]])</f>
        <v>52131</v>
      </c>
      <c r="I47" s="187">
        <f>Table1[[#This Row],[Justert tillatt inntekt fordelt på nettnivå_D_KKr]]/Table1[[#This Row],[Sum IR]]</f>
        <v>0.8668930195085458</v>
      </c>
      <c r="J47" s="187">
        <f>Table1[[#This Row],[Justert tillatt inntekt fordelt på nettnivå_R_KKr]]/Table1[[#This Row],[Sum IR]]</f>
        <v>0.13310698049145422</v>
      </c>
      <c r="K47" s="187">
        <f>Table1[[#This Row],[Justert tillatt inntekt fordelt på nettnivå_S_KKr]]/Table1[[#This Row],[Sum IR]]</f>
        <v>0</v>
      </c>
    </row>
    <row r="48" spans="1:11" x14ac:dyDescent="0.25">
      <c r="A48" s="188">
        <v>971030658</v>
      </c>
      <c r="B48" s="186">
        <v>952015</v>
      </c>
      <c r="C48" s="186">
        <v>2017</v>
      </c>
      <c r="D48" s="186" t="s">
        <v>218</v>
      </c>
      <c r="E48" s="186">
        <v>13646</v>
      </c>
      <c r="H48" s="186">
        <f>SUM(Table1[[#This Row],[Justert tillatt inntekt fordelt på nettnivå_D_KKr]:[Justert tillatt inntekt fordelt på nettnivå_S_KKr]])</f>
        <v>13646</v>
      </c>
      <c r="I48" s="187">
        <f>Table1[[#This Row],[Justert tillatt inntekt fordelt på nettnivå_D_KKr]]/Table1[[#This Row],[Sum IR]]</f>
        <v>1</v>
      </c>
      <c r="J48" s="187">
        <f>Table1[[#This Row],[Justert tillatt inntekt fordelt på nettnivå_R_KKr]]/Table1[[#This Row],[Sum IR]]</f>
        <v>0</v>
      </c>
      <c r="K48" s="187">
        <f>Table1[[#This Row],[Justert tillatt inntekt fordelt på nettnivå_S_KKr]]/Table1[[#This Row],[Sum IR]]</f>
        <v>0</v>
      </c>
    </row>
    <row r="49" spans="1:11" x14ac:dyDescent="0.25">
      <c r="A49" s="188">
        <v>979599684</v>
      </c>
      <c r="B49" s="186">
        <v>962015</v>
      </c>
      <c r="C49" s="186">
        <v>2017</v>
      </c>
      <c r="D49" s="186" t="s">
        <v>219</v>
      </c>
      <c r="E49" s="186">
        <v>40203</v>
      </c>
      <c r="H49" s="186">
        <f>SUM(Table1[[#This Row],[Justert tillatt inntekt fordelt på nettnivå_D_KKr]:[Justert tillatt inntekt fordelt på nettnivå_S_KKr]])</f>
        <v>40203</v>
      </c>
      <c r="I49" s="187">
        <f>Table1[[#This Row],[Justert tillatt inntekt fordelt på nettnivå_D_KKr]]/Table1[[#This Row],[Sum IR]]</f>
        <v>1</v>
      </c>
      <c r="J49" s="187">
        <f>Table1[[#This Row],[Justert tillatt inntekt fordelt på nettnivå_R_KKr]]/Table1[[#This Row],[Sum IR]]</f>
        <v>0</v>
      </c>
      <c r="K49" s="187">
        <f>Table1[[#This Row],[Justert tillatt inntekt fordelt på nettnivå_S_KKr]]/Table1[[#This Row],[Sum IR]]</f>
        <v>0</v>
      </c>
    </row>
    <row r="50" spans="1:11" x14ac:dyDescent="0.25">
      <c r="A50" s="188">
        <v>955664361</v>
      </c>
      <c r="B50" s="186">
        <v>1632015</v>
      </c>
      <c r="C50" s="186">
        <v>2017</v>
      </c>
      <c r="D50" s="186" t="s">
        <v>350</v>
      </c>
      <c r="E50" s="186">
        <v>24372</v>
      </c>
      <c r="H50" s="186">
        <f>SUM(Table1[[#This Row],[Justert tillatt inntekt fordelt på nettnivå_D_KKr]:[Justert tillatt inntekt fordelt på nettnivå_S_KKr]])</f>
        <v>24372</v>
      </c>
      <c r="I50" s="187">
        <f>Table1[[#This Row],[Justert tillatt inntekt fordelt på nettnivå_D_KKr]]/Table1[[#This Row],[Sum IR]]</f>
        <v>1</v>
      </c>
      <c r="J50" s="187">
        <f>Table1[[#This Row],[Justert tillatt inntekt fordelt på nettnivå_R_KKr]]/Table1[[#This Row],[Sum IR]]</f>
        <v>0</v>
      </c>
      <c r="K50" s="187">
        <f>Table1[[#This Row],[Justert tillatt inntekt fordelt på nettnivå_S_KKr]]/Table1[[#This Row],[Sum IR]]</f>
        <v>0</v>
      </c>
    </row>
    <row r="51" spans="1:11" x14ac:dyDescent="0.25">
      <c r="A51" s="188">
        <v>966309202</v>
      </c>
      <c r="B51" s="186">
        <v>972015</v>
      </c>
      <c r="C51" s="186">
        <v>2017</v>
      </c>
      <c r="D51" s="186" t="s">
        <v>220</v>
      </c>
      <c r="E51" s="186">
        <v>43563</v>
      </c>
      <c r="H51" s="186">
        <f>SUM(Table1[[#This Row],[Justert tillatt inntekt fordelt på nettnivå_D_KKr]:[Justert tillatt inntekt fordelt på nettnivå_S_KKr]])</f>
        <v>43563</v>
      </c>
      <c r="I51" s="187">
        <f>Table1[[#This Row],[Justert tillatt inntekt fordelt på nettnivå_D_KKr]]/Table1[[#This Row],[Sum IR]]</f>
        <v>1</v>
      </c>
      <c r="J51" s="187">
        <f>Table1[[#This Row],[Justert tillatt inntekt fordelt på nettnivå_R_KKr]]/Table1[[#This Row],[Sum IR]]</f>
        <v>0</v>
      </c>
      <c r="K51" s="187">
        <f>Table1[[#This Row],[Justert tillatt inntekt fordelt på nettnivå_S_KKr]]/Table1[[#This Row],[Sum IR]]</f>
        <v>0</v>
      </c>
    </row>
    <row r="52" spans="1:11" x14ac:dyDescent="0.25">
      <c r="A52" s="188">
        <v>913680294</v>
      </c>
      <c r="B52" s="186">
        <v>982015</v>
      </c>
      <c r="C52" s="186">
        <v>2017</v>
      </c>
      <c r="D52" s="186" t="s">
        <v>165</v>
      </c>
      <c r="F52" s="186">
        <v>1566</v>
      </c>
      <c r="G52" s="186">
        <v>1666</v>
      </c>
      <c r="H52" s="186">
        <f>SUM(Table1[[#This Row],[Justert tillatt inntekt fordelt på nettnivå_D_KKr]:[Justert tillatt inntekt fordelt på nettnivå_S_KKr]])</f>
        <v>3232</v>
      </c>
      <c r="I52" s="187">
        <f>Table1[[#This Row],[Justert tillatt inntekt fordelt på nettnivå_D_KKr]]/Table1[[#This Row],[Sum IR]]</f>
        <v>0</v>
      </c>
      <c r="J52" s="187">
        <f>Table1[[#This Row],[Justert tillatt inntekt fordelt på nettnivå_R_KKr]]/Table1[[#This Row],[Sum IR]]</f>
        <v>0.48452970297029702</v>
      </c>
      <c r="K52" s="187">
        <f>Table1[[#This Row],[Justert tillatt inntekt fordelt på nettnivå_S_KKr]]/Table1[[#This Row],[Sum IR]]</f>
        <v>0.51547029702970293</v>
      </c>
    </row>
    <row r="53" spans="1:11" x14ac:dyDescent="0.25">
      <c r="A53" s="188">
        <v>986347801</v>
      </c>
      <c r="B53" s="186">
        <v>3542015</v>
      </c>
      <c r="C53" s="186">
        <v>2017</v>
      </c>
      <c r="D53" s="186" t="s">
        <v>271</v>
      </c>
      <c r="E53" s="186">
        <v>136581</v>
      </c>
      <c r="F53" s="186">
        <v>48099</v>
      </c>
      <c r="H53" s="186">
        <f>SUM(Table1[[#This Row],[Justert tillatt inntekt fordelt på nettnivå_D_KKr]:[Justert tillatt inntekt fordelt på nettnivå_S_KKr]])</f>
        <v>184680</v>
      </c>
      <c r="I53" s="187">
        <f>Table1[[#This Row],[Justert tillatt inntekt fordelt på nettnivå_D_KKr]]/Table1[[#This Row],[Sum IR]]</f>
        <v>0.739554905782976</v>
      </c>
      <c r="J53" s="187">
        <f>Table1[[#This Row],[Justert tillatt inntekt fordelt på nettnivå_R_KKr]]/Table1[[#This Row],[Sum IR]]</f>
        <v>0.26044509421702405</v>
      </c>
      <c r="K53" s="187">
        <f>Table1[[#This Row],[Justert tillatt inntekt fordelt på nettnivå_S_KKr]]/Table1[[#This Row],[Sum IR]]</f>
        <v>0</v>
      </c>
    </row>
    <row r="54" spans="1:11" x14ac:dyDescent="0.25">
      <c r="A54" s="188">
        <v>938260494</v>
      </c>
      <c r="B54" s="186">
        <v>1032015</v>
      </c>
      <c r="C54" s="186">
        <v>2017</v>
      </c>
      <c r="D54" s="186" t="s">
        <v>222</v>
      </c>
      <c r="E54" s="186">
        <v>41873</v>
      </c>
      <c r="F54" s="186">
        <v>2000</v>
      </c>
      <c r="H54" s="186">
        <f>SUM(Table1[[#This Row],[Justert tillatt inntekt fordelt på nettnivå_D_KKr]:[Justert tillatt inntekt fordelt på nettnivå_S_KKr]])</f>
        <v>43873</v>
      </c>
      <c r="I54" s="187">
        <f>Table1[[#This Row],[Justert tillatt inntekt fordelt på nettnivå_D_KKr]]/Table1[[#This Row],[Sum IR]]</f>
        <v>0.95441387641601894</v>
      </c>
      <c r="J54" s="187">
        <f>Table1[[#This Row],[Justert tillatt inntekt fordelt på nettnivå_R_KKr]]/Table1[[#This Row],[Sum IR]]</f>
        <v>4.5586123583981036E-2</v>
      </c>
      <c r="K54" s="187">
        <f>Table1[[#This Row],[Justert tillatt inntekt fordelt på nettnivå_S_KKr]]/Table1[[#This Row],[Sum IR]]</f>
        <v>0</v>
      </c>
    </row>
    <row r="55" spans="1:11" x14ac:dyDescent="0.25">
      <c r="A55" s="188">
        <v>933297292</v>
      </c>
      <c r="B55" s="186">
        <v>1042015</v>
      </c>
      <c r="C55" s="186">
        <v>2017</v>
      </c>
      <c r="D55" s="186" t="s">
        <v>223</v>
      </c>
      <c r="E55" s="186">
        <v>23868</v>
      </c>
      <c r="H55" s="186">
        <f>SUM(Table1[[#This Row],[Justert tillatt inntekt fordelt på nettnivå_D_KKr]:[Justert tillatt inntekt fordelt på nettnivå_S_KKr]])</f>
        <v>23868</v>
      </c>
      <c r="I55" s="187">
        <f>Table1[[#This Row],[Justert tillatt inntekt fordelt på nettnivå_D_KKr]]/Table1[[#This Row],[Sum IR]]</f>
        <v>1</v>
      </c>
      <c r="J55" s="187">
        <f>Table1[[#This Row],[Justert tillatt inntekt fordelt på nettnivå_R_KKr]]/Table1[[#This Row],[Sum IR]]</f>
        <v>0</v>
      </c>
      <c r="K55" s="187">
        <f>Table1[[#This Row],[Justert tillatt inntekt fordelt på nettnivå_S_KKr]]/Table1[[#This Row],[Sum IR]]</f>
        <v>0</v>
      </c>
    </row>
    <row r="56" spans="1:11" x14ac:dyDescent="0.25">
      <c r="A56" s="188">
        <v>980038408</v>
      </c>
      <c r="B56" s="186">
        <v>5112015</v>
      </c>
      <c r="C56" s="186">
        <v>2017</v>
      </c>
      <c r="D56" s="186" t="s">
        <v>277</v>
      </c>
      <c r="E56" s="186">
        <v>513035</v>
      </c>
      <c r="F56" s="186">
        <v>230058</v>
      </c>
      <c r="G56" s="186">
        <v>2280</v>
      </c>
      <c r="H56" s="186">
        <f>SUM(Table1[[#This Row],[Justert tillatt inntekt fordelt på nettnivå_D_KKr]:[Justert tillatt inntekt fordelt på nettnivå_S_KKr]])</f>
        <v>745373</v>
      </c>
      <c r="I56" s="187">
        <f>Table1[[#This Row],[Justert tillatt inntekt fordelt på nettnivå_D_KKr]]/Table1[[#This Row],[Sum IR]]</f>
        <v>0.68829297546329149</v>
      </c>
      <c r="J56" s="187">
        <f>Table1[[#This Row],[Justert tillatt inntekt fordelt på nettnivå_R_KKr]]/Table1[[#This Row],[Sum IR]]</f>
        <v>0.30864815334067641</v>
      </c>
      <c r="K56" s="187">
        <f>Table1[[#This Row],[Justert tillatt inntekt fordelt på nettnivå_S_KKr]]/Table1[[#This Row],[Sum IR]]</f>
        <v>3.0588711960320538E-3</v>
      </c>
    </row>
    <row r="57" spans="1:11" x14ac:dyDescent="0.25">
      <c r="A57" s="188">
        <v>980335216</v>
      </c>
      <c r="B57" s="186">
        <v>5122015</v>
      </c>
      <c r="C57" s="186">
        <v>2017</v>
      </c>
      <c r="D57" s="186" t="s">
        <v>183</v>
      </c>
      <c r="E57" s="186">
        <v>2333</v>
      </c>
      <c r="F57" s="186">
        <v>1022</v>
      </c>
      <c r="H57" s="186">
        <f>SUM(Table1[[#This Row],[Justert tillatt inntekt fordelt på nettnivå_D_KKr]:[Justert tillatt inntekt fordelt på nettnivå_S_KKr]])</f>
        <v>3355</v>
      </c>
      <c r="I57" s="187">
        <f>Table1[[#This Row],[Justert tillatt inntekt fordelt på nettnivå_D_KKr]]/Table1[[#This Row],[Sum IR]]</f>
        <v>0.69538002980625935</v>
      </c>
      <c r="J57" s="187">
        <f>Table1[[#This Row],[Justert tillatt inntekt fordelt på nettnivå_R_KKr]]/Table1[[#This Row],[Sum IR]]</f>
        <v>0.30461997019374071</v>
      </c>
      <c r="K57" s="187">
        <f>Table1[[#This Row],[Justert tillatt inntekt fordelt på nettnivå_S_KKr]]/Table1[[#This Row],[Sum IR]]</f>
        <v>0</v>
      </c>
    </row>
    <row r="58" spans="1:11" x14ac:dyDescent="0.25">
      <c r="A58" s="188">
        <v>914078865</v>
      </c>
      <c r="B58" s="186">
        <v>1062015</v>
      </c>
      <c r="C58" s="186">
        <v>2017</v>
      </c>
      <c r="D58" s="186" t="s">
        <v>166</v>
      </c>
      <c r="E58" s="186">
        <v>18114</v>
      </c>
      <c r="F58" s="186">
        <v>133</v>
      </c>
      <c r="H58" s="186">
        <f>SUM(Table1[[#This Row],[Justert tillatt inntekt fordelt på nettnivå_D_KKr]:[Justert tillatt inntekt fordelt på nettnivå_S_KKr]])</f>
        <v>18247</v>
      </c>
      <c r="I58" s="187">
        <f>Table1[[#This Row],[Justert tillatt inntekt fordelt på nettnivå_D_KKr]]/Table1[[#This Row],[Sum IR]]</f>
        <v>0.99271113059681049</v>
      </c>
      <c r="J58" s="187">
        <f>Table1[[#This Row],[Justert tillatt inntekt fordelt på nettnivå_R_KKr]]/Table1[[#This Row],[Sum IR]]</f>
        <v>7.2888694031895658E-3</v>
      </c>
      <c r="K58" s="187">
        <f>Table1[[#This Row],[Justert tillatt inntekt fordelt på nettnivå_S_KKr]]/Table1[[#This Row],[Sum IR]]</f>
        <v>0</v>
      </c>
    </row>
    <row r="59" spans="1:11" x14ac:dyDescent="0.25">
      <c r="A59" s="188">
        <v>977106184</v>
      </c>
      <c r="B59" s="186">
        <v>1162015</v>
      </c>
      <c r="C59" s="186">
        <v>2017</v>
      </c>
      <c r="D59" s="186" t="s">
        <v>224</v>
      </c>
      <c r="E59" s="186">
        <v>34943</v>
      </c>
      <c r="F59" s="186">
        <v>0</v>
      </c>
      <c r="H59" s="186">
        <f>SUM(Table1[[#This Row],[Justert tillatt inntekt fordelt på nettnivå_D_KKr]:[Justert tillatt inntekt fordelt på nettnivå_S_KKr]])</f>
        <v>34943</v>
      </c>
      <c r="I59" s="187">
        <f>Table1[[#This Row],[Justert tillatt inntekt fordelt på nettnivå_D_KKr]]/Table1[[#This Row],[Sum IR]]</f>
        <v>1</v>
      </c>
      <c r="J59" s="187">
        <f>Table1[[#This Row],[Justert tillatt inntekt fordelt på nettnivå_R_KKr]]/Table1[[#This Row],[Sum IR]]</f>
        <v>0</v>
      </c>
      <c r="K59" s="187">
        <f>Table1[[#This Row],[Justert tillatt inntekt fordelt på nettnivå_S_KKr]]/Table1[[#This Row],[Sum IR]]</f>
        <v>0</v>
      </c>
    </row>
    <row r="60" spans="1:11" x14ac:dyDescent="0.25">
      <c r="A60" s="188">
        <v>980283976</v>
      </c>
      <c r="B60" s="186">
        <v>5912015</v>
      </c>
      <c r="C60" s="186">
        <v>2017</v>
      </c>
      <c r="D60" s="186" t="s">
        <v>348</v>
      </c>
      <c r="E60" s="186">
        <v>65523</v>
      </c>
      <c r="F60" s="186">
        <v>2006</v>
      </c>
      <c r="H60" s="186">
        <f>SUM(Table1[[#This Row],[Justert tillatt inntekt fordelt på nettnivå_D_KKr]:[Justert tillatt inntekt fordelt på nettnivå_S_KKr]])</f>
        <v>67529</v>
      </c>
      <c r="I60" s="187">
        <f>Table1[[#This Row],[Justert tillatt inntekt fordelt på nettnivå_D_KKr]]/Table1[[#This Row],[Sum IR]]</f>
        <v>0.97029424395444919</v>
      </c>
      <c r="J60" s="187">
        <f>Table1[[#This Row],[Justert tillatt inntekt fordelt på nettnivå_R_KKr]]/Table1[[#This Row],[Sum IR]]</f>
        <v>2.9705756045550799E-2</v>
      </c>
      <c r="K60" s="187">
        <f>Table1[[#This Row],[Justert tillatt inntekt fordelt på nettnivå_S_KKr]]/Table1[[#This Row],[Sum IR]]</f>
        <v>0</v>
      </c>
    </row>
    <row r="61" spans="1:11" x14ac:dyDescent="0.25">
      <c r="A61" s="188">
        <v>963022158</v>
      </c>
      <c r="B61" s="186">
        <v>6592015</v>
      </c>
      <c r="C61" s="186">
        <v>2017</v>
      </c>
      <c r="D61" s="186" t="s">
        <v>184</v>
      </c>
      <c r="E61" s="186">
        <v>51288</v>
      </c>
      <c r="F61" s="186">
        <v>2530</v>
      </c>
      <c r="H61" s="186">
        <f>SUM(Table1[[#This Row],[Justert tillatt inntekt fordelt på nettnivå_D_KKr]:[Justert tillatt inntekt fordelt på nettnivå_S_KKr]])</f>
        <v>53818</v>
      </c>
      <c r="I61" s="187">
        <f>Table1[[#This Row],[Justert tillatt inntekt fordelt på nettnivå_D_KKr]]/Table1[[#This Row],[Sum IR]]</f>
        <v>0.95298970604630417</v>
      </c>
      <c r="J61" s="187">
        <f>Table1[[#This Row],[Justert tillatt inntekt fordelt på nettnivå_R_KKr]]/Table1[[#This Row],[Sum IR]]</f>
        <v>4.7010293953695791E-2</v>
      </c>
      <c r="K61" s="187">
        <f>Table1[[#This Row],[Justert tillatt inntekt fordelt på nettnivå_S_KKr]]/Table1[[#This Row],[Sum IR]]</f>
        <v>0</v>
      </c>
    </row>
    <row r="62" spans="1:11" x14ac:dyDescent="0.25">
      <c r="A62" s="188">
        <v>914780152</v>
      </c>
      <c r="B62" s="186">
        <v>7432015</v>
      </c>
      <c r="C62" s="186">
        <v>2017</v>
      </c>
      <c r="D62" s="186" t="s">
        <v>186</v>
      </c>
      <c r="E62" s="186">
        <v>25088</v>
      </c>
      <c r="F62" s="186">
        <v>19268</v>
      </c>
      <c r="H62" s="186">
        <f>SUM(Table1[[#This Row],[Justert tillatt inntekt fordelt på nettnivå_D_KKr]:[Justert tillatt inntekt fordelt på nettnivå_S_KKr]])</f>
        <v>44356</v>
      </c>
      <c r="I62" s="187">
        <f>Table1[[#This Row],[Justert tillatt inntekt fordelt på nettnivå_D_KKr]]/Table1[[#This Row],[Sum IR]]</f>
        <v>0.56560555505455856</v>
      </c>
      <c r="J62" s="187">
        <f>Table1[[#This Row],[Justert tillatt inntekt fordelt på nettnivå_R_KKr]]/Table1[[#This Row],[Sum IR]]</f>
        <v>0.43439444494544144</v>
      </c>
      <c r="K62" s="187">
        <f>Table1[[#This Row],[Justert tillatt inntekt fordelt på nettnivå_S_KKr]]/Table1[[#This Row],[Sum IR]]</f>
        <v>0</v>
      </c>
    </row>
    <row r="63" spans="1:11" x14ac:dyDescent="0.25">
      <c r="A63" s="188">
        <v>877051412</v>
      </c>
      <c r="B63" s="186">
        <v>1212015</v>
      </c>
      <c r="C63" s="186">
        <v>2017</v>
      </c>
      <c r="D63" s="186" t="s">
        <v>226</v>
      </c>
      <c r="E63" s="186">
        <v>3017</v>
      </c>
      <c r="H63" s="186">
        <f>SUM(Table1[[#This Row],[Justert tillatt inntekt fordelt på nettnivå_D_KKr]:[Justert tillatt inntekt fordelt på nettnivå_S_KKr]])</f>
        <v>3017</v>
      </c>
      <c r="I63" s="187">
        <f>Table1[[#This Row],[Justert tillatt inntekt fordelt på nettnivå_D_KKr]]/Table1[[#This Row],[Sum IR]]</f>
        <v>1</v>
      </c>
      <c r="J63" s="187">
        <f>Table1[[#This Row],[Justert tillatt inntekt fordelt på nettnivå_R_KKr]]/Table1[[#This Row],[Sum IR]]</f>
        <v>0</v>
      </c>
      <c r="K63" s="187">
        <f>Table1[[#This Row],[Justert tillatt inntekt fordelt på nettnivå_S_KKr]]/Table1[[#This Row],[Sum IR]]</f>
        <v>0</v>
      </c>
    </row>
    <row r="64" spans="1:11" x14ac:dyDescent="0.25">
      <c r="A64" s="188">
        <v>912631532</v>
      </c>
      <c r="B64" s="186">
        <v>4602015</v>
      </c>
      <c r="C64" s="186">
        <v>2017</v>
      </c>
      <c r="D64" s="186" t="s">
        <v>140</v>
      </c>
      <c r="E64" s="186">
        <v>273945</v>
      </c>
      <c r="F64" s="186">
        <v>128628</v>
      </c>
      <c r="G64" s="186">
        <v>1536</v>
      </c>
      <c r="H64" s="186">
        <f>SUM(Table1[[#This Row],[Justert tillatt inntekt fordelt på nettnivå_D_KKr]:[Justert tillatt inntekt fordelt på nettnivå_S_KKr]])</f>
        <v>404109</v>
      </c>
      <c r="I64" s="187">
        <f>Table1[[#This Row],[Justert tillatt inntekt fordelt på nettnivå_D_KKr]]/Table1[[#This Row],[Sum IR]]</f>
        <v>0.67789878473382181</v>
      </c>
      <c r="J64" s="187">
        <f>Table1[[#This Row],[Justert tillatt inntekt fordelt på nettnivå_R_KKr]]/Table1[[#This Row],[Sum IR]]</f>
        <v>0.31830026057326116</v>
      </c>
      <c r="K64" s="187">
        <f>Table1[[#This Row],[Justert tillatt inntekt fordelt på nettnivå_S_KKr]]/Table1[[#This Row],[Sum IR]]</f>
        <v>3.8009546929170098E-3</v>
      </c>
    </row>
    <row r="65" spans="1:11" x14ac:dyDescent="0.25">
      <c r="A65" s="188">
        <v>981375521</v>
      </c>
      <c r="B65" s="186">
        <v>5932015</v>
      </c>
      <c r="C65" s="186">
        <v>2017</v>
      </c>
      <c r="D65" s="186" t="s">
        <v>283</v>
      </c>
      <c r="E65" s="186">
        <v>17210</v>
      </c>
      <c r="H65" s="186">
        <f>SUM(Table1[[#This Row],[Justert tillatt inntekt fordelt på nettnivå_D_KKr]:[Justert tillatt inntekt fordelt på nettnivå_S_KKr]])</f>
        <v>17210</v>
      </c>
      <c r="I65" s="187">
        <f>Table1[[#This Row],[Justert tillatt inntekt fordelt på nettnivå_D_KKr]]/Table1[[#This Row],[Sum IR]]</f>
        <v>1</v>
      </c>
      <c r="J65" s="187">
        <f>Table1[[#This Row],[Justert tillatt inntekt fordelt på nettnivå_R_KKr]]/Table1[[#This Row],[Sum IR]]</f>
        <v>0</v>
      </c>
      <c r="K65" s="187">
        <f>Table1[[#This Row],[Justert tillatt inntekt fordelt på nettnivå_S_KKr]]/Table1[[#This Row],[Sum IR]]</f>
        <v>0</v>
      </c>
    </row>
    <row r="66" spans="1:11" x14ac:dyDescent="0.25">
      <c r="A66" s="188">
        <v>983099807</v>
      </c>
      <c r="B66" s="186">
        <v>6372015</v>
      </c>
      <c r="C66" s="186">
        <v>2017</v>
      </c>
      <c r="D66" s="186" t="s">
        <v>291</v>
      </c>
      <c r="E66" s="186">
        <v>51600</v>
      </c>
      <c r="F66" s="186">
        <v>17328</v>
      </c>
      <c r="H66" s="186">
        <f>SUM(Table1[[#This Row],[Justert tillatt inntekt fordelt på nettnivå_D_KKr]:[Justert tillatt inntekt fordelt på nettnivå_S_KKr]])</f>
        <v>68928</v>
      </c>
      <c r="I66" s="187">
        <f>Table1[[#This Row],[Justert tillatt inntekt fordelt på nettnivå_D_KKr]]/Table1[[#This Row],[Sum IR]]</f>
        <v>0.74860724233983289</v>
      </c>
      <c r="J66" s="187">
        <f>Table1[[#This Row],[Justert tillatt inntekt fordelt på nettnivå_R_KKr]]/Table1[[#This Row],[Sum IR]]</f>
        <v>0.25139275766016711</v>
      </c>
      <c r="K66" s="187">
        <f>Table1[[#This Row],[Justert tillatt inntekt fordelt på nettnivå_S_KKr]]/Table1[[#This Row],[Sum IR]]</f>
        <v>0</v>
      </c>
    </row>
    <row r="67" spans="1:11" x14ac:dyDescent="0.25">
      <c r="A67" s="188">
        <v>956740134</v>
      </c>
      <c r="B67" s="186">
        <v>1382015</v>
      </c>
      <c r="C67" s="186">
        <v>2017</v>
      </c>
      <c r="D67" s="186" t="s">
        <v>229</v>
      </c>
      <c r="E67" s="186">
        <v>18439</v>
      </c>
      <c r="F67" s="186">
        <v>7100</v>
      </c>
      <c r="H67" s="186">
        <f>SUM(Table1[[#This Row],[Justert tillatt inntekt fordelt på nettnivå_D_KKr]:[Justert tillatt inntekt fordelt på nettnivå_S_KKr]])</f>
        <v>25539</v>
      </c>
      <c r="I67" s="187">
        <f>Table1[[#This Row],[Justert tillatt inntekt fordelt på nettnivå_D_KKr]]/Table1[[#This Row],[Sum IR]]</f>
        <v>0.72199381338345281</v>
      </c>
      <c r="J67" s="187">
        <f>Table1[[#This Row],[Justert tillatt inntekt fordelt på nettnivå_R_KKr]]/Table1[[#This Row],[Sum IR]]</f>
        <v>0.27800618661654725</v>
      </c>
      <c r="K67" s="187">
        <f>Table1[[#This Row],[Justert tillatt inntekt fordelt på nettnivå_S_KKr]]/Table1[[#This Row],[Sum IR]]</f>
        <v>0</v>
      </c>
    </row>
    <row r="68" spans="1:11" x14ac:dyDescent="0.25">
      <c r="A68" s="188">
        <v>990892679</v>
      </c>
      <c r="B68" s="186">
        <v>7262015</v>
      </c>
      <c r="C68" s="186">
        <v>2017</v>
      </c>
      <c r="D68" s="186" t="s">
        <v>298</v>
      </c>
      <c r="E68" s="186">
        <v>207250</v>
      </c>
      <c r="F68" s="186">
        <v>76178</v>
      </c>
      <c r="H68" s="186">
        <f>SUM(Table1[[#This Row],[Justert tillatt inntekt fordelt på nettnivå_D_KKr]:[Justert tillatt inntekt fordelt på nettnivå_S_KKr]])</f>
        <v>283428</v>
      </c>
      <c r="I68" s="187">
        <f>Table1[[#This Row],[Justert tillatt inntekt fordelt på nettnivå_D_KKr]]/Table1[[#This Row],[Sum IR]]</f>
        <v>0.73122627263361417</v>
      </c>
      <c r="J68" s="187">
        <f>Table1[[#This Row],[Justert tillatt inntekt fordelt på nettnivå_R_KKr]]/Table1[[#This Row],[Sum IR]]</f>
        <v>0.26877372736638583</v>
      </c>
      <c r="K68" s="187">
        <f>Table1[[#This Row],[Justert tillatt inntekt fordelt på nettnivå_S_KKr]]/Table1[[#This Row],[Sum IR]]</f>
        <v>0</v>
      </c>
    </row>
    <row r="69" spans="1:11" x14ac:dyDescent="0.25">
      <c r="A69" s="188">
        <v>960684737</v>
      </c>
      <c r="B69" s="186">
        <v>3112015</v>
      </c>
      <c r="C69" s="186">
        <v>2017</v>
      </c>
      <c r="D69" s="186" t="s">
        <v>269</v>
      </c>
      <c r="E69" s="186">
        <v>130630</v>
      </c>
      <c r="F69" s="186">
        <v>63256</v>
      </c>
      <c r="H69" s="186">
        <f>SUM(Table1[[#This Row],[Justert tillatt inntekt fordelt på nettnivå_D_KKr]:[Justert tillatt inntekt fordelt på nettnivå_S_KKr]])</f>
        <v>193886</v>
      </c>
      <c r="I69" s="187">
        <f>Table1[[#This Row],[Justert tillatt inntekt fordelt på nettnivå_D_KKr]]/Table1[[#This Row],[Sum IR]]</f>
        <v>0.67374642831354503</v>
      </c>
      <c r="J69" s="187">
        <f>Table1[[#This Row],[Justert tillatt inntekt fordelt på nettnivå_R_KKr]]/Table1[[#This Row],[Sum IR]]</f>
        <v>0.32625357168645491</v>
      </c>
      <c r="K69" s="187">
        <f>Table1[[#This Row],[Justert tillatt inntekt fordelt på nettnivå_S_KKr]]/Table1[[#This Row],[Sum IR]]</f>
        <v>0</v>
      </c>
    </row>
    <row r="70" spans="1:11" x14ac:dyDescent="0.25">
      <c r="A70" s="188">
        <v>995114666</v>
      </c>
      <c r="B70" s="186">
        <v>1322015</v>
      </c>
      <c r="C70" s="186">
        <v>2017</v>
      </c>
      <c r="D70" s="186" t="s">
        <v>227</v>
      </c>
      <c r="E70" s="186">
        <v>51147</v>
      </c>
      <c r="F70" s="186">
        <v>25795</v>
      </c>
      <c r="H70" s="186">
        <f>SUM(Table1[[#This Row],[Justert tillatt inntekt fordelt på nettnivå_D_KKr]:[Justert tillatt inntekt fordelt på nettnivå_S_KKr]])</f>
        <v>76942</v>
      </c>
      <c r="I70" s="187">
        <f>Table1[[#This Row],[Justert tillatt inntekt fordelt på nettnivå_D_KKr]]/Table1[[#This Row],[Sum IR]]</f>
        <v>0.66474747212185803</v>
      </c>
      <c r="J70" s="187">
        <f>Table1[[#This Row],[Justert tillatt inntekt fordelt på nettnivå_R_KKr]]/Table1[[#This Row],[Sum IR]]</f>
        <v>0.33525252787814197</v>
      </c>
      <c r="K70" s="187">
        <f>Table1[[#This Row],[Justert tillatt inntekt fordelt på nettnivå_S_KKr]]/Table1[[#This Row],[Sum IR]]</f>
        <v>0</v>
      </c>
    </row>
    <row r="71" spans="1:11" x14ac:dyDescent="0.25">
      <c r="A71" s="188">
        <v>980824586</v>
      </c>
      <c r="B71" s="186">
        <v>6132015</v>
      </c>
      <c r="C71" s="186">
        <v>2017</v>
      </c>
      <c r="D71" s="186" t="s">
        <v>286</v>
      </c>
      <c r="E71" s="186">
        <v>65474</v>
      </c>
      <c r="H71" s="186">
        <f>SUM(Table1[[#This Row],[Justert tillatt inntekt fordelt på nettnivå_D_KKr]:[Justert tillatt inntekt fordelt på nettnivå_S_KKr]])</f>
        <v>65474</v>
      </c>
      <c r="I71" s="187">
        <f>Table1[[#This Row],[Justert tillatt inntekt fordelt på nettnivå_D_KKr]]/Table1[[#This Row],[Sum IR]]</f>
        <v>1</v>
      </c>
      <c r="J71" s="187">
        <f>Table1[[#This Row],[Justert tillatt inntekt fordelt på nettnivå_R_KKr]]/Table1[[#This Row],[Sum IR]]</f>
        <v>0</v>
      </c>
      <c r="K71" s="187">
        <f>Table1[[#This Row],[Justert tillatt inntekt fordelt på nettnivå_S_KKr]]/Table1[[#This Row],[Sum IR]]</f>
        <v>0</v>
      </c>
    </row>
    <row r="72" spans="1:11" x14ac:dyDescent="0.25">
      <c r="A72" s="188">
        <v>948526786</v>
      </c>
      <c r="B72" s="186">
        <v>1352015</v>
      </c>
      <c r="C72" s="186">
        <v>2017</v>
      </c>
      <c r="D72" s="186" t="s">
        <v>167</v>
      </c>
      <c r="E72" s="186">
        <v>71625</v>
      </c>
      <c r="F72" s="186">
        <v>124</v>
      </c>
      <c r="H72" s="186">
        <f>SUM(Table1[[#This Row],[Justert tillatt inntekt fordelt på nettnivå_D_KKr]:[Justert tillatt inntekt fordelt på nettnivå_S_KKr]])</f>
        <v>71749</v>
      </c>
      <c r="I72" s="187">
        <f>Table1[[#This Row],[Justert tillatt inntekt fordelt på nettnivå_D_KKr]]/Table1[[#This Row],[Sum IR]]</f>
        <v>0.9982717529164169</v>
      </c>
      <c r="J72" s="187">
        <f>Table1[[#This Row],[Justert tillatt inntekt fordelt på nettnivå_R_KKr]]/Table1[[#This Row],[Sum IR]]</f>
        <v>1.7282470835830465E-3</v>
      </c>
      <c r="K72" s="187">
        <f>Table1[[#This Row],[Justert tillatt inntekt fordelt på nettnivå_S_KKr]]/Table1[[#This Row],[Sum IR]]</f>
        <v>0</v>
      </c>
    </row>
    <row r="73" spans="1:11" x14ac:dyDescent="0.25">
      <c r="A73" s="188">
        <v>984653360</v>
      </c>
      <c r="B73" s="186">
        <v>3732015</v>
      </c>
      <c r="C73" s="186">
        <v>2017</v>
      </c>
      <c r="D73" s="186" t="s">
        <v>272</v>
      </c>
      <c r="E73" s="186">
        <v>14743</v>
      </c>
      <c r="H73" s="186">
        <f>SUM(Table1[[#This Row],[Justert tillatt inntekt fordelt på nettnivå_D_KKr]:[Justert tillatt inntekt fordelt på nettnivå_S_KKr]])</f>
        <v>14743</v>
      </c>
      <c r="I73" s="187">
        <f>Table1[[#This Row],[Justert tillatt inntekt fordelt på nettnivå_D_KKr]]/Table1[[#This Row],[Sum IR]]</f>
        <v>1</v>
      </c>
      <c r="J73" s="187">
        <f>Table1[[#This Row],[Justert tillatt inntekt fordelt på nettnivå_R_KKr]]/Table1[[#This Row],[Sum IR]]</f>
        <v>0</v>
      </c>
      <c r="K73" s="187">
        <f>Table1[[#This Row],[Justert tillatt inntekt fordelt på nettnivå_S_KKr]]/Table1[[#This Row],[Sum IR]]</f>
        <v>0</v>
      </c>
    </row>
    <row r="74" spans="1:11" x14ac:dyDescent="0.25">
      <c r="A74" s="188">
        <v>980234088</v>
      </c>
      <c r="B74" s="186">
        <v>322015</v>
      </c>
      <c r="C74" s="186">
        <v>2017</v>
      </c>
      <c r="D74" s="186" t="s">
        <v>198</v>
      </c>
      <c r="E74" s="186">
        <v>295681</v>
      </c>
      <c r="F74" s="186">
        <v>405</v>
      </c>
      <c r="H74" s="186">
        <f>SUM(Table1[[#This Row],[Justert tillatt inntekt fordelt på nettnivå_D_KKr]:[Justert tillatt inntekt fordelt på nettnivå_S_KKr]])</f>
        <v>296086</v>
      </c>
      <c r="I74" s="187">
        <f>Table1[[#This Row],[Justert tillatt inntekt fordelt på nettnivå_D_KKr]]/Table1[[#This Row],[Sum IR]]</f>
        <v>0.99863215417142315</v>
      </c>
      <c r="J74" s="187">
        <f>Table1[[#This Row],[Justert tillatt inntekt fordelt på nettnivå_R_KKr]]/Table1[[#This Row],[Sum IR]]</f>
        <v>1.3678458285768325E-3</v>
      </c>
      <c r="K74" s="187">
        <f>Table1[[#This Row],[Justert tillatt inntekt fordelt på nettnivå_S_KKr]]/Table1[[#This Row],[Sum IR]]</f>
        <v>0</v>
      </c>
    </row>
    <row r="75" spans="1:11" x14ac:dyDescent="0.25">
      <c r="A75" s="188">
        <v>966731508</v>
      </c>
      <c r="B75" s="186">
        <v>3492015</v>
      </c>
      <c r="C75" s="186">
        <v>2017</v>
      </c>
      <c r="D75" s="186" t="s">
        <v>270</v>
      </c>
      <c r="E75" s="186">
        <v>48849</v>
      </c>
      <c r="F75" s="186">
        <v>200</v>
      </c>
      <c r="H75" s="186">
        <f>SUM(Table1[[#This Row],[Justert tillatt inntekt fordelt på nettnivå_D_KKr]:[Justert tillatt inntekt fordelt på nettnivå_S_KKr]])</f>
        <v>49049</v>
      </c>
      <c r="I75" s="187">
        <f>Table1[[#This Row],[Justert tillatt inntekt fordelt på nettnivå_D_KKr]]/Table1[[#This Row],[Sum IR]]</f>
        <v>0.99592244490203674</v>
      </c>
      <c r="J75" s="187">
        <f>Table1[[#This Row],[Justert tillatt inntekt fordelt på nettnivå_R_KKr]]/Table1[[#This Row],[Sum IR]]</f>
        <v>4.0775550979632608E-3</v>
      </c>
      <c r="K75" s="187">
        <f>Table1[[#This Row],[Justert tillatt inntekt fordelt på nettnivå_S_KKr]]/Table1[[#This Row],[Sum IR]]</f>
        <v>0</v>
      </c>
    </row>
    <row r="76" spans="1:11" x14ac:dyDescent="0.25">
      <c r="A76" s="188">
        <v>988807648</v>
      </c>
      <c r="B76" s="186">
        <v>6992015</v>
      </c>
      <c r="C76" s="186">
        <v>2017</v>
      </c>
      <c r="D76" s="186" t="s">
        <v>297</v>
      </c>
      <c r="E76" s="186">
        <v>440809</v>
      </c>
      <c r="F76" s="186">
        <v>121952</v>
      </c>
      <c r="H76" s="186">
        <f>SUM(Table1[[#This Row],[Justert tillatt inntekt fordelt på nettnivå_D_KKr]:[Justert tillatt inntekt fordelt på nettnivå_S_KKr]])</f>
        <v>562761</v>
      </c>
      <c r="I76" s="187">
        <f>Table1[[#This Row],[Justert tillatt inntekt fordelt på nettnivå_D_KKr]]/Table1[[#This Row],[Sum IR]]</f>
        <v>0.78329699463893199</v>
      </c>
      <c r="J76" s="187">
        <f>Table1[[#This Row],[Justert tillatt inntekt fordelt på nettnivå_R_KKr]]/Table1[[#This Row],[Sum IR]]</f>
        <v>0.21670300536106801</v>
      </c>
      <c r="K76" s="187">
        <f>Table1[[#This Row],[Justert tillatt inntekt fordelt på nettnivå_S_KKr]]/Table1[[#This Row],[Sum IR]]</f>
        <v>0</v>
      </c>
    </row>
    <row r="77" spans="1:11" x14ac:dyDescent="0.25">
      <c r="A77" s="188">
        <v>976723805</v>
      </c>
      <c r="B77" s="186">
        <v>1462015</v>
      </c>
      <c r="C77" s="186">
        <v>2017</v>
      </c>
      <c r="D77" s="186" t="s">
        <v>230</v>
      </c>
      <c r="E77" s="186">
        <v>34325</v>
      </c>
      <c r="F77" s="186">
        <v>20041</v>
      </c>
      <c r="G77" s="186">
        <v>2479</v>
      </c>
      <c r="H77" s="186">
        <f>SUM(Table1[[#This Row],[Justert tillatt inntekt fordelt på nettnivå_D_KKr]:[Justert tillatt inntekt fordelt på nettnivå_S_KKr]])</f>
        <v>56845</v>
      </c>
      <c r="I77" s="187">
        <f>Table1[[#This Row],[Justert tillatt inntekt fordelt på nettnivå_D_KKr]]/Table1[[#This Row],[Sum IR]]</f>
        <v>0.60383498988477435</v>
      </c>
      <c r="J77" s="187">
        <f>Table1[[#This Row],[Justert tillatt inntekt fordelt på nettnivå_R_KKr]]/Table1[[#This Row],[Sum IR]]</f>
        <v>0.3525551939484563</v>
      </c>
      <c r="K77" s="187">
        <f>Table1[[#This Row],[Justert tillatt inntekt fordelt på nettnivå_S_KKr]]/Table1[[#This Row],[Sum IR]]</f>
        <v>4.3609816166769282E-2</v>
      </c>
    </row>
    <row r="78" spans="1:11" x14ac:dyDescent="0.25">
      <c r="A78" s="188">
        <v>915019196</v>
      </c>
      <c r="B78" s="186">
        <v>1492015</v>
      </c>
      <c r="C78" s="186">
        <v>2017</v>
      </c>
      <c r="D78" s="186" t="s">
        <v>231</v>
      </c>
      <c r="E78" s="186">
        <v>29646</v>
      </c>
      <c r="H78" s="186">
        <f>SUM(Table1[[#This Row],[Justert tillatt inntekt fordelt på nettnivå_D_KKr]:[Justert tillatt inntekt fordelt på nettnivå_S_KKr]])</f>
        <v>29646</v>
      </c>
      <c r="I78" s="187">
        <f>Table1[[#This Row],[Justert tillatt inntekt fordelt på nettnivå_D_KKr]]/Table1[[#This Row],[Sum IR]]</f>
        <v>1</v>
      </c>
      <c r="J78" s="187">
        <f>Table1[[#This Row],[Justert tillatt inntekt fordelt på nettnivå_R_KKr]]/Table1[[#This Row],[Sum IR]]</f>
        <v>0</v>
      </c>
      <c r="K78" s="187">
        <f>Table1[[#This Row],[Justert tillatt inntekt fordelt på nettnivå_S_KKr]]/Table1[[#This Row],[Sum IR]]</f>
        <v>0</v>
      </c>
    </row>
    <row r="79" spans="1:11" x14ac:dyDescent="0.25">
      <c r="A79" s="188">
        <v>817019242</v>
      </c>
      <c r="B79" s="186">
        <v>1532015</v>
      </c>
      <c r="C79" s="186">
        <v>2017</v>
      </c>
      <c r="D79" s="186" t="s">
        <v>358</v>
      </c>
      <c r="E79" s="186">
        <v>31150</v>
      </c>
      <c r="H79" s="186">
        <f>SUM(Table1[[#This Row],[Justert tillatt inntekt fordelt på nettnivå_D_KKr]:[Justert tillatt inntekt fordelt på nettnivå_S_KKr]])</f>
        <v>31150</v>
      </c>
      <c r="I79" s="187">
        <f>Table1[[#This Row],[Justert tillatt inntekt fordelt på nettnivå_D_KKr]]/Table1[[#This Row],[Sum IR]]</f>
        <v>1</v>
      </c>
      <c r="J79" s="187">
        <f>Table1[[#This Row],[Justert tillatt inntekt fordelt på nettnivå_R_KKr]]/Table1[[#This Row],[Sum IR]]</f>
        <v>0</v>
      </c>
      <c r="K79" s="187">
        <f>Table1[[#This Row],[Justert tillatt inntekt fordelt på nettnivå_S_KKr]]/Table1[[#This Row],[Sum IR]]</f>
        <v>0</v>
      </c>
    </row>
    <row r="80" spans="1:11" x14ac:dyDescent="0.25">
      <c r="A80" s="188">
        <v>915231640</v>
      </c>
      <c r="B80" s="186">
        <v>1562015</v>
      </c>
      <c r="C80" s="186">
        <v>2017</v>
      </c>
      <c r="D80" s="186" t="s">
        <v>169</v>
      </c>
      <c r="F80" s="186">
        <v>511</v>
      </c>
      <c r="H80" s="186">
        <f>SUM(Table1[[#This Row],[Justert tillatt inntekt fordelt på nettnivå_D_KKr]:[Justert tillatt inntekt fordelt på nettnivå_S_KKr]])</f>
        <v>511</v>
      </c>
      <c r="I80" s="187">
        <f>Table1[[#This Row],[Justert tillatt inntekt fordelt på nettnivå_D_KKr]]/Table1[[#This Row],[Sum IR]]</f>
        <v>0</v>
      </c>
      <c r="J80" s="187">
        <f>Table1[[#This Row],[Justert tillatt inntekt fordelt på nettnivå_R_KKr]]/Table1[[#This Row],[Sum IR]]</f>
        <v>1</v>
      </c>
      <c r="K80" s="187">
        <f>Table1[[#This Row],[Justert tillatt inntekt fordelt på nettnivå_S_KKr]]/Table1[[#This Row],[Sum IR]]</f>
        <v>0</v>
      </c>
    </row>
    <row r="81" spans="1:11" x14ac:dyDescent="0.25">
      <c r="A81" s="188">
        <v>968398083</v>
      </c>
      <c r="B81" s="186">
        <v>1572015</v>
      </c>
      <c r="C81" s="186">
        <v>2017</v>
      </c>
      <c r="D81" s="186" t="s">
        <v>234</v>
      </c>
      <c r="E81" s="186">
        <v>23760</v>
      </c>
      <c r="H81" s="186">
        <f>SUM(Table1[[#This Row],[Justert tillatt inntekt fordelt på nettnivå_D_KKr]:[Justert tillatt inntekt fordelt på nettnivå_S_KKr]])</f>
        <v>23760</v>
      </c>
      <c r="I81" s="187">
        <f>Table1[[#This Row],[Justert tillatt inntekt fordelt på nettnivå_D_KKr]]/Table1[[#This Row],[Sum IR]]</f>
        <v>1</v>
      </c>
      <c r="J81" s="187">
        <f>Table1[[#This Row],[Justert tillatt inntekt fordelt på nettnivå_R_KKr]]/Table1[[#This Row],[Sum IR]]</f>
        <v>0</v>
      </c>
      <c r="K81" s="187">
        <f>Table1[[#This Row],[Justert tillatt inntekt fordelt på nettnivå_S_KKr]]/Table1[[#This Row],[Sum IR]]</f>
        <v>0</v>
      </c>
    </row>
    <row r="82" spans="1:11" x14ac:dyDescent="0.25">
      <c r="A82" s="188">
        <v>915317898</v>
      </c>
      <c r="B82" s="186">
        <v>1612015</v>
      </c>
      <c r="C82" s="186">
        <v>2017</v>
      </c>
      <c r="D82" s="186" t="s">
        <v>170</v>
      </c>
      <c r="E82" s="186">
        <v>21292</v>
      </c>
      <c r="F82" s="186">
        <v>2632</v>
      </c>
      <c r="H82" s="186">
        <f>SUM(Table1[[#This Row],[Justert tillatt inntekt fordelt på nettnivå_D_KKr]:[Justert tillatt inntekt fordelt på nettnivå_S_KKr]])</f>
        <v>23924</v>
      </c>
      <c r="I82" s="187">
        <f>Table1[[#This Row],[Justert tillatt inntekt fordelt på nettnivå_D_KKr]]/Table1[[#This Row],[Sum IR]]</f>
        <v>0.88998495234910546</v>
      </c>
      <c r="J82" s="187">
        <f>Table1[[#This Row],[Justert tillatt inntekt fordelt på nettnivå_R_KKr]]/Table1[[#This Row],[Sum IR]]</f>
        <v>0.1100150476508945</v>
      </c>
      <c r="K82" s="187">
        <f>Table1[[#This Row],[Justert tillatt inntekt fordelt på nettnivå_S_KKr]]/Table1[[#This Row],[Sum IR]]</f>
        <v>0</v>
      </c>
    </row>
    <row r="83" spans="1:11" x14ac:dyDescent="0.25">
      <c r="A83" s="188">
        <v>970974253</v>
      </c>
      <c r="B83" s="186">
        <v>1622015</v>
      </c>
      <c r="C83" s="186">
        <v>2017</v>
      </c>
      <c r="D83" s="186" t="s">
        <v>171</v>
      </c>
      <c r="E83" s="186">
        <v>36152</v>
      </c>
      <c r="F83" s="186">
        <v>616</v>
      </c>
      <c r="H83" s="186">
        <f>SUM(Table1[[#This Row],[Justert tillatt inntekt fordelt på nettnivå_D_KKr]:[Justert tillatt inntekt fordelt på nettnivå_S_KKr]])</f>
        <v>36768</v>
      </c>
      <c r="I83" s="187">
        <f>Table1[[#This Row],[Justert tillatt inntekt fordelt på nettnivå_D_KKr]]/Table1[[#This Row],[Sum IR]]</f>
        <v>0.98324630113141864</v>
      </c>
      <c r="J83" s="187">
        <f>Table1[[#This Row],[Justert tillatt inntekt fordelt på nettnivå_R_KKr]]/Table1[[#This Row],[Sum IR]]</f>
        <v>1.6753698868581374E-2</v>
      </c>
      <c r="K83" s="187">
        <f>Table1[[#This Row],[Justert tillatt inntekt fordelt på nettnivå_S_KKr]]/Table1[[#This Row],[Sum IR]]</f>
        <v>0</v>
      </c>
    </row>
    <row r="84" spans="1:11" x14ac:dyDescent="0.25">
      <c r="A84" s="188">
        <v>948755742</v>
      </c>
      <c r="B84" s="186">
        <v>1642015</v>
      </c>
      <c r="C84" s="186">
        <v>2017</v>
      </c>
      <c r="D84" s="186" t="s">
        <v>236</v>
      </c>
      <c r="E84" s="186">
        <v>45214</v>
      </c>
      <c r="F84" s="186">
        <v>12944</v>
      </c>
      <c r="H84" s="186">
        <f>SUM(Table1[[#This Row],[Justert tillatt inntekt fordelt på nettnivå_D_KKr]:[Justert tillatt inntekt fordelt på nettnivå_S_KKr]])</f>
        <v>58158</v>
      </c>
      <c r="I84" s="187">
        <f>Table1[[#This Row],[Justert tillatt inntekt fordelt på nettnivå_D_KKr]]/Table1[[#This Row],[Sum IR]]</f>
        <v>0.77743388699748961</v>
      </c>
      <c r="J84" s="187">
        <f>Table1[[#This Row],[Justert tillatt inntekt fordelt på nettnivå_R_KKr]]/Table1[[#This Row],[Sum IR]]</f>
        <v>0.22256611300251039</v>
      </c>
      <c r="K84" s="187">
        <f>Table1[[#This Row],[Justert tillatt inntekt fordelt på nettnivå_S_KKr]]/Table1[[#This Row],[Sum IR]]</f>
        <v>0</v>
      </c>
    </row>
    <row r="85" spans="1:11" x14ac:dyDescent="0.25">
      <c r="A85" s="188">
        <v>987626844</v>
      </c>
      <c r="B85" s="186">
        <v>6932015</v>
      </c>
      <c r="C85" s="186">
        <v>2017</v>
      </c>
      <c r="D85" s="186" t="s">
        <v>296</v>
      </c>
      <c r="E85" s="186">
        <v>103471</v>
      </c>
      <c r="H85" s="186">
        <f>SUM(Table1[[#This Row],[Justert tillatt inntekt fordelt på nettnivå_D_KKr]:[Justert tillatt inntekt fordelt på nettnivå_S_KKr]])</f>
        <v>103471</v>
      </c>
      <c r="I85" s="187">
        <f>Table1[[#This Row],[Justert tillatt inntekt fordelt på nettnivå_D_KKr]]/Table1[[#This Row],[Sum IR]]</f>
        <v>1</v>
      </c>
      <c r="J85" s="187">
        <f>Table1[[#This Row],[Justert tillatt inntekt fordelt på nettnivå_R_KKr]]/Table1[[#This Row],[Sum IR]]</f>
        <v>0</v>
      </c>
      <c r="K85" s="187">
        <f>Table1[[#This Row],[Justert tillatt inntekt fordelt på nettnivå_S_KKr]]/Table1[[#This Row],[Sum IR]]</f>
        <v>0</v>
      </c>
    </row>
    <row r="86" spans="1:11" x14ac:dyDescent="0.25">
      <c r="A86" s="188">
        <v>957896928</v>
      </c>
      <c r="B86" s="186">
        <v>1682015</v>
      </c>
      <c r="C86" s="186">
        <v>2017</v>
      </c>
      <c r="D86" s="186" t="s">
        <v>237</v>
      </c>
      <c r="E86" s="186">
        <v>10951</v>
      </c>
      <c r="H86" s="186">
        <f>SUM(Table1[[#This Row],[Justert tillatt inntekt fordelt på nettnivå_D_KKr]:[Justert tillatt inntekt fordelt på nettnivå_S_KKr]])</f>
        <v>10951</v>
      </c>
      <c r="I86" s="187">
        <f>Table1[[#This Row],[Justert tillatt inntekt fordelt på nettnivå_D_KKr]]/Table1[[#This Row],[Sum IR]]</f>
        <v>1</v>
      </c>
      <c r="J86" s="187">
        <f>Table1[[#This Row],[Justert tillatt inntekt fordelt på nettnivå_R_KKr]]/Table1[[#This Row],[Sum IR]]</f>
        <v>0</v>
      </c>
      <c r="K86" s="187">
        <f>Table1[[#This Row],[Justert tillatt inntekt fordelt på nettnivå_S_KKr]]/Table1[[#This Row],[Sum IR]]</f>
        <v>0</v>
      </c>
    </row>
    <row r="87" spans="1:11" x14ac:dyDescent="0.25">
      <c r="A87" s="188">
        <v>915591302</v>
      </c>
      <c r="B87" s="186">
        <v>1732015</v>
      </c>
      <c r="C87" s="186">
        <v>2017</v>
      </c>
      <c r="D87" s="186" t="s">
        <v>172</v>
      </c>
      <c r="E87" s="186">
        <v>29959</v>
      </c>
      <c r="F87" s="186">
        <v>677</v>
      </c>
      <c r="H87" s="186">
        <f>SUM(Table1[[#This Row],[Justert tillatt inntekt fordelt på nettnivå_D_KKr]:[Justert tillatt inntekt fordelt på nettnivå_S_KKr]])</f>
        <v>30636</v>
      </c>
      <c r="I87" s="187">
        <f>Table1[[#This Row],[Justert tillatt inntekt fordelt på nettnivå_D_KKr]]/Table1[[#This Row],[Sum IR]]</f>
        <v>0.9779018148583366</v>
      </c>
      <c r="J87" s="187">
        <f>Table1[[#This Row],[Justert tillatt inntekt fordelt på nettnivå_R_KKr]]/Table1[[#This Row],[Sum IR]]</f>
        <v>2.2098185141663403E-2</v>
      </c>
      <c r="K87" s="187">
        <f>Table1[[#This Row],[Justert tillatt inntekt fordelt på nettnivå_S_KKr]]/Table1[[#This Row],[Sum IR]]</f>
        <v>0</v>
      </c>
    </row>
    <row r="88" spans="1:11" x14ac:dyDescent="0.25">
      <c r="A88" s="188">
        <v>978664628</v>
      </c>
      <c r="B88" s="186">
        <v>1812015</v>
      </c>
      <c r="C88" s="186">
        <v>2017</v>
      </c>
      <c r="D88" s="186" t="s">
        <v>239</v>
      </c>
      <c r="E88" s="186">
        <v>11699</v>
      </c>
      <c r="H88" s="186">
        <f>SUM(Table1[[#This Row],[Justert tillatt inntekt fordelt på nettnivå_D_KKr]:[Justert tillatt inntekt fordelt på nettnivå_S_KKr]])</f>
        <v>11699</v>
      </c>
      <c r="I88" s="187">
        <f>Table1[[#This Row],[Justert tillatt inntekt fordelt på nettnivå_D_KKr]]/Table1[[#This Row],[Sum IR]]</f>
        <v>1</v>
      </c>
      <c r="J88" s="187">
        <f>Table1[[#This Row],[Justert tillatt inntekt fordelt på nettnivå_R_KKr]]/Table1[[#This Row],[Sum IR]]</f>
        <v>0</v>
      </c>
      <c r="K88" s="187">
        <f>Table1[[#This Row],[Justert tillatt inntekt fordelt på nettnivå_S_KKr]]/Table1[[#This Row],[Sum IR]]</f>
        <v>0</v>
      </c>
    </row>
    <row r="89" spans="1:11" x14ac:dyDescent="0.25">
      <c r="A89" s="188">
        <v>984882114</v>
      </c>
      <c r="B89" s="186">
        <v>2692015</v>
      </c>
      <c r="C89" s="186">
        <v>2017</v>
      </c>
      <c r="D89" s="186" t="s">
        <v>262</v>
      </c>
      <c r="E89" s="186">
        <v>175295</v>
      </c>
      <c r="F89" s="186">
        <v>52838</v>
      </c>
      <c r="G89" s="186">
        <v>33612</v>
      </c>
      <c r="H89" s="186">
        <f>SUM(Table1[[#This Row],[Justert tillatt inntekt fordelt på nettnivå_D_KKr]:[Justert tillatt inntekt fordelt på nettnivå_S_KKr]])</f>
        <v>261745</v>
      </c>
      <c r="I89" s="187">
        <f>Table1[[#This Row],[Justert tillatt inntekt fordelt på nettnivå_D_KKr]]/Table1[[#This Row],[Sum IR]]</f>
        <v>0.66971670901067837</v>
      </c>
      <c r="J89" s="187">
        <f>Table1[[#This Row],[Justert tillatt inntekt fordelt på nettnivå_R_KKr]]/Table1[[#This Row],[Sum IR]]</f>
        <v>0.20186823052971403</v>
      </c>
      <c r="K89" s="187">
        <f>Table1[[#This Row],[Justert tillatt inntekt fordelt på nettnivå_S_KKr]]/Table1[[#This Row],[Sum IR]]</f>
        <v>0.12841506045960763</v>
      </c>
    </row>
    <row r="90" spans="1:11" x14ac:dyDescent="0.25">
      <c r="A90" s="188">
        <v>954090493</v>
      </c>
      <c r="B90" s="186">
        <v>1872015</v>
      </c>
      <c r="C90" s="186">
        <v>2017</v>
      </c>
      <c r="D90" s="186" t="s">
        <v>241</v>
      </c>
      <c r="E90" s="186">
        <v>4371</v>
      </c>
      <c r="G90" s="186">
        <v>4981</v>
      </c>
      <c r="H90" s="186">
        <f>SUM(Table1[[#This Row],[Justert tillatt inntekt fordelt på nettnivå_D_KKr]:[Justert tillatt inntekt fordelt på nettnivå_S_KKr]])</f>
        <v>9352</v>
      </c>
      <c r="I90" s="187">
        <f>Table1[[#This Row],[Justert tillatt inntekt fordelt på nettnivå_D_KKr]]/Table1[[#This Row],[Sum IR]]</f>
        <v>0.46738665526090678</v>
      </c>
      <c r="J90" s="187">
        <f>Table1[[#This Row],[Justert tillatt inntekt fordelt på nettnivå_R_KKr]]/Table1[[#This Row],[Sum IR]]</f>
        <v>0</v>
      </c>
      <c r="K90" s="187">
        <f>Table1[[#This Row],[Justert tillatt inntekt fordelt på nettnivå_S_KKr]]/Table1[[#This Row],[Sum IR]]</f>
        <v>0.53261334473909328</v>
      </c>
    </row>
    <row r="91" spans="1:11" x14ac:dyDescent="0.25">
      <c r="A91" s="188">
        <v>979422679</v>
      </c>
      <c r="B91" s="186">
        <v>6112015</v>
      </c>
      <c r="C91" s="186">
        <v>2017</v>
      </c>
      <c r="D91" s="186" t="s">
        <v>285</v>
      </c>
      <c r="E91" s="186">
        <v>704858</v>
      </c>
      <c r="F91" s="186">
        <v>310944</v>
      </c>
      <c r="H91" s="186">
        <f>SUM(Table1[[#This Row],[Justert tillatt inntekt fordelt på nettnivå_D_KKr]:[Justert tillatt inntekt fordelt på nettnivå_S_KKr]])</f>
        <v>1015802</v>
      </c>
      <c r="I91" s="187">
        <f>Table1[[#This Row],[Justert tillatt inntekt fordelt på nettnivå_D_KKr]]/Table1[[#This Row],[Sum IR]]</f>
        <v>0.69389310121460679</v>
      </c>
      <c r="J91" s="187">
        <f>Table1[[#This Row],[Justert tillatt inntekt fordelt på nettnivå_R_KKr]]/Table1[[#This Row],[Sum IR]]</f>
        <v>0.30610689878539321</v>
      </c>
      <c r="K91" s="187">
        <f>Table1[[#This Row],[Justert tillatt inntekt fordelt på nettnivå_S_KKr]]/Table1[[#This Row],[Sum IR]]</f>
        <v>0</v>
      </c>
    </row>
    <row r="92" spans="1:11" x14ac:dyDescent="0.25">
      <c r="A92" s="188">
        <v>991077537</v>
      </c>
      <c r="B92" s="186">
        <v>1942015</v>
      </c>
      <c r="C92" s="186">
        <v>2017</v>
      </c>
      <c r="D92" s="186" t="s">
        <v>242</v>
      </c>
      <c r="E92" s="186">
        <v>15952</v>
      </c>
      <c r="H92" s="186">
        <f>SUM(Table1[[#This Row],[Justert tillatt inntekt fordelt på nettnivå_D_KKr]:[Justert tillatt inntekt fordelt på nettnivå_S_KKr]])</f>
        <v>15952</v>
      </c>
      <c r="I92" s="187">
        <f>Table1[[#This Row],[Justert tillatt inntekt fordelt på nettnivå_D_KKr]]/Table1[[#This Row],[Sum IR]]</f>
        <v>1</v>
      </c>
      <c r="J92" s="187">
        <f>Table1[[#This Row],[Justert tillatt inntekt fordelt på nettnivå_R_KKr]]/Table1[[#This Row],[Sum IR]]</f>
        <v>0</v>
      </c>
      <c r="K92" s="187">
        <f>Table1[[#This Row],[Justert tillatt inntekt fordelt på nettnivå_S_KKr]]/Table1[[#This Row],[Sum IR]]</f>
        <v>0</v>
      </c>
    </row>
    <row r="93" spans="1:11" x14ac:dyDescent="0.25">
      <c r="A93" s="188">
        <v>947537792</v>
      </c>
      <c r="B93" s="186">
        <v>722015</v>
      </c>
      <c r="C93" s="186">
        <v>2017</v>
      </c>
      <c r="D93" s="186" t="s">
        <v>351</v>
      </c>
      <c r="E93" s="186">
        <v>28309</v>
      </c>
      <c r="H93" s="186">
        <f>SUM(Table1[[#This Row],[Justert tillatt inntekt fordelt på nettnivå_D_KKr]:[Justert tillatt inntekt fordelt på nettnivå_S_KKr]])</f>
        <v>28309</v>
      </c>
      <c r="I93" s="187">
        <f>Table1[[#This Row],[Justert tillatt inntekt fordelt på nettnivå_D_KKr]]/Table1[[#This Row],[Sum IR]]</f>
        <v>1</v>
      </c>
      <c r="J93" s="187">
        <f>Table1[[#This Row],[Justert tillatt inntekt fordelt på nettnivå_R_KKr]]/Table1[[#This Row],[Sum IR]]</f>
        <v>0</v>
      </c>
      <c r="K93" s="187">
        <f>Table1[[#This Row],[Justert tillatt inntekt fordelt på nettnivå_S_KKr]]/Table1[[#This Row],[Sum IR]]</f>
        <v>0</v>
      </c>
    </row>
    <row r="94" spans="1:11" x14ac:dyDescent="0.25">
      <c r="A94" s="188">
        <v>916069634</v>
      </c>
      <c r="B94" s="186">
        <v>1972015</v>
      </c>
      <c r="C94" s="186">
        <v>2017</v>
      </c>
      <c r="D94" s="186" t="s">
        <v>244</v>
      </c>
      <c r="E94" s="186">
        <v>70469</v>
      </c>
      <c r="F94" s="186">
        <v>498</v>
      </c>
      <c r="G94" s="186">
        <v>1000</v>
      </c>
      <c r="H94" s="186">
        <f>SUM(Table1[[#This Row],[Justert tillatt inntekt fordelt på nettnivå_D_KKr]:[Justert tillatt inntekt fordelt på nettnivå_S_KKr]])</f>
        <v>71967</v>
      </c>
      <c r="I94" s="187">
        <f>Table1[[#This Row],[Justert tillatt inntekt fordelt på nettnivå_D_KKr]]/Table1[[#This Row],[Sum IR]]</f>
        <v>0.97918490419219917</v>
      </c>
      <c r="J94" s="187">
        <f>Table1[[#This Row],[Justert tillatt inntekt fordelt på nettnivå_R_KKr]]/Table1[[#This Row],[Sum IR]]</f>
        <v>6.9198382592021339E-3</v>
      </c>
      <c r="K94" s="187">
        <f>Table1[[#This Row],[Justert tillatt inntekt fordelt på nettnivå_S_KKr]]/Table1[[#This Row],[Sum IR]]</f>
        <v>1.3895257548598662E-2</v>
      </c>
    </row>
    <row r="95" spans="1:11" x14ac:dyDescent="0.25">
      <c r="A95" s="188">
        <v>985294836</v>
      </c>
      <c r="B95" s="186">
        <v>6692015</v>
      </c>
      <c r="C95" s="186">
        <v>2017</v>
      </c>
      <c r="D95" s="186" t="s">
        <v>293</v>
      </c>
      <c r="E95" s="186">
        <v>58068</v>
      </c>
      <c r="F95" s="186">
        <v>5301</v>
      </c>
      <c r="H95" s="186">
        <f>SUM(Table1[[#This Row],[Justert tillatt inntekt fordelt på nettnivå_D_KKr]:[Justert tillatt inntekt fordelt på nettnivå_S_KKr]])</f>
        <v>63369</v>
      </c>
      <c r="I95" s="187">
        <f>Table1[[#This Row],[Justert tillatt inntekt fordelt på nettnivå_D_KKr]]/Table1[[#This Row],[Sum IR]]</f>
        <v>0.91634710978554179</v>
      </c>
      <c r="J95" s="187">
        <f>Table1[[#This Row],[Justert tillatt inntekt fordelt på nettnivå_R_KKr]]/Table1[[#This Row],[Sum IR]]</f>
        <v>8.3652890214458167E-2</v>
      </c>
      <c r="K95" s="187">
        <f>Table1[[#This Row],[Justert tillatt inntekt fordelt på nettnivå_S_KKr]]/Table1[[#This Row],[Sum IR]]</f>
        <v>0</v>
      </c>
    </row>
    <row r="96" spans="1:11" x14ac:dyDescent="0.25">
      <c r="A96" s="188">
        <v>987059729</v>
      </c>
      <c r="B96" s="186">
        <v>6852015</v>
      </c>
      <c r="C96" s="186">
        <v>2017</v>
      </c>
      <c r="D96" s="186" t="s">
        <v>295</v>
      </c>
      <c r="F96" s="186">
        <v>263</v>
      </c>
      <c r="G96" s="186">
        <v>943</v>
      </c>
      <c r="H96" s="186">
        <f>SUM(Table1[[#This Row],[Justert tillatt inntekt fordelt på nettnivå_D_KKr]:[Justert tillatt inntekt fordelt på nettnivå_S_KKr]])</f>
        <v>1206</v>
      </c>
      <c r="I96" s="187">
        <f>Table1[[#This Row],[Justert tillatt inntekt fordelt på nettnivå_D_KKr]]/Table1[[#This Row],[Sum IR]]</f>
        <v>0</v>
      </c>
      <c r="J96" s="187">
        <f>Table1[[#This Row],[Justert tillatt inntekt fordelt på nettnivå_R_KKr]]/Table1[[#This Row],[Sum IR]]</f>
        <v>0.21807628524046435</v>
      </c>
      <c r="K96" s="187">
        <f>Table1[[#This Row],[Justert tillatt inntekt fordelt på nettnivå_S_KKr]]/Table1[[#This Row],[Sum IR]]</f>
        <v>0.7819237147595357</v>
      </c>
    </row>
    <row r="97" spans="1:11" x14ac:dyDescent="0.25">
      <c r="A97" s="188">
        <v>962986633</v>
      </c>
      <c r="B97" s="186" t="e">
        <v>#N/A</v>
      </c>
      <c r="C97" s="186">
        <v>2017</v>
      </c>
      <c r="D97" s="186" t="s">
        <v>349</v>
      </c>
      <c r="F97" s="186">
        <v>134000</v>
      </c>
      <c r="G97" s="186">
        <v>6326376</v>
      </c>
      <c r="H97" s="186">
        <f>SUM(Table1[[#This Row],[Justert tillatt inntekt fordelt på nettnivå_D_KKr]:[Justert tillatt inntekt fordelt på nettnivå_S_KKr]])</f>
        <v>6460376</v>
      </c>
      <c r="I97" s="187">
        <f>Table1[[#This Row],[Justert tillatt inntekt fordelt på nettnivå_D_KKr]]/Table1[[#This Row],[Sum IR]]</f>
        <v>0</v>
      </c>
      <c r="J97" s="187">
        <f>Table1[[#This Row],[Justert tillatt inntekt fordelt på nettnivå_R_KKr]]/Table1[[#This Row],[Sum IR]]</f>
        <v>2.0741826791505633E-2</v>
      </c>
      <c r="K97" s="187">
        <f>Table1[[#This Row],[Justert tillatt inntekt fordelt på nettnivå_S_KKr]]/Table1[[#This Row],[Sum IR]]</f>
        <v>0.9792581732084944</v>
      </c>
    </row>
    <row r="98" spans="1:11" x14ac:dyDescent="0.25">
      <c r="A98" s="188">
        <v>979951140</v>
      </c>
      <c r="B98" s="186">
        <v>2042015</v>
      </c>
      <c r="C98" s="186">
        <v>2017</v>
      </c>
      <c r="D98" s="186" t="s">
        <v>174</v>
      </c>
      <c r="E98" s="186">
        <v>24435</v>
      </c>
      <c r="F98" s="186">
        <v>579</v>
      </c>
      <c r="H98" s="186">
        <f>SUM(Table1[[#This Row],[Justert tillatt inntekt fordelt på nettnivå_D_KKr]:[Justert tillatt inntekt fordelt på nettnivå_S_KKr]])</f>
        <v>25014</v>
      </c>
      <c r="I98" s="187">
        <f>Table1[[#This Row],[Justert tillatt inntekt fordelt på nettnivå_D_KKr]]/Table1[[#This Row],[Sum IR]]</f>
        <v>0.97685296234108898</v>
      </c>
      <c r="J98" s="187">
        <f>Table1[[#This Row],[Justert tillatt inntekt fordelt på nettnivå_R_KKr]]/Table1[[#This Row],[Sum IR]]</f>
        <v>2.3147037658911011E-2</v>
      </c>
      <c r="K98" s="187">
        <f>Table1[[#This Row],[Justert tillatt inntekt fordelt på nettnivå_S_KKr]]/Table1[[#This Row],[Sum IR]]</f>
        <v>0</v>
      </c>
    </row>
    <row r="99" spans="1:11" x14ac:dyDescent="0.25">
      <c r="A99" s="188">
        <v>976626192</v>
      </c>
      <c r="B99" s="186">
        <v>2052015</v>
      </c>
      <c r="C99" s="186">
        <v>2017</v>
      </c>
      <c r="D99" s="186" t="s">
        <v>245</v>
      </c>
      <c r="E99" s="186">
        <v>29756</v>
      </c>
      <c r="H99" s="186">
        <f>SUM(Table1[[#This Row],[Justert tillatt inntekt fordelt på nettnivå_D_KKr]:[Justert tillatt inntekt fordelt på nettnivå_S_KKr]])</f>
        <v>29756</v>
      </c>
      <c r="I99" s="187">
        <f>Table1[[#This Row],[Justert tillatt inntekt fordelt på nettnivå_D_KKr]]/Table1[[#This Row],[Sum IR]]</f>
        <v>1</v>
      </c>
      <c r="J99" s="187">
        <f>Table1[[#This Row],[Justert tillatt inntekt fordelt på nettnivå_R_KKr]]/Table1[[#This Row],[Sum IR]]</f>
        <v>0</v>
      </c>
      <c r="K99" s="187">
        <f>Table1[[#This Row],[Justert tillatt inntekt fordelt på nettnivå_S_KKr]]/Table1[[#This Row],[Sum IR]]</f>
        <v>0</v>
      </c>
    </row>
    <row r="100" spans="1:11" x14ac:dyDescent="0.25">
      <c r="A100" s="188">
        <v>971034998</v>
      </c>
      <c r="B100" s="186">
        <v>2062015</v>
      </c>
      <c r="C100" s="186">
        <v>2017</v>
      </c>
      <c r="D100" s="186" t="s">
        <v>246</v>
      </c>
      <c r="E100" s="186">
        <v>34558</v>
      </c>
      <c r="F100" s="186">
        <v>3920</v>
      </c>
      <c r="H100" s="186">
        <f>SUM(Table1[[#This Row],[Justert tillatt inntekt fordelt på nettnivå_D_KKr]:[Justert tillatt inntekt fordelt på nettnivå_S_KKr]])</f>
        <v>38478</v>
      </c>
      <c r="I100" s="187">
        <f>Table1[[#This Row],[Justert tillatt inntekt fordelt på nettnivå_D_KKr]]/Table1[[#This Row],[Sum IR]]</f>
        <v>0.89812360309787409</v>
      </c>
      <c r="J100" s="187">
        <f>Table1[[#This Row],[Justert tillatt inntekt fordelt på nettnivå_R_KKr]]/Table1[[#This Row],[Sum IR]]</f>
        <v>0.1018763969021259</v>
      </c>
      <c r="K100" s="187">
        <f>Table1[[#This Row],[Justert tillatt inntekt fordelt på nettnivå_S_KKr]]/Table1[[#This Row],[Sum IR]]</f>
        <v>0</v>
      </c>
    </row>
    <row r="101" spans="1:11" x14ac:dyDescent="0.25">
      <c r="A101" s="188">
        <v>971029102</v>
      </c>
      <c r="B101" s="186">
        <v>5992015</v>
      </c>
      <c r="C101" s="186">
        <v>2017</v>
      </c>
      <c r="D101" s="186" t="s">
        <v>284</v>
      </c>
      <c r="E101" s="186">
        <v>30185</v>
      </c>
      <c r="H101" s="186">
        <f>SUM(Table1[[#This Row],[Justert tillatt inntekt fordelt på nettnivå_D_KKr]:[Justert tillatt inntekt fordelt på nettnivå_S_KKr]])</f>
        <v>30185</v>
      </c>
      <c r="I101" s="187">
        <f>Table1[[#This Row],[Justert tillatt inntekt fordelt på nettnivå_D_KKr]]/Table1[[#This Row],[Sum IR]]</f>
        <v>1</v>
      </c>
      <c r="J101" s="187">
        <f>Table1[[#This Row],[Justert tillatt inntekt fordelt på nettnivå_R_KKr]]/Table1[[#This Row],[Sum IR]]</f>
        <v>0</v>
      </c>
      <c r="K101" s="187">
        <f>Table1[[#This Row],[Justert tillatt inntekt fordelt på nettnivå_S_KKr]]/Table1[[#This Row],[Sum IR]]</f>
        <v>0</v>
      </c>
    </row>
    <row r="102" spans="1:11" x14ac:dyDescent="0.25">
      <c r="A102" s="188">
        <v>916501420</v>
      </c>
      <c r="B102" s="186">
        <v>562015</v>
      </c>
      <c r="C102" s="186">
        <v>2017</v>
      </c>
      <c r="D102" s="186" t="s">
        <v>207</v>
      </c>
      <c r="E102" s="186">
        <v>110775</v>
      </c>
      <c r="F102" s="186">
        <v>26709</v>
      </c>
      <c r="G102" s="186">
        <v>1117</v>
      </c>
      <c r="H102" s="186">
        <f>SUM(Table1[[#This Row],[Justert tillatt inntekt fordelt på nettnivå_D_KKr]:[Justert tillatt inntekt fordelt på nettnivå_S_KKr]])</f>
        <v>138601</v>
      </c>
      <c r="I102" s="187">
        <f>Table1[[#This Row],[Justert tillatt inntekt fordelt på nettnivå_D_KKr]]/Table1[[#This Row],[Sum IR]]</f>
        <v>0.79923665774417207</v>
      </c>
      <c r="J102" s="187">
        <f>Table1[[#This Row],[Justert tillatt inntekt fordelt på nettnivå_R_KKr]]/Table1[[#This Row],[Sum IR]]</f>
        <v>0.19270423734316491</v>
      </c>
      <c r="K102" s="187">
        <f>Table1[[#This Row],[Justert tillatt inntekt fordelt på nettnivå_S_KKr]]/Table1[[#This Row],[Sum IR]]</f>
        <v>8.059104912662967E-3</v>
      </c>
    </row>
    <row r="103" spans="1:11" x14ac:dyDescent="0.25">
      <c r="A103" s="188">
        <v>919763159</v>
      </c>
      <c r="B103" s="186">
        <v>2742015</v>
      </c>
      <c r="C103" s="186">
        <v>2017</v>
      </c>
      <c r="D103" s="186" t="s">
        <v>177</v>
      </c>
      <c r="E103" s="186">
        <v>52080</v>
      </c>
      <c r="F103" s="186">
        <v>3386</v>
      </c>
      <c r="H103" s="186">
        <f>SUM(Table1[[#This Row],[Justert tillatt inntekt fordelt på nettnivå_D_KKr]:[Justert tillatt inntekt fordelt på nettnivå_S_KKr]])</f>
        <v>55466</v>
      </c>
      <c r="I103" s="187">
        <f>Table1[[#This Row],[Justert tillatt inntekt fordelt på nettnivå_D_KKr]]/Table1[[#This Row],[Sum IR]]</f>
        <v>0.93895359319222582</v>
      </c>
      <c r="J103" s="187">
        <f>Table1[[#This Row],[Justert tillatt inntekt fordelt på nettnivå_R_KKr]]/Table1[[#This Row],[Sum IR]]</f>
        <v>6.104640680777413E-2</v>
      </c>
      <c r="K103" s="187">
        <f>Table1[[#This Row],[Justert tillatt inntekt fordelt på nettnivå_S_KKr]]/Table1[[#This Row],[Sum IR]]</f>
        <v>0</v>
      </c>
    </row>
    <row r="104" spans="1:11" x14ac:dyDescent="0.25">
      <c r="A104" s="188">
        <v>973058347</v>
      </c>
      <c r="B104" s="186">
        <v>6522015</v>
      </c>
      <c r="C104" s="186">
        <v>2017</v>
      </c>
      <c r="D104" s="186" t="s">
        <v>292</v>
      </c>
      <c r="E104" s="186">
        <v>750</v>
      </c>
      <c r="H104" s="186">
        <f>SUM(Table1[[#This Row],[Justert tillatt inntekt fordelt på nettnivå_D_KKr]:[Justert tillatt inntekt fordelt på nettnivå_S_KKr]])</f>
        <v>750</v>
      </c>
      <c r="I104" s="187">
        <f>Table1[[#This Row],[Justert tillatt inntekt fordelt på nettnivå_D_KKr]]/Table1[[#This Row],[Sum IR]]</f>
        <v>1</v>
      </c>
      <c r="J104" s="187">
        <f>Table1[[#This Row],[Justert tillatt inntekt fordelt på nettnivå_R_KKr]]/Table1[[#This Row],[Sum IR]]</f>
        <v>0</v>
      </c>
      <c r="K104" s="187">
        <f>Table1[[#This Row],[Justert tillatt inntekt fordelt på nettnivå_S_KKr]]/Table1[[#This Row],[Sum IR]]</f>
        <v>0</v>
      </c>
    </row>
    <row r="105" spans="1:11" x14ac:dyDescent="0.25">
      <c r="A105" s="188">
        <v>979918224</v>
      </c>
      <c r="B105" s="186">
        <v>2132015</v>
      </c>
      <c r="C105" s="186">
        <v>2017</v>
      </c>
      <c r="D105" s="186" t="s">
        <v>248</v>
      </c>
      <c r="E105" s="186">
        <v>21731</v>
      </c>
      <c r="H105" s="186">
        <f>SUM(Table1[[#This Row],[Justert tillatt inntekt fordelt på nettnivå_D_KKr]:[Justert tillatt inntekt fordelt på nettnivå_S_KKr]])</f>
        <v>21731</v>
      </c>
      <c r="I105" s="187">
        <f>Table1[[#This Row],[Justert tillatt inntekt fordelt på nettnivå_D_KKr]]/Table1[[#This Row],[Sum IR]]</f>
        <v>1</v>
      </c>
      <c r="J105" s="187">
        <f>Table1[[#This Row],[Justert tillatt inntekt fordelt på nettnivå_R_KKr]]/Table1[[#This Row],[Sum IR]]</f>
        <v>0</v>
      </c>
      <c r="K105" s="187">
        <f>Table1[[#This Row],[Justert tillatt inntekt fordelt på nettnivå_S_KKr]]/Table1[[#This Row],[Sum IR]]</f>
        <v>0</v>
      </c>
    </row>
    <row r="106" spans="1:11" x14ac:dyDescent="0.25">
      <c r="A106" s="188">
        <v>997712099</v>
      </c>
      <c r="B106" s="186">
        <v>2142015</v>
      </c>
      <c r="C106" s="186">
        <v>2017</v>
      </c>
      <c r="D106" s="186" t="s">
        <v>249</v>
      </c>
      <c r="E106" s="186">
        <v>24258</v>
      </c>
      <c r="H106" s="186">
        <f>SUM(Table1[[#This Row],[Justert tillatt inntekt fordelt på nettnivå_D_KKr]:[Justert tillatt inntekt fordelt på nettnivå_S_KKr]])</f>
        <v>24258</v>
      </c>
      <c r="I106" s="187">
        <f>Table1[[#This Row],[Justert tillatt inntekt fordelt på nettnivå_D_KKr]]/Table1[[#This Row],[Sum IR]]</f>
        <v>1</v>
      </c>
      <c r="J106" s="187">
        <f>Table1[[#This Row],[Justert tillatt inntekt fordelt på nettnivå_R_KKr]]/Table1[[#This Row],[Sum IR]]</f>
        <v>0</v>
      </c>
      <c r="K106" s="187">
        <f>Table1[[#This Row],[Justert tillatt inntekt fordelt på nettnivå_S_KKr]]/Table1[[#This Row],[Sum IR]]</f>
        <v>0</v>
      </c>
    </row>
    <row r="107" spans="1:11" x14ac:dyDescent="0.25">
      <c r="A107" s="188">
        <v>916574894</v>
      </c>
      <c r="B107" s="186" t="e">
        <v>#N/A</v>
      </c>
      <c r="C107" s="186">
        <v>2017</v>
      </c>
      <c r="D107" s="186" t="s">
        <v>356</v>
      </c>
      <c r="E107" s="186">
        <v>3557</v>
      </c>
      <c r="H107" s="186">
        <f>SUM(Table1[[#This Row],[Justert tillatt inntekt fordelt på nettnivå_D_KKr]:[Justert tillatt inntekt fordelt på nettnivå_S_KKr]])</f>
        <v>3557</v>
      </c>
      <c r="I107" s="187">
        <f>Table1[[#This Row],[Justert tillatt inntekt fordelt på nettnivå_D_KKr]]/Table1[[#This Row],[Sum IR]]</f>
        <v>1</v>
      </c>
      <c r="J107" s="187">
        <f>Table1[[#This Row],[Justert tillatt inntekt fordelt på nettnivå_R_KKr]]/Table1[[#This Row],[Sum IR]]</f>
        <v>0</v>
      </c>
      <c r="K107" s="187">
        <f>Table1[[#This Row],[Justert tillatt inntekt fordelt på nettnivå_S_KKr]]/Table1[[#This Row],[Sum IR]]</f>
        <v>0</v>
      </c>
    </row>
    <row r="108" spans="1:11" x14ac:dyDescent="0.25">
      <c r="A108" s="188">
        <v>916763476</v>
      </c>
      <c r="B108" s="186">
        <v>2222015</v>
      </c>
      <c r="C108" s="186">
        <v>2017</v>
      </c>
      <c r="D108" s="186" t="s">
        <v>175</v>
      </c>
      <c r="E108" s="186">
        <v>933</v>
      </c>
      <c r="F108" s="186">
        <v>638</v>
      </c>
      <c r="H108" s="186">
        <f>SUM(Table1[[#This Row],[Justert tillatt inntekt fordelt på nettnivå_D_KKr]:[Justert tillatt inntekt fordelt på nettnivå_S_KKr]])</f>
        <v>1571</v>
      </c>
      <c r="I108" s="187">
        <f>Table1[[#This Row],[Justert tillatt inntekt fordelt på nettnivå_D_KKr]]/Table1[[#This Row],[Sum IR]]</f>
        <v>0.59388924252068742</v>
      </c>
      <c r="J108" s="187">
        <f>Table1[[#This Row],[Justert tillatt inntekt fordelt på nettnivå_R_KKr]]/Table1[[#This Row],[Sum IR]]</f>
        <v>0.40611075747931252</v>
      </c>
      <c r="K108" s="187">
        <f>Table1[[#This Row],[Justert tillatt inntekt fordelt på nettnivå_S_KKr]]/Table1[[#This Row],[Sum IR]]</f>
        <v>0</v>
      </c>
    </row>
    <row r="109" spans="1:11" x14ac:dyDescent="0.25">
      <c r="A109" s="188">
        <v>982173329</v>
      </c>
      <c r="B109" s="186">
        <v>2232015</v>
      </c>
      <c r="C109" s="186">
        <v>2017</v>
      </c>
      <c r="D109" s="186" t="s">
        <v>251</v>
      </c>
      <c r="E109" s="186">
        <v>44687</v>
      </c>
      <c r="H109" s="186">
        <f>SUM(Table1[[#This Row],[Justert tillatt inntekt fordelt på nettnivå_D_KKr]:[Justert tillatt inntekt fordelt på nettnivå_S_KKr]])</f>
        <v>44687</v>
      </c>
      <c r="I109" s="187">
        <f>Table1[[#This Row],[Justert tillatt inntekt fordelt på nettnivå_D_KKr]]/Table1[[#This Row],[Sum IR]]</f>
        <v>1</v>
      </c>
      <c r="J109" s="187">
        <f>Table1[[#This Row],[Justert tillatt inntekt fordelt på nettnivå_R_KKr]]/Table1[[#This Row],[Sum IR]]</f>
        <v>0</v>
      </c>
      <c r="K109" s="187">
        <f>Table1[[#This Row],[Justert tillatt inntekt fordelt på nettnivå_S_KKr]]/Table1[[#This Row],[Sum IR]]</f>
        <v>0</v>
      </c>
    </row>
    <row r="110" spans="1:11" x14ac:dyDescent="0.25">
      <c r="A110" s="188">
        <v>917983550</v>
      </c>
      <c r="B110" s="186">
        <v>632015</v>
      </c>
      <c r="C110" s="186">
        <v>2017</v>
      </c>
      <c r="D110" s="186" t="s">
        <v>354</v>
      </c>
      <c r="E110" s="186">
        <v>36302</v>
      </c>
      <c r="F110" s="186">
        <v>6362</v>
      </c>
      <c r="H110" s="186">
        <f>SUM(Table1[[#This Row],[Justert tillatt inntekt fordelt på nettnivå_D_KKr]:[Justert tillatt inntekt fordelt på nettnivå_S_KKr]])</f>
        <v>42664</v>
      </c>
      <c r="I110" s="187">
        <f>Table1[[#This Row],[Justert tillatt inntekt fordelt på nettnivå_D_KKr]]/Table1[[#This Row],[Sum IR]]</f>
        <v>0.85088130508156756</v>
      </c>
      <c r="J110" s="187">
        <f>Table1[[#This Row],[Justert tillatt inntekt fordelt på nettnivå_R_KKr]]/Table1[[#This Row],[Sum IR]]</f>
        <v>0.14911869491843241</v>
      </c>
      <c r="K110" s="187">
        <f>Table1[[#This Row],[Justert tillatt inntekt fordelt på nettnivå_S_KKr]]/Table1[[#This Row],[Sum IR]]</f>
        <v>0</v>
      </c>
    </row>
    <row r="111" spans="1:11" x14ac:dyDescent="0.25">
      <c r="A111" s="188">
        <v>979151950</v>
      </c>
      <c r="B111" s="186">
        <v>2272015</v>
      </c>
      <c r="C111" s="186">
        <v>2017</v>
      </c>
      <c r="D111" s="186" t="s">
        <v>252</v>
      </c>
      <c r="E111" s="186">
        <v>348330</v>
      </c>
      <c r="F111" s="186">
        <v>103518</v>
      </c>
      <c r="G111" s="186">
        <v>13479</v>
      </c>
      <c r="H111" s="186">
        <f>SUM(Table1[[#This Row],[Justert tillatt inntekt fordelt på nettnivå_D_KKr]:[Justert tillatt inntekt fordelt på nettnivå_S_KKr]])</f>
        <v>465327</v>
      </c>
      <c r="I111" s="187">
        <f>Table1[[#This Row],[Justert tillatt inntekt fordelt på nettnivå_D_KKr]]/Table1[[#This Row],[Sum IR]]</f>
        <v>0.74857036019831213</v>
      </c>
      <c r="J111" s="187">
        <f>Table1[[#This Row],[Justert tillatt inntekt fordelt på nettnivå_R_KKr]]/Table1[[#This Row],[Sum IR]]</f>
        <v>0.22246291317718508</v>
      </c>
      <c r="K111" s="187">
        <f>Table1[[#This Row],[Justert tillatt inntekt fordelt på nettnivå_S_KKr]]/Table1[[#This Row],[Sum IR]]</f>
        <v>2.8966726624502771E-2</v>
      </c>
    </row>
    <row r="112" spans="1:11" x14ac:dyDescent="0.25">
      <c r="A112" s="188">
        <v>978645178</v>
      </c>
      <c r="B112" s="186">
        <v>2312015</v>
      </c>
      <c r="C112" s="186">
        <v>2017</v>
      </c>
      <c r="D112" s="186" t="s">
        <v>253</v>
      </c>
      <c r="E112" s="186">
        <v>17978</v>
      </c>
      <c r="H112" s="186">
        <f>SUM(Table1[[#This Row],[Justert tillatt inntekt fordelt på nettnivå_D_KKr]:[Justert tillatt inntekt fordelt på nettnivå_S_KKr]])</f>
        <v>17978</v>
      </c>
      <c r="I112" s="187">
        <f>Table1[[#This Row],[Justert tillatt inntekt fordelt på nettnivå_D_KKr]]/Table1[[#This Row],[Sum IR]]</f>
        <v>1</v>
      </c>
      <c r="J112" s="187">
        <f>Table1[[#This Row],[Justert tillatt inntekt fordelt på nettnivå_R_KKr]]/Table1[[#This Row],[Sum IR]]</f>
        <v>0</v>
      </c>
      <c r="K112" s="187">
        <f>Table1[[#This Row],[Justert tillatt inntekt fordelt på nettnivå_S_KKr]]/Table1[[#This Row],[Sum IR]]</f>
        <v>0</v>
      </c>
    </row>
    <row r="113" spans="1:11" x14ac:dyDescent="0.25">
      <c r="A113" s="188">
        <v>978631029</v>
      </c>
      <c r="B113" s="186">
        <v>2152015</v>
      </c>
      <c r="C113" s="186">
        <v>2017</v>
      </c>
      <c r="D113" s="186" t="s">
        <v>250</v>
      </c>
      <c r="E113" s="186">
        <v>481581</v>
      </c>
      <c r="F113" s="186">
        <v>179215</v>
      </c>
      <c r="H113" s="186">
        <f>SUM(Table1[[#This Row],[Justert tillatt inntekt fordelt på nettnivå_D_KKr]:[Justert tillatt inntekt fordelt på nettnivå_S_KKr]])</f>
        <v>660796</v>
      </c>
      <c r="I113" s="187">
        <f>Table1[[#This Row],[Justert tillatt inntekt fordelt på nettnivå_D_KKr]]/Table1[[#This Row],[Sum IR]]</f>
        <v>0.72878921785240836</v>
      </c>
      <c r="J113" s="187">
        <f>Table1[[#This Row],[Justert tillatt inntekt fordelt på nettnivå_R_KKr]]/Table1[[#This Row],[Sum IR]]</f>
        <v>0.2712107821475917</v>
      </c>
      <c r="K113" s="187">
        <f>Table1[[#This Row],[Justert tillatt inntekt fordelt på nettnivå_S_KKr]]/Table1[[#This Row],[Sum IR]]</f>
        <v>0</v>
      </c>
    </row>
    <row r="114" spans="1:11" x14ac:dyDescent="0.25">
      <c r="A114" s="188">
        <v>848382922</v>
      </c>
      <c r="B114" s="186">
        <v>2342015</v>
      </c>
      <c r="C114" s="186">
        <v>2017</v>
      </c>
      <c r="D114" s="186" t="s">
        <v>254</v>
      </c>
      <c r="E114" s="186">
        <v>23807</v>
      </c>
      <c r="H114" s="186">
        <f>SUM(Table1[[#This Row],[Justert tillatt inntekt fordelt på nettnivå_D_KKr]:[Justert tillatt inntekt fordelt på nettnivå_S_KKr]])</f>
        <v>23807</v>
      </c>
      <c r="I114" s="187">
        <f>Table1[[#This Row],[Justert tillatt inntekt fordelt på nettnivå_D_KKr]]/Table1[[#This Row],[Sum IR]]</f>
        <v>1</v>
      </c>
      <c r="J114" s="187">
        <f>Table1[[#This Row],[Justert tillatt inntekt fordelt på nettnivå_R_KKr]]/Table1[[#This Row],[Sum IR]]</f>
        <v>0</v>
      </c>
      <c r="K114" s="187">
        <f>Table1[[#This Row],[Justert tillatt inntekt fordelt på nettnivå_S_KKr]]/Table1[[#This Row],[Sum IR]]</f>
        <v>0</v>
      </c>
    </row>
    <row r="115" spans="1:11" x14ac:dyDescent="0.25">
      <c r="A115" s="188">
        <v>971040246</v>
      </c>
      <c r="B115" s="186">
        <v>2872015</v>
      </c>
      <c r="C115" s="186">
        <v>2017</v>
      </c>
      <c r="D115" s="186" t="s">
        <v>178</v>
      </c>
      <c r="F115" s="186">
        <v>314</v>
      </c>
      <c r="H115" s="186">
        <f>SUM(Table1[[#This Row],[Justert tillatt inntekt fordelt på nettnivå_D_KKr]:[Justert tillatt inntekt fordelt på nettnivå_S_KKr]])</f>
        <v>314</v>
      </c>
      <c r="I115" s="187">
        <f>Table1[[#This Row],[Justert tillatt inntekt fordelt på nettnivå_D_KKr]]/Table1[[#This Row],[Sum IR]]</f>
        <v>0</v>
      </c>
      <c r="J115" s="187">
        <f>Table1[[#This Row],[Justert tillatt inntekt fordelt på nettnivå_R_KKr]]/Table1[[#This Row],[Sum IR]]</f>
        <v>1</v>
      </c>
      <c r="K115" s="187">
        <f>Table1[[#This Row],[Justert tillatt inntekt fordelt på nettnivå_S_KKr]]/Table1[[#This Row],[Sum IR]]</f>
        <v>0</v>
      </c>
    </row>
    <row r="116" spans="1:11" x14ac:dyDescent="0.25">
      <c r="A116" s="188">
        <v>967670170</v>
      </c>
      <c r="B116" s="186">
        <v>2422015</v>
      </c>
      <c r="C116" s="186">
        <v>2017</v>
      </c>
      <c r="D116" s="186" t="s">
        <v>255</v>
      </c>
      <c r="E116" s="186">
        <v>10332</v>
      </c>
      <c r="H116" s="186">
        <f>SUM(Table1[[#This Row],[Justert tillatt inntekt fordelt på nettnivå_D_KKr]:[Justert tillatt inntekt fordelt på nettnivå_S_KKr]])</f>
        <v>10332</v>
      </c>
      <c r="I116" s="187">
        <f>Table1[[#This Row],[Justert tillatt inntekt fordelt på nettnivå_D_KKr]]/Table1[[#This Row],[Sum IR]]</f>
        <v>1</v>
      </c>
      <c r="J116" s="187">
        <f>Table1[[#This Row],[Justert tillatt inntekt fordelt på nettnivå_R_KKr]]/Table1[[#This Row],[Sum IR]]</f>
        <v>0</v>
      </c>
      <c r="K116" s="187">
        <f>Table1[[#This Row],[Justert tillatt inntekt fordelt på nettnivå_S_KKr]]/Table1[[#This Row],[Sum IR]]</f>
        <v>0</v>
      </c>
    </row>
    <row r="117" spans="1:11" x14ac:dyDescent="0.25">
      <c r="A117" s="188">
        <v>953681781</v>
      </c>
      <c r="B117" s="186">
        <v>3062015</v>
      </c>
      <c r="C117" s="186">
        <v>2017</v>
      </c>
      <c r="D117" s="186" t="s">
        <v>268</v>
      </c>
      <c r="E117" s="186">
        <v>61113</v>
      </c>
      <c r="H117" s="186">
        <f>SUM(Table1[[#This Row],[Justert tillatt inntekt fordelt på nettnivå_D_KKr]:[Justert tillatt inntekt fordelt på nettnivå_S_KKr]])</f>
        <v>61113</v>
      </c>
      <c r="I117" s="187">
        <f>Table1[[#This Row],[Justert tillatt inntekt fordelt på nettnivå_D_KKr]]/Table1[[#This Row],[Sum IR]]</f>
        <v>1</v>
      </c>
      <c r="J117" s="187">
        <f>Table1[[#This Row],[Justert tillatt inntekt fordelt på nettnivå_R_KKr]]/Table1[[#This Row],[Sum IR]]</f>
        <v>0</v>
      </c>
      <c r="K117" s="187">
        <f>Table1[[#This Row],[Justert tillatt inntekt fordelt på nettnivå_S_KKr]]/Table1[[#This Row],[Sum IR]]</f>
        <v>0</v>
      </c>
    </row>
    <row r="118" spans="1:11" x14ac:dyDescent="0.25">
      <c r="A118" s="188">
        <v>871028362</v>
      </c>
      <c r="B118" s="186">
        <v>2482015</v>
      </c>
      <c r="C118" s="186">
        <v>2017</v>
      </c>
      <c r="D118" s="186" t="s">
        <v>256</v>
      </c>
      <c r="E118" s="186">
        <v>16125</v>
      </c>
      <c r="H118" s="186">
        <f>SUM(Table1[[#This Row],[Justert tillatt inntekt fordelt på nettnivå_D_KKr]:[Justert tillatt inntekt fordelt på nettnivå_S_KKr]])</f>
        <v>16125</v>
      </c>
      <c r="I118" s="187">
        <f>Table1[[#This Row],[Justert tillatt inntekt fordelt på nettnivå_D_KKr]]/Table1[[#This Row],[Sum IR]]</f>
        <v>1</v>
      </c>
      <c r="J118" s="187">
        <f>Table1[[#This Row],[Justert tillatt inntekt fordelt på nettnivå_R_KKr]]/Table1[[#This Row],[Sum IR]]</f>
        <v>0</v>
      </c>
      <c r="K118" s="187">
        <f>Table1[[#This Row],[Justert tillatt inntekt fordelt på nettnivå_S_KKr]]/Table1[[#This Row],[Sum IR]]</f>
        <v>0</v>
      </c>
    </row>
    <row r="119" spans="1:11" x14ac:dyDescent="0.25">
      <c r="A119" s="188">
        <v>971058854</v>
      </c>
      <c r="B119" s="186">
        <v>2492015</v>
      </c>
      <c r="C119" s="186">
        <v>2017</v>
      </c>
      <c r="D119" s="186" t="s">
        <v>257</v>
      </c>
      <c r="E119" s="186">
        <v>103767</v>
      </c>
      <c r="F119" s="186">
        <v>40442</v>
      </c>
      <c r="H119" s="186">
        <f>SUM(Table1[[#This Row],[Justert tillatt inntekt fordelt på nettnivå_D_KKr]:[Justert tillatt inntekt fordelt på nettnivå_S_KKr]])</f>
        <v>144209</v>
      </c>
      <c r="I119" s="187">
        <f>Table1[[#This Row],[Justert tillatt inntekt fordelt på nettnivå_D_KKr]]/Table1[[#This Row],[Sum IR]]</f>
        <v>0.71955980555998589</v>
      </c>
      <c r="J119" s="187">
        <f>Table1[[#This Row],[Justert tillatt inntekt fordelt på nettnivå_R_KKr]]/Table1[[#This Row],[Sum IR]]</f>
        <v>0.28044019444001417</v>
      </c>
      <c r="K119" s="187">
        <f>Table1[[#This Row],[Justert tillatt inntekt fordelt på nettnivå_S_KKr]]/Table1[[#This Row],[Sum IR]]</f>
        <v>0</v>
      </c>
    </row>
    <row r="120" spans="1:11" x14ac:dyDescent="0.25">
      <c r="A120" s="188">
        <v>968168134</v>
      </c>
      <c r="B120" s="186">
        <v>4642015</v>
      </c>
      <c r="C120" s="186">
        <v>2017</v>
      </c>
      <c r="D120" s="186" t="s">
        <v>275</v>
      </c>
      <c r="E120" s="186">
        <v>76488</v>
      </c>
      <c r="F120" s="186">
        <v>12335</v>
      </c>
      <c r="H120" s="186">
        <f>SUM(Table1[[#This Row],[Justert tillatt inntekt fordelt på nettnivå_D_KKr]:[Justert tillatt inntekt fordelt på nettnivå_S_KKr]])</f>
        <v>88823</v>
      </c>
      <c r="I120" s="187">
        <f>Table1[[#This Row],[Justert tillatt inntekt fordelt på nettnivå_D_KKr]]/Table1[[#This Row],[Sum IR]]</f>
        <v>0.86112831136079615</v>
      </c>
      <c r="J120" s="187">
        <f>Table1[[#This Row],[Justert tillatt inntekt fordelt på nettnivå_R_KKr]]/Table1[[#This Row],[Sum IR]]</f>
        <v>0.13887168863920382</v>
      </c>
      <c r="K120" s="187">
        <f>Table1[[#This Row],[Justert tillatt inntekt fordelt på nettnivå_S_KKr]]/Table1[[#This Row],[Sum IR]]</f>
        <v>0</v>
      </c>
    </row>
    <row r="121" spans="1:11" x14ac:dyDescent="0.25">
      <c r="A121" s="188">
        <v>955996836</v>
      </c>
      <c r="B121" s="186">
        <v>2512015</v>
      </c>
      <c r="C121" s="186">
        <v>2017</v>
      </c>
      <c r="D121" s="186" t="s">
        <v>258</v>
      </c>
      <c r="E121" s="186">
        <v>93992</v>
      </c>
      <c r="F121" s="186">
        <v>11890</v>
      </c>
      <c r="H121" s="186">
        <f>SUM(Table1[[#This Row],[Justert tillatt inntekt fordelt på nettnivå_D_KKr]:[Justert tillatt inntekt fordelt på nettnivå_S_KKr]])</f>
        <v>105882</v>
      </c>
      <c r="I121" s="187">
        <f>Table1[[#This Row],[Justert tillatt inntekt fordelt på nettnivå_D_KKr]]/Table1[[#This Row],[Sum IR]]</f>
        <v>0.88770518123949305</v>
      </c>
      <c r="J121" s="187">
        <f>Table1[[#This Row],[Justert tillatt inntekt fordelt på nettnivå_R_KKr]]/Table1[[#This Row],[Sum IR]]</f>
        <v>0.11229481876050698</v>
      </c>
      <c r="K121" s="187">
        <f>Table1[[#This Row],[Justert tillatt inntekt fordelt på nettnivå_S_KKr]]/Table1[[#This Row],[Sum IR]]</f>
        <v>0</v>
      </c>
    </row>
    <row r="122" spans="1:11" x14ac:dyDescent="0.25">
      <c r="A122" s="188">
        <v>882783022</v>
      </c>
      <c r="B122" s="186">
        <v>5422015</v>
      </c>
      <c r="C122" s="186">
        <v>2017</v>
      </c>
      <c r="D122" s="186" t="s">
        <v>278</v>
      </c>
      <c r="E122" s="186">
        <v>71205</v>
      </c>
      <c r="H122" s="186">
        <f>SUM(Table1[[#This Row],[Justert tillatt inntekt fordelt på nettnivå_D_KKr]:[Justert tillatt inntekt fordelt på nettnivå_S_KKr]])</f>
        <v>71205</v>
      </c>
      <c r="I122" s="187">
        <f>Table1[[#This Row],[Justert tillatt inntekt fordelt på nettnivå_D_KKr]]/Table1[[#This Row],[Sum IR]]</f>
        <v>1</v>
      </c>
      <c r="J122" s="187">
        <f>Table1[[#This Row],[Justert tillatt inntekt fordelt på nettnivå_R_KKr]]/Table1[[#This Row],[Sum IR]]</f>
        <v>0</v>
      </c>
      <c r="K122" s="187">
        <f>Table1[[#This Row],[Justert tillatt inntekt fordelt på nettnivå_S_KKr]]/Table1[[#This Row],[Sum IR]]</f>
        <v>0</v>
      </c>
    </row>
    <row r="123" spans="1:11" x14ac:dyDescent="0.25">
      <c r="A123" s="188">
        <v>918999361</v>
      </c>
      <c r="B123" s="186">
        <v>6252015</v>
      </c>
      <c r="C123" s="186">
        <v>2017</v>
      </c>
      <c r="D123" s="186" t="s">
        <v>352</v>
      </c>
      <c r="E123" s="186">
        <v>67535</v>
      </c>
      <c r="F123" s="186">
        <v>1787</v>
      </c>
      <c r="H123" s="186">
        <f>SUM(Table1[[#This Row],[Justert tillatt inntekt fordelt på nettnivå_D_KKr]:[Justert tillatt inntekt fordelt på nettnivå_S_KKr]])</f>
        <v>69322</v>
      </c>
      <c r="I123" s="187">
        <f>Table1[[#This Row],[Justert tillatt inntekt fordelt på nettnivå_D_KKr]]/Table1[[#This Row],[Sum IR]]</f>
        <v>0.9742217477856957</v>
      </c>
      <c r="J123" s="187">
        <f>Table1[[#This Row],[Justert tillatt inntekt fordelt på nettnivå_R_KKr]]/Table1[[#This Row],[Sum IR]]</f>
        <v>2.577825221430426E-2</v>
      </c>
      <c r="K123" s="187">
        <f>Table1[[#This Row],[Justert tillatt inntekt fordelt på nettnivå_S_KKr]]/Table1[[#This Row],[Sum IR]]</f>
        <v>0</v>
      </c>
    </row>
    <row r="124" spans="1:11" x14ac:dyDescent="0.25">
      <c r="A124" s="188">
        <v>984015666</v>
      </c>
      <c r="B124" s="186">
        <v>6862015</v>
      </c>
      <c r="C124" s="186">
        <v>2017</v>
      </c>
      <c r="D124" s="186" t="s">
        <v>185</v>
      </c>
      <c r="E124" s="186">
        <v>14646</v>
      </c>
      <c r="F124" s="186">
        <v>637</v>
      </c>
      <c r="H124" s="186">
        <f>SUM(Table1[[#This Row],[Justert tillatt inntekt fordelt på nettnivå_D_KKr]:[Justert tillatt inntekt fordelt på nettnivå_S_KKr]])</f>
        <v>15283</v>
      </c>
      <c r="I124" s="187">
        <f>Table1[[#This Row],[Justert tillatt inntekt fordelt på nettnivå_D_KKr]]/Table1[[#This Row],[Sum IR]]</f>
        <v>0.95831970162926128</v>
      </c>
      <c r="J124" s="187">
        <f>Table1[[#This Row],[Justert tillatt inntekt fordelt på nettnivå_R_KKr]]/Table1[[#This Row],[Sum IR]]</f>
        <v>4.1680298370738729E-2</v>
      </c>
      <c r="K124" s="187">
        <f>Table1[[#This Row],[Justert tillatt inntekt fordelt på nettnivå_S_KKr]]/Table1[[#This Row],[Sum IR]]</f>
        <v>0</v>
      </c>
    </row>
    <row r="125" spans="1:11" x14ac:dyDescent="0.25">
      <c r="A125" s="188">
        <v>914678412</v>
      </c>
      <c r="B125" s="186">
        <v>1332015</v>
      </c>
      <c r="C125" s="186">
        <v>2017</v>
      </c>
      <c r="D125" s="186" t="s">
        <v>228</v>
      </c>
      <c r="E125" s="186">
        <v>63766</v>
      </c>
      <c r="F125" s="186">
        <v>21204</v>
      </c>
      <c r="H125" s="186">
        <f>SUM(Table1[[#This Row],[Justert tillatt inntekt fordelt på nettnivå_D_KKr]:[Justert tillatt inntekt fordelt på nettnivå_S_KKr]])</f>
        <v>84970</v>
      </c>
      <c r="I125" s="187">
        <f>Table1[[#This Row],[Justert tillatt inntekt fordelt på nettnivå_D_KKr]]/Table1[[#This Row],[Sum IR]]</f>
        <v>0.75045310109450392</v>
      </c>
      <c r="J125" s="187">
        <f>Table1[[#This Row],[Justert tillatt inntekt fordelt på nettnivå_R_KKr]]/Table1[[#This Row],[Sum IR]]</f>
        <v>0.24954689890549606</v>
      </c>
      <c r="K125" s="187">
        <f>Table1[[#This Row],[Justert tillatt inntekt fordelt på nettnivå_S_KKr]]/Table1[[#This Row],[Sum IR]]</f>
        <v>0</v>
      </c>
    </row>
    <row r="126" spans="1:11" x14ac:dyDescent="0.25">
      <c r="A126" s="188">
        <v>979497482</v>
      </c>
      <c r="B126" s="186">
        <v>2642015</v>
      </c>
      <c r="C126" s="186">
        <v>2017</v>
      </c>
      <c r="D126" s="186" t="s">
        <v>260</v>
      </c>
      <c r="E126" s="186">
        <v>43689</v>
      </c>
      <c r="H126" s="186">
        <f>SUM(Table1[[#This Row],[Justert tillatt inntekt fordelt på nettnivå_D_KKr]:[Justert tillatt inntekt fordelt på nettnivå_S_KKr]])</f>
        <v>43689</v>
      </c>
      <c r="I126" s="187">
        <f>Table1[[#This Row],[Justert tillatt inntekt fordelt på nettnivå_D_KKr]]/Table1[[#This Row],[Sum IR]]</f>
        <v>1</v>
      </c>
      <c r="J126" s="187">
        <f>Table1[[#This Row],[Justert tillatt inntekt fordelt på nettnivå_R_KKr]]/Table1[[#This Row],[Sum IR]]</f>
        <v>0</v>
      </c>
      <c r="K126" s="187">
        <f>Table1[[#This Row],[Justert tillatt inntekt fordelt på nettnivå_S_KKr]]/Table1[[#This Row],[Sum IR]]</f>
        <v>0</v>
      </c>
    </row>
    <row r="127" spans="1:11" x14ac:dyDescent="0.25">
      <c r="A127" s="188">
        <v>971031425</v>
      </c>
      <c r="B127" s="186">
        <v>2672015</v>
      </c>
      <c r="C127" s="186">
        <v>2017</v>
      </c>
      <c r="D127" s="186" t="s">
        <v>261</v>
      </c>
      <c r="E127" s="186">
        <v>20623</v>
      </c>
      <c r="H127" s="186">
        <f>SUM(Table1[[#This Row],[Justert tillatt inntekt fordelt på nettnivå_D_KKr]:[Justert tillatt inntekt fordelt på nettnivå_S_KKr]])</f>
        <v>20623</v>
      </c>
      <c r="I127" s="187">
        <f>Table1[[#This Row],[Justert tillatt inntekt fordelt på nettnivå_D_KKr]]/Table1[[#This Row],[Sum IR]]</f>
        <v>1</v>
      </c>
      <c r="J127" s="187">
        <f>Table1[[#This Row],[Justert tillatt inntekt fordelt på nettnivå_R_KKr]]/Table1[[#This Row],[Sum IR]]</f>
        <v>0</v>
      </c>
      <c r="K127" s="187">
        <f>Table1[[#This Row],[Justert tillatt inntekt fordelt på nettnivå_S_KKr]]/Table1[[#This Row],[Sum IR]]</f>
        <v>0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Informasjon</vt:lpstr>
      <vt:lpstr>Forutsetninger</vt:lpstr>
      <vt:lpstr>Inntektsramme 2017</vt:lpstr>
      <vt:lpstr>Kostnadsgrunnlag 2015</vt:lpstr>
      <vt:lpstr>IRData</vt:lpstr>
      <vt:lpstr>DEAnorm D-nett</vt:lpstr>
      <vt:lpstr>DEAnorm R-nett</vt:lpstr>
      <vt:lpstr>IR2017 per nettnivå</vt:lpstr>
    </vt:vector>
  </TitlesOfParts>
  <Company>Norges vassdrags- og energidirektorat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Martin Neurauter</dc:creator>
  <cp:lastModifiedBy>Heien Mona Helen</cp:lastModifiedBy>
  <cp:lastPrinted>2009-11-26T10:14:01Z</cp:lastPrinted>
  <dcterms:created xsi:type="dcterms:W3CDTF">2006-11-23T07:57:36Z</dcterms:created>
  <dcterms:modified xsi:type="dcterms:W3CDTF">2019-01-21T12:35:52Z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1259268877</vt:i4>
  </property>
  <property fmtid="{D5CDD505-2E9C-101B-9397-08002B2CF9AE}" pid="3" name="_EmailSubject">
    <vt:lpwstr>Beregning av IR</vt:lpwstr>
  </property>
  <property fmtid="{D5CDD505-2E9C-101B-9397-08002B2CF9AE}" pid="4" name="_AuthorEmail">
    <vt:lpwstr>tmn@nve.no</vt:lpwstr>
  </property>
  <property fmtid="{D5CDD505-2E9C-101B-9397-08002B2CF9AE}" pid="5" name="_AuthorEmailDisplayName">
    <vt:lpwstr>Neurauter Thor Martin</vt:lpwstr>
  </property>
  <property fmtid="{D5CDD505-2E9C-101B-9397-08002B2CF9AE}" pid="6" name="_PreviousAdHocReviewCycleID">
    <vt:i4>-2016597848</vt:i4>
  </property>
  <property fmtid="{D5CDD505-2E9C-101B-9397-08002B2CF9AE}" pid="7" name="_ReviewingToolsShownOnce">
    <vt:lpwstr/>
  </property>
</Properties>
</file>