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/>
  <mc:AlternateContent xmlns:mc="http://schemas.openxmlformats.org/markup-compatibility/2006">
    <mc:Choice Requires="x15">
      <x15ac:absPath xmlns:x15ac="http://schemas.microsoft.com/office/spreadsheetml/2010/11/ac" url="https://nveazure.sharepoint.com/sites/ORG-EKK/Delte dokumenter/General/Prosjekter og oppdrag/2026_Kostnadsoppdatering/Leveranse/"/>
    </mc:Choice>
  </mc:AlternateContent>
  <xr:revisionPtr revIDLastSave="9" documentId="8_{581850A3-38D0-4443-8B20-9B61AE2622CE}" xr6:coauthVersionLast="47" xr6:coauthVersionMax="47" xr10:uidLastSave="{43731130-586D-4E47-97FF-BB8EF97BAAC5}"/>
  <bookViews>
    <workbookView xWindow="30945" yWindow="1920" windowWidth="24165" windowHeight="20400" tabRatio="709" xr2:uid="{00000000-000D-0000-FFFF-FFFF00000000}"/>
  </bookViews>
  <sheets>
    <sheet name="Vannkraft" sheetId="7" r:id="rId1"/>
    <sheet name="Landbasert vindkraft" sheetId="9" r:id="rId2"/>
    <sheet name="Havvind" sheetId="10" r:id="rId3"/>
    <sheet name="Solkraft" sheetId="3" r:id="rId4"/>
    <sheet name="Kullkraft" sheetId="8" r:id="rId5"/>
    <sheet name="Gasskraft" sheetId="5" r:id="rId6"/>
    <sheet name="Kjernekraft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3" l="1"/>
  <c r="G5" i="9"/>
  <c r="N14" i="3" l="1"/>
  <c r="J6" i="3"/>
  <c r="J10" i="3" s="1"/>
  <c r="H9" i="10"/>
  <c r="J12" i="3" l="1"/>
  <c r="G21" i="7"/>
  <c r="H18" i="10" l="1"/>
  <c r="H19" i="10"/>
  <c r="H32" i="5"/>
  <c r="G26" i="6"/>
  <c r="G20" i="7"/>
  <c r="G19" i="7"/>
  <c r="G22" i="7"/>
  <c r="H7" i="7"/>
  <c r="G7" i="7"/>
  <c r="H13" i="7"/>
  <c r="G13" i="7"/>
  <c r="H12" i="7"/>
  <c r="G12" i="7"/>
  <c r="D26" i="5" l="1"/>
  <c r="D11" i="5"/>
  <c r="D12" i="5"/>
  <c r="D9" i="5"/>
  <c r="H18" i="5"/>
  <c r="H5" i="5"/>
  <c r="K12" i="3"/>
  <c r="I12" i="3"/>
  <c r="K5" i="3"/>
  <c r="G20" i="8"/>
  <c r="C11" i="8"/>
  <c r="G19" i="8"/>
  <c r="G18" i="8"/>
  <c r="G17" i="8"/>
  <c r="C9" i="8"/>
  <c r="G13" i="8"/>
  <c r="G14" i="8" s="1"/>
  <c r="G12" i="6"/>
  <c r="G13" i="6" s="1"/>
  <c r="H13" i="5"/>
  <c r="H14" i="5" s="1"/>
  <c r="G6" i="9" l="1"/>
  <c r="I14" i="10"/>
  <c r="I13" i="10"/>
  <c r="I12" i="10"/>
  <c r="H13" i="10"/>
  <c r="I18" i="10"/>
  <c r="I17" i="10"/>
  <c r="G14" i="9" l="1"/>
  <c r="G15" i="9" s="1"/>
  <c r="I8" i="10"/>
  <c r="H8" i="10"/>
  <c r="H5" i="10"/>
  <c r="I11" i="3"/>
  <c r="H10" i="10" l="1"/>
  <c r="H17" i="10" s="1"/>
  <c r="H12" i="10" s="1"/>
  <c r="H14" i="10" s="1"/>
  <c r="I9" i="10"/>
  <c r="I10" i="10" s="1"/>
  <c r="G4" i="7"/>
  <c r="H4" i="7"/>
  <c r="G5" i="7"/>
  <c r="H5" i="7"/>
  <c r="G16" i="9" l="1"/>
  <c r="G4" i="9"/>
  <c r="G20" i="9" s="1"/>
  <c r="G5" i="6"/>
  <c r="G4" i="6"/>
  <c r="H4" i="5"/>
  <c r="G5" i="8"/>
  <c r="G4" i="8"/>
  <c r="G7" i="8"/>
  <c r="K11" i="3"/>
  <c r="J4" i="3"/>
  <c r="K4" i="3"/>
  <c r="K16" i="3" s="1"/>
  <c r="I5" i="3"/>
  <c r="I4" i="3"/>
  <c r="I17" i="3" s="1"/>
  <c r="I5" i="10"/>
  <c r="I4" i="10"/>
  <c r="H4" i="10"/>
  <c r="G6" i="7"/>
  <c r="K17" i="3" l="1"/>
  <c r="J17" i="3"/>
  <c r="I16" i="3"/>
  <c r="I19" i="3"/>
  <c r="I18" i="3" l="1"/>
  <c r="I13" i="3" s="1"/>
  <c r="I20" i="10"/>
  <c r="I19" i="10" l="1"/>
  <c r="H22" i="7" l="1"/>
  <c r="H21" i="7" s="1"/>
  <c r="E20" i="7"/>
  <c r="E19" i="7"/>
  <c r="H19" i="7"/>
  <c r="H6" i="7"/>
  <c r="H20" i="7" l="1"/>
  <c r="H14" i="7" s="1"/>
  <c r="G14" i="7"/>
  <c r="G21" i="9"/>
  <c r="G31" i="8"/>
  <c r="E28" i="8"/>
  <c r="E27" i="8"/>
  <c r="E26" i="8"/>
  <c r="C23" i="8"/>
  <c r="C18" i="8"/>
  <c r="C19" i="8" s="1"/>
  <c r="C10" i="8" s="1"/>
  <c r="G27" i="8"/>
  <c r="G28" i="8"/>
  <c r="G25" i="6"/>
  <c r="G24" i="6"/>
  <c r="G23" i="6"/>
  <c r="G22" i="6"/>
  <c r="G21" i="6"/>
  <c r="F29" i="5"/>
  <c r="F28" i="5"/>
  <c r="F27" i="5"/>
  <c r="H21" i="5"/>
  <c r="D23" i="5"/>
  <c r="H19" i="5"/>
  <c r="H17" i="5"/>
  <c r="H28" i="5"/>
  <c r="H29" i="5"/>
  <c r="H20" i="5"/>
  <c r="H27" i="5"/>
  <c r="H7" i="5"/>
  <c r="G30" i="8" l="1"/>
  <c r="G21" i="8"/>
  <c r="G29" i="8"/>
  <c r="H31" i="5"/>
  <c r="G23" i="9"/>
  <c r="G22" i="9" s="1"/>
  <c r="G17" i="9" s="1"/>
  <c r="G18" i="6"/>
  <c r="G26" i="8"/>
  <c r="G23" i="8" s="1"/>
  <c r="H30" i="5"/>
  <c r="H22" i="5"/>
  <c r="H24" i="5" l="1"/>
  <c r="J19" i="3"/>
  <c r="J18" i="3" s="1"/>
  <c r="K19" i="3" l="1"/>
  <c r="K18" i="3" s="1"/>
  <c r="G17" i="3"/>
  <c r="G16" i="3"/>
  <c r="K13" i="3" l="1"/>
  <c r="J11" i="3" l="1"/>
  <c r="J16" i="3" s="1"/>
  <c r="J13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Magnus Wold</author>
  </authors>
  <commentList>
    <comment ref="J12" authorId="0" shapeId="0" xr:uid="{8D8513F2-6CAA-4EE4-8691-A6E3FFCF0997}">
      <text>
        <r>
          <rPr>
            <b/>
            <sz val="9"/>
            <color indexed="81"/>
            <rFont val="Tahoma"/>
            <family val="2"/>
          </rPr>
          <t>Gitt i Øre/kWh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tc={2FDF1A11-7B20-45D7-98D4-47D2D2F1AD99}</author>
  </authors>
  <commentList>
    <comment ref="A2" authorId="0" shapeId="0" xr:uid="{2FDF1A11-7B20-45D7-98D4-47D2D2F1AD99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@Thomas Mo Willig , Sjekker du ut verdiene i dette arket? Jeg har forsøkt å føre inn verdiene du har brukt i LCOE 2026 - termisk arket, men jeg ser jeg får 132,8 ut, ikke 135,3 øre/kWh som du har skrevet inn i input til PBi’en. Jeg har tatt utgangspunkt i det LCOE arket som ligger åpent ute, så hvis du har gjort noen endringer i utregningen så ligger ikke det inne.
Reply:
    Du kan gjerne slette forutsetninger som ikke brukes også, det skaper bare forvirring. For eksempel ”KPI jan ….”</t>
      </text>
    </comment>
  </commentList>
</comments>
</file>

<file path=xl/sharedStrings.xml><?xml version="1.0" encoding="utf-8"?>
<sst xmlns="http://schemas.openxmlformats.org/spreadsheetml/2006/main" count="482" uniqueCount="171">
  <si>
    <t>Enhet</t>
  </si>
  <si>
    <t>Vannkraft</t>
  </si>
  <si>
    <t>Levetid</t>
  </si>
  <si>
    <t>år</t>
  </si>
  <si>
    <t xml:space="preserve"> &lt; 10 MW </t>
  </si>
  <si>
    <t xml:space="preserve"> &gt; 10 MW</t>
  </si>
  <si>
    <t>Diskonteringsrente</t>
  </si>
  <si>
    <t>prosent/år</t>
  </si>
  <si>
    <t>Ytelse</t>
  </si>
  <si>
    <t>MW</t>
  </si>
  <si>
    <t>Byggetid</t>
  </si>
  <si>
    <t xml:space="preserve">Fullasttimer </t>
  </si>
  <si>
    <t>timer/år</t>
  </si>
  <si>
    <t>Investeringskostnad &lt; 10 MW</t>
  </si>
  <si>
    <t>kr/kw</t>
  </si>
  <si>
    <t>Kapasitetsfaktor</t>
  </si>
  <si>
    <t>Investeringkostnad &gt; 10 MW</t>
  </si>
  <si>
    <t>kr/kW</t>
  </si>
  <si>
    <t>Investeringskostnader</t>
  </si>
  <si>
    <t>Driftskostnad</t>
  </si>
  <si>
    <t>øre/kWh</t>
  </si>
  <si>
    <t>Modul</t>
  </si>
  <si>
    <t>Ytelse representert &lt; 10 MW</t>
  </si>
  <si>
    <t>Annet utstyr</t>
  </si>
  <si>
    <t>Ytelse representert &gt; 10 MW</t>
  </si>
  <si>
    <t>Installasjon</t>
  </si>
  <si>
    <t>Brukstid/fullasttimer &lt; 10 MW</t>
  </si>
  <si>
    <t>timer</t>
  </si>
  <si>
    <t xml:space="preserve">   Byggetidsrenter     </t>
  </si>
  <si>
    <t>Inkludert i modulkostnader</t>
  </si>
  <si>
    <t>Brukstid/fullasttimer &gt; 10 MW</t>
  </si>
  <si>
    <t xml:space="preserve">Sum investeringskostnader </t>
  </si>
  <si>
    <t>Variable drifts- og vedlikeholdskostnader</t>
  </si>
  <si>
    <t>LCOE-tallene i dette arket ble regnet ut:</t>
  </si>
  <si>
    <t>LCOE total</t>
  </si>
  <si>
    <t>2021-2025</t>
  </si>
  <si>
    <t>2011-2025</t>
  </si>
  <si>
    <t>Nåverdier</t>
  </si>
  <si>
    <t>øre</t>
  </si>
  <si>
    <t>Produsert elektrisitet</t>
  </si>
  <si>
    <t>kWh</t>
  </si>
  <si>
    <t>Kraftproduksjon</t>
  </si>
  <si>
    <t>GWh/år</t>
  </si>
  <si>
    <t>Landbasert vindkraft</t>
  </si>
  <si>
    <t>Ytelse representert</t>
  </si>
  <si>
    <t>Degraderingsrate</t>
  </si>
  <si>
    <t>prosent</t>
  </si>
  <si>
    <t>Fullasttimer (gjennomsnitt)</t>
  </si>
  <si>
    <t>Investeringskostnader (gjennomsnitt)</t>
  </si>
  <si>
    <t>Investeringkostnad</t>
  </si>
  <si>
    <t>Turbiner</t>
  </si>
  <si>
    <t>kr/kWh</t>
  </si>
  <si>
    <t>Fundament</t>
  </si>
  <si>
    <t>Bygg/vei/kai/anlegg</t>
  </si>
  <si>
    <t>Brukstid/fullasttimer</t>
  </si>
  <si>
    <t>Internt nett</t>
  </si>
  <si>
    <t>Eksternt nett</t>
  </si>
  <si>
    <t xml:space="preserve">Grunnervervelse &amp; engangskostnader </t>
  </si>
  <si>
    <t>Prosjektledelse</t>
  </si>
  <si>
    <t>LCOE</t>
  </si>
  <si>
    <t>Elproduksjon 1. år</t>
  </si>
  <si>
    <t>Bunnfast</t>
  </si>
  <si>
    <t>Flytende</t>
  </si>
  <si>
    <t>Havvind</t>
  </si>
  <si>
    <t>Fullasttimer</t>
  </si>
  <si>
    <t>Investeringskostnader kraftverk</t>
  </si>
  <si>
    <t>NOK/kW</t>
  </si>
  <si>
    <t>Investeringskostnader nettilknytning</t>
  </si>
  <si>
    <t xml:space="preserve">Ytelse representert </t>
  </si>
  <si>
    <t>Contingency (10%)</t>
  </si>
  <si>
    <t xml:space="preserve">Brukstid/fullasttimer </t>
  </si>
  <si>
    <t>Byggetidsrenter</t>
  </si>
  <si>
    <t>D&amp;V Kostnader</t>
  </si>
  <si>
    <t>NOK/kW/år</t>
  </si>
  <si>
    <t>LCOE Kraftverk</t>
  </si>
  <si>
    <t>LCOE D&amp;V</t>
  </si>
  <si>
    <t>LCOE Total</t>
  </si>
  <si>
    <t>D&amp;V</t>
  </si>
  <si>
    <t xml:space="preserve">kWh </t>
  </si>
  <si>
    <t xml:space="preserve">Elproduksjon </t>
  </si>
  <si>
    <t>Småhus</t>
  </si>
  <si>
    <t>Bakkemontert</t>
  </si>
  <si>
    <t>Store flate tak</t>
  </si>
  <si>
    <t>Solkraft (PV)</t>
  </si>
  <si>
    <t>Type anlegg</t>
  </si>
  <si>
    <t>Enebolig/småhus</t>
  </si>
  <si>
    <t>Bakkemonterte solkraftverk</t>
  </si>
  <si>
    <t>Diskonteringsrente/byggetidsrente</t>
  </si>
  <si>
    <t>MWp</t>
  </si>
  <si>
    <t xml:space="preserve">Byggetid for </t>
  </si>
  <si>
    <t>kr/kWp</t>
  </si>
  <si>
    <t>Driftskostnader</t>
  </si>
  <si>
    <t>Faste driftskostnader</t>
  </si>
  <si>
    <t>Elproduksjon</t>
  </si>
  <si>
    <t>Kullfyrt kondenskraftverk uten CCS</t>
  </si>
  <si>
    <t>MWel</t>
  </si>
  <si>
    <t>Virkningsgrad (nedre brennverdi)</t>
  </si>
  <si>
    <t>%</t>
  </si>
  <si>
    <t>Energiinhold, nedre brennverdi</t>
  </si>
  <si>
    <t>kWh/kg</t>
  </si>
  <si>
    <t>Virkningsgrad (øvre  brennverdi)</t>
  </si>
  <si>
    <t>Energiinhold, øvre brennverdi</t>
  </si>
  <si>
    <t>Brenselpris</t>
  </si>
  <si>
    <t>øre/kWhbrensel</t>
  </si>
  <si>
    <t>Maskiner og utstyr</t>
  </si>
  <si>
    <t>kr/kWel</t>
  </si>
  <si>
    <t>CO2-kvoter</t>
  </si>
  <si>
    <t>Byggekostnader</t>
  </si>
  <si>
    <t>NOx-avgift</t>
  </si>
  <si>
    <t>Nettilknytning</t>
  </si>
  <si>
    <t>Prosjektering og administrasjon</t>
  </si>
  <si>
    <t>Kullpris marked</t>
  </si>
  <si>
    <t>€/MWh</t>
  </si>
  <si>
    <t>Valutakurs (kr/$)</t>
  </si>
  <si>
    <t>NOK/USD</t>
  </si>
  <si>
    <t>Valutakurs (kr/€)</t>
  </si>
  <si>
    <t>NOK/EUR</t>
  </si>
  <si>
    <t>kr/kWel /år</t>
  </si>
  <si>
    <t>CO2-kvotepris</t>
  </si>
  <si>
    <t>€/tonn CO2</t>
  </si>
  <si>
    <t>Brensels- og utslippskostnader</t>
  </si>
  <si>
    <t>Utslippsfaktor CO2 kull</t>
  </si>
  <si>
    <t>kg CO2/kg</t>
  </si>
  <si>
    <t xml:space="preserve">Spesifikt brenselforbruk  </t>
  </si>
  <si>
    <t>kWhbrensel/kWhel</t>
  </si>
  <si>
    <t>Kg CO2/kWh innfyrt</t>
  </si>
  <si>
    <t>Brenselskostnad</t>
  </si>
  <si>
    <t>Kvotekostnad per kWh innfyrt</t>
  </si>
  <si>
    <t>øre/kWh innfyrt</t>
  </si>
  <si>
    <t>Utslippsfaktor NOx</t>
  </si>
  <si>
    <t>kg/tonn</t>
  </si>
  <si>
    <t>Sum brensels- og utslippskostnader</t>
  </si>
  <si>
    <t>øre/kWhel</t>
  </si>
  <si>
    <t>Renseeffekt</t>
  </si>
  <si>
    <t>faktor</t>
  </si>
  <si>
    <t>Variable kostnader eks brensel</t>
  </si>
  <si>
    <t>Utslippsfaktor etter rensing</t>
  </si>
  <si>
    <t>g/kWh brensel</t>
  </si>
  <si>
    <t>NOx-avgift på utslipp</t>
  </si>
  <si>
    <t>kr/kg</t>
  </si>
  <si>
    <t>Brenselskostnader</t>
  </si>
  <si>
    <t>Utslippskostnader</t>
  </si>
  <si>
    <t>Gassfyrt kombikraftverk uten CCS</t>
  </si>
  <si>
    <t>Energiinnhold, nedre brennverdi</t>
  </si>
  <si>
    <t>kWh/Sm3</t>
  </si>
  <si>
    <t>Energiinnhold, øvre brennverdi</t>
  </si>
  <si>
    <t xml:space="preserve">Brenselpris naturgass </t>
  </si>
  <si>
    <t>CO2-avgift</t>
  </si>
  <si>
    <t>Gasspris marked</t>
  </si>
  <si>
    <t>Redusert CO2-avgift naturgass fastland</t>
  </si>
  <si>
    <t>kr/Sm3</t>
  </si>
  <si>
    <t>g/Sm3</t>
  </si>
  <si>
    <t>Utslippsfaktor CO2 naturgass</t>
  </si>
  <si>
    <t>kg CO2/Sm3</t>
  </si>
  <si>
    <t>kg CO2/kWhbrensel</t>
  </si>
  <si>
    <t>Kjernekraftverk</t>
  </si>
  <si>
    <r>
      <t>MW</t>
    </r>
    <r>
      <rPr>
        <b/>
        <vertAlign val="subscript"/>
        <sz val="11"/>
        <color theme="0"/>
        <rFont val="Calibri"/>
        <family val="2"/>
        <scheme val="minor"/>
      </rPr>
      <t>el</t>
    </r>
  </si>
  <si>
    <t>Rivetidspunkt</t>
  </si>
  <si>
    <t>Elvirkningsgrad</t>
  </si>
  <si>
    <r>
      <t>kr/kW</t>
    </r>
    <r>
      <rPr>
        <vertAlign val="subscript"/>
        <sz val="11"/>
        <rFont val="Calibri"/>
        <family val="2"/>
        <scheme val="minor"/>
      </rPr>
      <t>el</t>
    </r>
  </si>
  <si>
    <t>Valutakurs</t>
  </si>
  <si>
    <t>NOK/EURO</t>
  </si>
  <si>
    <r>
      <t>kr/kW</t>
    </r>
    <r>
      <rPr>
        <vertAlign val="subscript"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 /år</t>
    </r>
  </si>
  <si>
    <t>Avfallshåndtering</t>
  </si>
  <si>
    <t>Variable kostnader eks brensel og avfallshåndtering</t>
  </si>
  <si>
    <t>kr/kW/år, Øre/kWh</t>
  </si>
  <si>
    <t>kr/kW, Øre/kWh</t>
  </si>
  <si>
    <t>Nåværende</t>
  </si>
  <si>
    <t>Korrekt</t>
  </si>
  <si>
    <t>Øre/kWh</t>
  </si>
  <si>
    <t>Periode datagrunnlag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</si>
</sst>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 * #,##0.00_ ;_ * \-#,##0.00_ ;_ * &quot;-&quot;??_ ;_ @_ "/>
    <numFmt numFmtId="164" formatCode="_-* #,##0.00_-;\-* #,##0.00_-;_-* &quot;-&quot;??_-;_-@_-"/>
    <numFmt numFmtId="165" formatCode="General_)"/>
    <numFmt numFmtId="166" formatCode="0.0"/>
    <numFmt numFmtId="167" formatCode="0.0\ %"/>
    <numFmt numFmtId="168" formatCode="0.0000"/>
    <numFmt numFmtId="169" formatCode="#,##0.000000_ ;[Red]\-#,##0.000000\ "/>
    <numFmt numFmtId="170" formatCode="_-* #,##0_-;\-* #,##0_-;_-* &quot;-&quot;??_-;_-@_-"/>
    <numFmt numFmtId="171" formatCode="0.000"/>
    <numFmt numFmtId="172" formatCode="0.000000"/>
    <numFmt numFmtId="173" formatCode="#,##0.0"/>
    <numFmt numFmtId="174" formatCode="_ * #,##0_ ;_ * \-#,##0_ ;_ * &quot;-&quot;??_ ;_ @_ "/>
    <numFmt numFmtId="175" formatCode="#,##0.00_ ;[Red]\-#,##0.00\ "/>
    <numFmt numFmtId="176" formatCode="0.0%"/>
    <numFmt numFmtId="177" formatCode="_-* #,##0.0_-;\-* #,##0.0_-;_-* &quot;-&quot;??_-;_-@_-"/>
    <numFmt numFmtId="178" formatCode="#,##0.0000;[Red]\-#,##0.0000"/>
    <numFmt numFmtId="179" formatCode="#,##0.00000;[Red]\-#,##0.00000"/>
    <numFmt numFmtId="180" formatCode="0.00000000000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vertAlign val="subscript"/>
      <sz val="11"/>
      <color theme="0"/>
      <name val="Calibri"/>
      <family val="2"/>
      <scheme val="minor"/>
    </font>
    <font>
      <vertAlign val="subscript"/>
      <sz val="11"/>
      <name val="Calibri"/>
      <family val="2"/>
      <scheme val="minor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4"/>
      </top>
      <bottom/>
      <diagonal/>
    </border>
    <border>
      <left style="medium">
        <color indexed="64"/>
      </left>
      <right style="thin">
        <color indexed="64"/>
      </right>
      <top style="thin">
        <color theme="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2" fillId="0" borderId="0"/>
    <xf numFmtId="43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</cellStyleXfs>
  <cellXfs count="275">
    <xf numFmtId="0" fontId="0" fillId="0" borderId="0" xfId="0"/>
    <xf numFmtId="0" fontId="5" fillId="0" borderId="0" xfId="0" applyFont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7" fillId="0" borderId="0" xfId="0" applyFont="1"/>
    <xf numFmtId="165" fontId="1" fillId="2" borderId="31" xfId="1" applyFont="1" applyFill="1" applyBorder="1"/>
    <xf numFmtId="165" fontId="1" fillId="2" borderId="7" xfId="1" applyFont="1" applyFill="1" applyBorder="1" applyAlignment="1">
      <alignment horizontal="right"/>
    </xf>
    <xf numFmtId="165" fontId="1" fillId="2" borderId="1" xfId="1" applyFont="1" applyFill="1" applyBorder="1"/>
    <xf numFmtId="165" fontId="1" fillId="2" borderId="13" xfId="1" applyFont="1" applyFill="1" applyBorder="1" applyAlignment="1">
      <alignment horizontal="right"/>
    </xf>
    <xf numFmtId="165" fontId="8" fillId="0" borderId="27" xfId="1" applyFont="1" applyBorder="1"/>
    <xf numFmtId="165" fontId="7" fillId="0" borderId="13" xfId="1" applyFont="1" applyBorder="1" applyAlignment="1">
      <alignment horizontal="right"/>
    </xf>
    <xf numFmtId="3" fontId="7" fillId="0" borderId="9" xfId="1" applyNumberFormat="1" applyFont="1" applyBorder="1" applyAlignment="1">
      <alignment horizontal="center"/>
    </xf>
    <xf numFmtId="165" fontId="8" fillId="0" borderId="11" xfId="1" applyFont="1" applyBorder="1"/>
    <xf numFmtId="165" fontId="7" fillId="0" borderId="12" xfId="1" applyFont="1" applyBorder="1" applyAlignment="1">
      <alignment horizontal="right"/>
    </xf>
    <xf numFmtId="3" fontId="7" fillId="0" borderId="28" xfId="2" applyNumberFormat="1" applyFont="1" applyFill="1" applyBorder="1" applyAlignment="1">
      <alignment horizontal="center"/>
    </xf>
    <xf numFmtId="3" fontId="7" fillId="0" borderId="28" xfId="1" applyNumberFormat="1" applyFont="1" applyBorder="1" applyAlignment="1">
      <alignment horizontal="center"/>
    </xf>
    <xf numFmtId="165" fontId="8" fillId="0" borderId="16" xfId="1" applyFont="1" applyBorder="1"/>
    <xf numFmtId="165" fontId="8" fillId="0" borderId="17" xfId="1" applyFont="1" applyBorder="1" applyAlignment="1">
      <alignment horizontal="right"/>
    </xf>
    <xf numFmtId="0" fontId="5" fillId="0" borderId="18" xfId="0" applyFont="1" applyBorder="1"/>
    <xf numFmtId="14" fontId="8" fillId="0" borderId="0" xfId="0" applyNumberFormat="1" applyFont="1"/>
    <xf numFmtId="170" fontId="0" fillId="0" borderId="8" xfId="5" applyNumberFormat="1" applyFont="1" applyBorder="1"/>
    <xf numFmtId="0" fontId="1" fillId="2" borderId="41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70" fontId="0" fillId="0" borderId="44" xfId="5" applyNumberFormat="1" applyFont="1" applyBorder="1"/>
    <xf numFmtId="0" fontId="5" fillId="0" borderId="41" xfId="0" applyFont="1" applyBorder="1"/>
    <xf numFmtId="170" fontId="0" fillId="0" borderId="10" xfId="5" applyNumberFormat="1" applyFont="1" applyBorder="1"/>
    <xf numFmtId="170" fontId="0" fillId="0" borderId="0" xfId="5" applyNumberFormat="1" applyFont="1" applyBorder="1"/>
    <xf numFmtId="170" fontId="4" fillId="0" borderId="10" xfId="5" applyNumberFormat="1" applyFont="1" applyBorder="1"/>
    <xf numFmtId="0" fontId="5" fillId="0" borderId="36" xfId="0" applyFont="1" applyBorder="1"/>
    <xf numFmtId="9" fontId="0" fillId="0" borderId="0" xfId="3" applyFont="1"/>
    <xf numFmtId="0" fontId="1" fillId="0" borderId="0" xfId="0" applyFont="1" applyAlignment="1">
      <alignment wrapText="1"/>
    </xf>
    <xf numFmtId="167" fontId="0" fillId="5" borderId="0" xfId="3" applyNumberFormat="1" applyFont="1" applyFill="1" applyBorder="1"/>
    <xf numFmtId="1" fontId="1" fillId="2" borderId="9" xfId="0" applyNumberFormat="1" applyFont="1" applyFill="1" applyBorder="1" applyAlignment="1">
      <alignment horizontal="center"/>
    </xf>
    <xf numFmtId="170" fontId="5" fillId="0" borderId="44" xfId="0" applyNumberFormat="1" applyFont="1" applyBorder="1"/>
    <xf numFmtId="0" fontId="7" fillId="0" borderId="1" xfId="0" applyFont="1" applyBorder="1"/>
    <xf numFmtId="170" fontId="7" fillId="0" borderId="9" xfId="5" applyNumberFormat="1" applyFont="1" applyBorder="1"/>
    <xf numFmtId="0" fontId="7" fillId="0" borderId="25" xfId="0" applyFont="1" applyBorder="1"/>
    <xf numFmtId="164" fontId="0" fillId="0" borderId="35" xfId="5" applyFont="1" applyBorder="1"/>
    <xf numFmtId="0" fontId="0" fillId="0" borderId="13" xfId="0" applyBorder="1"/>
    <xf numFmtId="0" fontId="0" fillId="0" borderId="32" xfId="0" applyBorder="1"/>
    <xf numFmtId="172" fontId="0" fillId="0" borderId="0" xfId="0" applyNumberFormat="1"/>
    <xf numFmtId="0" fontId="0" fillId="0" borderId="19" xfId="0" applyBorder="1"/>
    <xf numFmtId="0" fontId="0" fillId="0" borderId="2" xfId="0" applyBorder="1"/>
    <xf numFmtId="0" fontId="0" fillId="0" borderId="14" xfId="0" applyBorder="1"/>
    <xf numFmtId="166" fontId="0" fillId="0" borderId="0" xfId="0" applyNumberFormat="1"/>
    <xf numFmtId="0" fontId="1" fillId="0" borderId="0" xfId="0" applyFont="1"/>
    <xf numFmtId="0" fontId="6" fillId="2" borderId="13" xfId="0" applyFont="1" applyFill="1" applyBorder="1" applyAlignment="1">
      <alignment horizontal="center"/>
    </xf>
    <xf numFmtId="49" fontId="6" fillId="2" borderId="32" xfId="0" applyNumberFormat="1" applyFont="1" applyFill="1" applyBorder="1" applyAlignment="1">
      <alignment horizontal="center" wrapText="1"/>
    </xf>
    <xf numFmtId="165" fontId="1" fillId="2" borderId="27" xfId="1" applyFont="1" applyFill="1" applyBorder="1"/>
    <xf numFmtId="165" fontId="1" fillId="2" borderId="15" xfId="1" applyFont="1" applyFill="1" applyBorder="1" applyAlignment="1">
      <alignment horizontal="right"/>
    </xf>
    <xf numFmtId="165" fontId="1" fillId="2" borderId="33" xfId="1" applyFont="1" applyFill="1" applyBorder="1" applyAlignment="1">
      <alignment horizontal="right"/>
    </xf>
    <xf numFmtId="165" fontId="8" fillId="0" borderId="1" xfId="1" applyFont="1" applyBorder="1"/>
    <xf numFmtId="3" fontId="7" fillId="0" borderId="13" xfId="1" applyNumberFormat="1" applyFont="1" applyBorder="1"/>
    <xf numFmtId="3" fontId="7" fillId="0" borderId="32" xfId="1" applyNumberFormat="1" applyFont="1" applyBorder="1"/>
    <xf numFmtId="165" fontId="8" fillId="4" borderId="15" xfId="1" applyFont="1" applyFill="1" applyBorder="1" applyAlignment="1">
      <alignment horizontal="right"/>
    </xf>
    <xf numFmtId="165" fontId="8" fillId="4" borderId="12" xfId="1" applyFont="1" applyFill="1" applyBorder="1" applyAlignment="1">
      <alignment horizontal="right"/>
    </xf>
    <xf numFmtId="3" fontId="7" fillId="0" borderId="12" xfId="1" applyNumberFormat="1" applyFont="1" applyBorder="1"/>
    <xf numFmtId="3" fontId="7" fillId="0" borderId="30" xfId="1" applyNumberFormat="1" applyFont="1" applyBorder="1"/>
    <xf numFmtId="165" fontId="7" fillId="0" borderId="1" xfId="1" applyFont="1" applyBorder="1" applyAlignment="1">
      <alignment horizontal="left" indent="1"/>
    </xf>
    <xf numFmtId="165" fontId="7" fillId="0" borderId="1" xfId="1" applyFont="1" applyBorder="1"/>
    <xf numFmtId="3" fontId="7" fillId="0" borderId="15" xfId="1" applyNumberFormat="1" applyFont="1" applyBorder="1"/>
    <xf numFmtId="3" fontId="7" fillId="0" borderId="33" xfId="1" applyNumberFormat="1" applyFont="1" applyBorder="1"/>
    <xf numFmtId="2" fontId="7" fillId="0" borderId="0" xfId="0" applyNumberFormat="1" applyFont="1"/>
    <xf numFmtId="170" fontId="7" fillId="0" borderId="2" xfId="5" applyNumberFormat="1" applyFont="1" applyFill="1" applyBorder="1"/>
    <xf numFmtId="170" fontId="7" fillId="0" borderId="28" xfId="5" applyNumberFormat="1" applyFont="1" applyFill="1" applyBorder="1"/>
    <xf numFmtId="170" fontId="7" fillId="0" borderId="8" xfId="5" applyNumberFormat="1" applyFont="1" applyBorder="1"/>
    <xf numFmtId="165" fontId="8" fillId="0" borderId="40" xfId="1" applyFont="1" applyBorder="1"/>
    <xf numFmtId="165" fontId="8" fillId="0" borderId="18" xfId="1" applyFont="1" applyBorder="1"/>
    <xf numFmtId="0" fontId="8" fillId="0" borderId="3" xfId="0" applyFont="1" applyBorder="1" applyAlignment="1">
      <alignment horizontal="right"/>
    </xf>
    <xf numFmtId="0" fontId="8" fillId="0" borderId="3" xfId="0" applyFont="1" applyBorder="1"/>
    <xf numFmtId="0" fontId="8" fillId="0" borderId="34" xfId="0" applyFont="1" applyBorder="1"/>
    <xf numFmtId="165" fontId="7" fillId="0" borderId="14" xfId="0" applyNumberFormat="1" applyFont="1" applyBorder="1"/>
    <xf numFmtId="0" fontId="7" fillId="0" borderId="0" xfId="0" applyFont="1" applyAlignment="1">
      <alignment horizontal="right"/>
    </xf>
    <xf numFmtId="0" fontId="7" fillId="0" borderId="21" xfId="0" applyFont="1" applyBorder="1" applyAlignment="1">
      <alignment horizontal="right"/>
    </xf>
    <xf numFmtId="0" fontId="0" fillId="2" borderId="5" xfId="0" applyFill="1" applyBorder="1"/>
    <xf numFmtId="0" fontId="0" fillId="2" borderId="6" xfId="0" applyFill="1" applyBorder="1"/>
    <xf numFmtId="0" fontId="0" fillId="4" borderId="1" xfId="0" applyFill="1" applyBorder="1"/>
    <xf numFmtId="0" fontId="0" fillId="0" borderId="3" xfId="0" applyBorder="1"/>
    <xf numFmtId="0" fontId="0" fillId="0" borderId="34" xfId="0" applyBorder="1"/>
    <xf numFmtId="0" fontId="0" fillId="0" borderId="20" xfId="0" applyBorder="1"/>
    <xf numFmtId="0" fontId="0" fillId="0" borderId="21" xfId="0" applyBorder="1"/>
    <xf numFmtId="170" fontId="0" fillId="0" borderId="0" xfId="0" applyNumberFormat="1"/>
    <xf numFmtId="0" fontId="0" fillId="0" borderId="36" xfId="0" applyBorder="1"/>
    <xf numFmtId="0" fontId="0" fillId="0" borderId="43" xfId="0" applyBorder="1"/>
    <xf numFmtId="0" fontId="0" fillId="0" borderId="1" xfId="0" applyBorder="1"/>
    <xf numFmtId="0" fontId="0" fillId="0" borderId="41" xfId="0" applyBorder="1"/>
    <xf numFmtId="177" fontId="0" fillId="0" borderId="9" xfId="5" applyNumberFormat="1" applyFont="1" applyBorder="1"/>
    <xf numFmtId="170" fontId="0" fillId="0" borderId="8" xfId="0" applyNumberFormat="1" applyBorder="1"/>
    <xf numFmtId="170" fontId="0" fillId="0" borderId="21" xfId="0" applyNumberFormat="1" applyBorder="1"/>
    <xf numFmtId="170" fontId="0" fillId="0" borderId="35" xfId="0" applyNumberFormat="1" applyBorder="1"/>
    <xf numFmtId="167" fontId="7" fillId="5" borderId="0" xfId="3" applyNumberFormat="1" applyFont="1" applyFill="1" applyBorder="1"/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9" fontId="0" fillId="5" borderId="0" xfId="3" applyFont="1" applyFill="1" applyBorder="1"/>
    <xf numFmtId="168" fontId="1" fillId="2" borderId="8" xfId="1" applyNumberFormat="1" applyFont="1" applyFill="1" applyBorder="1" applyAlignment="1">
      <alignment horizontal="right"/>
    </xf>
    <xf numFmtId="165" fontId="1" fillId="2" borderId="8" xfId="1" applyFont="1" applyFill="1" applyBorder="1" applyAlignment="1">
      <alignment horizontal="right"/>
    </xf>
    <xf numFmtId="165" fontId="1" fillId="2" borderId="9" xfId="1" applyFont="1" applyFill="1" applyBorder="1" applyAlignment="1">
      <alignment horizontal="right"/>
    </xf>
    <xf numFmtId="165" fontId="8" fillId="0" borderId="31" xfId="1" applyFont="1" applyBorder="1"/>
    <xf numFmtId="165" fontId="7" fillId="0" borderId="3" xfId="1" applyFont="1" applyBorder="1" applyAlignment="1">
      <alignment horizontal="right"/>
    </xf>
    <xf numFmtId="3" fontId="7" fillId="0" borderId="3" xfId="1" applyNumberFormat="1" applyFont="1" applyBorder="1"/>
    <xf numFmtId="3" fontId="7" fillId="0" borderId="39" xfId="1" applyNumberFormat="1" applyFont="1" applyBorder="1"/>
    <xf numFmtId="165" fontId="8" fillId="0" borderId="21" xfId="1" applyFont="1" applyBorder="1" applyAlignment="1">
      <alignment horizontal="right"/>
    </xf>
    <xf numFmtId="165" fontId="8" fillId="0" borderId="21" xfId="1" applyFont="1" applyBorder="1"/>
    <xf numFmtId="165" fontId="7" fillId="0" borderId="29" xfId="1" applyFont="1" applyBorder="1"/>
    <xf numFmtId="165" fontId="7" fillId="0" borderId="31" xfId="1" applyFont="1" applyBorder="1" applyAlignment="1">
      <alignment horizontal="left" indent="1"/>
    </xf>
    <xf numFmtId="3" fontId="7" fillId="0" borderId="9" xfId="1" applyNumberFormat="1" applyFont="1" applyBorder="1"/>
    <xf numFmtId="165" fontId="7" fillId="0" borderId="27" xfId="1" applyFont="1" applyBorder="1"/>
    <xf numFmtId="165" fontId="7" fillId="0" borderId="21" xfId="1" applyFont="1" applyBorder="1" applyAlignment="1">
      <alignment horizontal="right"/>
    </xf>
    <xf numFmtId="3" fontId="7" fillId="0" borderId="21" xfId="1" applyNumberFormat="1" applyFont="1" applyBorder="1"/>
    <xf numFmtId="3" fontId="7" fillId="0" borderId="29" xfId="1" applyNumberFormat="1" applyFont="1" applyBorder="1"/>
    <xf numFmtId="165" fontId="7" fillId="0" borderId="19" xfId="1" applyFont="1" applyBorder="1" applyAlignment="1">
      <alignment horizontal="right"/>
    </xf>
    <xf numFmtId="3" fontId="7" fillId="0" borderId="19" xfId="2" applyNumberFormat="1" applyFont="1" applyFill="1" applyBorder="1"/>
    <xf numFmtId="3" fontId="7" fillId="0" borderId="28" xfId="2" applyNumberFormat="1" applyFont="1" applyFill="1" applyBorder="1"/>
    <xf numFmtId="173" fontId="7" fillId="0" borderId="19" xfId="1" applyNumberFormat="1" applyFont="1" applyBorder="1"/>
    <xf numFmtId="3" fontId="7" fillId="0" borderId="19" xfId="1" applyNumberFormat="1" applyFont="1" applyBorder="1"/>
    <xf numFmtId="3" fontId="7" fillId="0" borderId="28" xfId="1" applyNumberFormat="1" applyFont="1" applyBorder="1"/>
    <xf numFmtId="165" fontId="8" fillId="0" borderId="24" xfId="1" applyFont="1" applyBorder="1"/>
    <xf numFmtId="165" fontId="8" fillId="0" borderId="25" xfId="1" applyFont="1" applyBorder="1" applyAlignment="1">
      <alignment horizontal="right"/>
    </xf>
    <xf numFmtId="1" fontId="8" fillId="0" borderId="25" xfId="0" applyNumberFormat="1" applyFont="1" applyBorder="1"/>
    <xf numFmtId="1" fontId="8" fillId="0" borderId="26" xfId="0" applyNumberFormat="1" applyFont="1" applyBorder="1"/>
    <xf numFmtId="165" fontId="8" fillId="0" borderId="0" xfId="1" applyFont="1"/>
    <xf numFmtId="165" fontId="8" fillId="0" borderId="0" xfId="1" applyFont="1" applyAlignment="1">
      <alignment horizontal="right"/>
    </xf>
    <xf numFmtId="4" fontId="7" fillId="0" borderId="0" xfId="1" applyNumberFormat="1" applyFont="1"/>
    <xf numFmtId="166" fontId="9" fillId="0" borderId="0" xfId="1" applyNumberFormat="1" applyFont="1"/>
    <xf numFmtId="165" fontId="9" fillId="0" borderId="0" xfId="1" applyFont="1"/>
    <xf numFmtId="40" fontId="7" fillId="0" borderId="0" xfId="0" applyNumberFormat="1" applyFont="1"/>
    <xf numFmtId="169" fontId="7" fillId="0" borderId="0" xfId="0" applyNumberFormat="1" applyFont="1"/>
    <xf numFmtId="0" fontId="8" fillId="0" borderId="0" xfId="0" applyFont="1"/>
    <xf numFmtId="0" fontId="10" fillId="0" borderId="0" xfId="0" applyFont="1"/>
    <xf numFmtId="2" fontId="10" fillId="0" borderId="0" xfId="0" applyNumberFormat="1" applyFont="1"/>
    <xf numFmtId="2" fontId="0" fillId="0" borderId="0" xfId="0" applyNumberFormat="1"/>
    <xf numFmtId="167" fontId="7" fillId="0" borderId="28" xfId="1" applyNumberFormat="1" applyFont="1" applyBorder="1"/>
    <xf numFmtId="165" fontId="8" fillId="0" borderId="13" xfId="1" applyFont="1" applyBorder="1" applyAlignment="1">
      <alignment horizontal="right"/>
    </xf>
    <xf numFmtId="3" fontId="7" fillId="0" borderId="9" xfId="6" applyNumberFormat="1" applyFont="1" applyBorder="1"/>
    <xf numFmtId="1" fontId="7" fillId="0" borderId="9" xfId="6" applyNumberFormat="1" applyFont="1" applyBorder="1"/>
    <xf numFmtId="3" fontId="7" fillId="0" borderId="32" xfId="6" applyNumberFormat="1" applyFont="1" applyBorder="1"/>
    <xf numFmtId="3" fontId="7" fillId="0" borderId="29" xfId="2" applyNumberFormat="1" applyFont="1" applyFill="1" applyBorder="1"/>
    <xf numFmtId="166" fontId="7" fillId="0" borderId="9" xfId="2" applyNumberFormat="1" applyFont="1" applyFill="1" applyBorder="1"/>
    <xf numFmtId="0" fontId="7" fillId="0" borderId="13" xfId="0" applyFont="1" applyBorder="1" applyAlignment="1">
      <alignment horizontal="right"/>
    </xf>
    <xf numFmtId="2" fontId="7" fillId="0" borderId="9" xfId="1" applyNumberFormat="1" applyFont="1" applyBorder="1"/>
    <xf numFmtId="165" fontId="7" fillId="0" borderId="15" xfId="1" applyFont="1" applyBorder="1" applyAlignment="1">
      <alignment horizontal="right"/>
    </xf>
    <xf numFmtId="166" fontId="7" fillId="0" borderId="29" xfId="2" applyNumberFormat="1" applyFont="1" applyFill="1" applyBorder="1"/>
    <xf numFmtId="165" fontId="7" fillId="0" borderId="7" xfId="1" applyFont="1" applyBorder="1" applyAlignment="1">
      <alignment horizontal="right"/>
    </xf>
    <xf numFmtId="173" fontId="7" fillId="0" borderId="9" xfId="1" applyNumberFormat="1" applyFont="1" applyBorder="1"/>
    <xf numFmtId="165" fontId="8" fillId="0" borderId="36" xfId="1" applyFont="1" applyBorder="1"/>
    <xf numFmtId="165" fontId="8" fillId="0" borderId="37" xfId="1" applyFont="1" applyBorder="1" applyAlignment="1">
      <alignment horizontal="right"/>
    </xf>
    <xf numFmtId="174" fontId="7" fillId="0" borderId="8" xfId="5" applyNumberFormat="1" applyFont="1" applyBorder="1"/>
    <xf numFmtId="165" fontId="7" fillId="0" borderId="20" xfId="0" applyNumberFormat="1" applyFont="1" applyBorder="1"/>
    <xf numFmtId="174" fontId="7" fillId="0" borderId="35" xfId="5" applyNumberFormat="1" applyFont="1" applyBorder="1"/>
    <xf numFmtId="165" fontId="0" fillId="0" borderId="0" xfId="0" applyNumberFormat="1"/>
    <xf numFmtId="175" fontId="0" fillId="0" borderId="0" xfId="0" applyNumberFormat="1"/>
    <xf numFmtId="9" fontId="7" fillId="0" borderId="28" xfId="1" applyNumberFormat="1" applyFont="1" applyBorder="1"/>
    <xf numFmtId="165" fontId="7" fillId="0" borderId="14" xfId="1" applyFont="1" applyBorder="1" applyAlignment="1">
      <alignment horizontal="right"/>
    </xf>
    <xf numFmtId="165" fontId="7" fillId="0" borderId="40" xfId="1" applyFont="1" applyBorder="1" applyAlignment="1">
      <alignment horizontal="right"/>
    </xf>
    <xf numFmtId="166" fontId="7" fillId="0" borderId="30" xfId="1" applyNumberFormat="1" applyFont="1" applyBorder="1"/>
    <xf numFmtId="173" fontId="7" fillId="0" borderId="30" xfId="1" applyNumberFormat="1" applyFont="1" applyBorder="1"/>
    <xf numFmtId="174" fontId="0" fillId="0" borderId="0" xfId="0" applyNumberFormat="1"/>
    <xf numFmtId="0" fontId="0" fillId="5" borderId="9" xfId="0" applyFill="1" applyBorder="1"/>
    <xf numFmtId="0" fontId="7" fillId="5" borderId="9" xfId="0" applyFont="1" applyFill="1" applyBorder="1"/>
    <xf numFmtId="167" fontId="0" fillId="5" borderId="9" xfId="3" applyNumberFormat="1" applyFont="1" applyFill="1" applyBorder="1"/>
    <xf numFmtId="2" fontId="7" fillId="0" borderId="9" xfId="0" applyNumberFormat="1" applyFont="1" applyBorder="1"/>
    <xf numFmtId="2" fontId="0" fillId="5" borderId="9" xfId="0" applyNumberFormat="1" applyFill="1" applyBorder="1"/>
    <xf numFmtId="2" fontId="0" fillId="0" borderId="9" xfId="0" applyNumberFormat="1" applyBorder="1"/>
    <xf numFmtId="2" fontId="7" fillId="5" borderId="9" xfId="0" applyNumberFormat="1" applyFont="1" applyFill="1" applyBorder="1"/>
    <xf numFmtId="0" fontId="0" fillId="0" borderId="9" xfId="0" applyBorder="1"/>
    <xf numFmtId="0" fontId="0" fillId="5" borderId="26" xfId="0" applyFill="1" applyBorder="1"/>
    <xf numFmtId="0" fontId="7" fillId="0" borderId="43" xfId="0" applyFont="1" applyBorder="1"/>
    <xf numFmtId="0" fontId="0" fillId="2" borderId="10" xfId="0" applyFill="1" applyBorder="1"/>
    <xf numFmtId="0" fontId="1" fillId="2" borderId="0" xfId="0" applyFont="1" applyFill="1"/>
    <xf numFmtId="0" fontId="0" fillId="0" borderId="25" xfId="0" applyBorder="1"/>
    <xf numFmtId="0" fontId="1" fillId="2" borderId="43" xfId="0" applyFont="1" applyFill="1" applyBorder="1" applyAlignment="1">
      <alignment wrapText="1"/>
    </xf>
    <xf numFmtId="166" fontId="0" fillId="5" borderId="9" xfId="0" applyNumberFormat="1" applyFill="1" applyBorder="1"/>
    <xf numFmtId="171" fontId="0" fillId="0" borderId="9" xfId="0" applyNumberFormat="1" applyBorder="1"/>
    <xf numFmtId="0" fontId="0" fillId="5" borderId="0" xfId="0" applyFill="1"/>
    <xf numFmtId="9" fontId="0" fillId="5" borderId="9" xfId="3" applyFont="1" applyFill="1" applyBorder="1"/>
    <xf numFmtId="167" fontId="7" fillId="5" borderId="9" xfId="3" applyNumberFormat="1" applyFont="1" applyFill="1" applyBorder="1"/>
    <xf numFmtId="0" fontId="7" fillId="5" borderId="0" xfId="0" applyFont="1" applyFill="1"/>
    <xf numFmtId="1" fontId="7" fillId="5" borderId="9" xfId="0" applyNumberFormat="1" applyFont="1" applyFill="1" applyBorder="1"/>
    <xf numFmtId="1" fontId="7" fillId="5" borderId="0" xfId="0" applyNumberFormat="1" applyFont="1" applyFill="1"/>
    <xf numFmtId="168" fontId="0" fillId="5" borderId="0" xfId="0" applyNumberFormat="1" applyFill="1"/>
    <xf numFmtId="0" fontId="0" fillId="5" borderId="25" xfId="0" applyFill="1" applyBorder="1"/>
    <xf numFmtId="0" fontId="7" fillId="5" borderId="26" xfId="0" applyFont="1" applyFill="1" applyBorder="1"/>
    <xf numFmtId="9" fontId="0" fillId="5" borderId="0" xfId="0" applyNumberFormat="1" applyFill="1"/>
    <xf numFmtId="9" fontId="0" fillId="5" borderId="9" xfId="0" applyNumberFormat="1" applyFill="1" applyBorder="1"/>
    <xf numFmtId="1" fontId="7" fillId="5" borderId="25" xfId="0" applyNumberFormat="1" applyFont="1" applyFill="1" applyBorder="1"/>
    <xf numFmtId="1" fontId="7" fillId="5" borderId="26" xfId="0" applyNumberFormat="1" applyFont="1" applyFill="1" applyBorder="1"/>
    <xf numFmtId="176" fontId="0" fillId="5" borderId="9" xfId="3" applyNumberFormat="1" applyFont="1" applyFill="1" applyBorder="1"/>
    <xf numFmtId="1" fontId="0" fillId="5" borderId="26" xfId="0" applyNumberFormat="1" applyFill="1" applyBorder="1"/>
    <xf numFmtId="0" fontId="1" fillId="3" borderId="47" xfId="0" applyFont="1" applyFill="1" applyBorder="1"/>
    <xf numFmtId="0" fontId="1" fillId="3" borderId="48" xfId="0" applyFont="1" applyFill="1" applyBorder="1"/>
    <xf numFmtId="0" fontId="1" fillId="2" borderId="46" xfId="0" applyFont="1" applyFill="1" applyBorder="1" applyAlignment="1">
      <alignment wrapText="1"/>
    </xf>
    <xf numFmtId="0" fontId="1" fillId="3" borderId="49" xfId="0" applyFont="1" applyFill="1" applyBorder="1"/>
    <xf numFmtId="0" fontId="1" fillId="3" borderId="50" xfId="0" applyFont="1" applyFill="1" applyBorder="1"/>
    <xf numFmtId="0" fontId="6" fillId="2" borderId="49" xfId="0" applyFont="1" applyFill="1" applyBorder="1"/>
    <xf numFmtId="0" fontId="1" fillId="2" borderId="49" xfId="0" applyFont="1" applyFill="1" applyBorder="1" applyAlignment="1">
      <alignment wrapText="1"/>
    </xf>
    <xf numFmtId="0" fontId="1" fillId="2" borderId="49" xfId="0" applyFont="1" applyFill="1" applyBorder="1"/>
    <xf numFmtId="0" fontId="1" fillId="3" borderId="49" xfId="0" applyFont="1" applyFill="1" applyBorder="1" applyAlignment="1">
      <alignment horizontal="left" vertical="center"/>
    </xf>
    <xf numFmtId="0" fontId="0" fillId="0" borderId="49" xfId="0" applyBorder="1"/>
    <xf numFmtId="0" fontId="0" fillId="2" borderId="49" xfId="0" applyFill="1" applyBorder="1"/>
    <xf numFmtId="0" fontId="1" fillId="3" borderId="51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6" fillId="2" borderId="51" xfId="0" applyFont="1" applyFill="1" applyBorder="1"/>
    <xf numFmtId="0" fontId="6" fillId="2" borderId="5" xfId="0" applyFont="1" applyFill="1" applyBorder="1"/>
    <xf numFmtId="0" fontId="0" fillId="2" borderId="51" xfId="0" applyFill="1" applyBorder="1"/>
    <xf numFmtId="0" fontId="1" fillId="2" borderId="2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70" fontId="0" fillId="0" borderId="43" xfId="5" applyNumberFormat="1" applyFont="1" applyBorder="1"/>
    <xf numFmtId="170" fontId="0" fillId="0" borderId="23" xfId="5" applyNumberFormat="1" applyFont="1" applyBorder="1"/>
    <xf numFmtId="170" fontId="7" fillId="0" borderId="0" xfId="5" applyNumberFormat="1" applyFont="1" applyBorder="1"/>
    <xf numFmtId="177" fontId="0" fillId="0" borderId="0" xfId="5" applyNumberFormat="1" applyFont="1" applyBorder="1"/>
    <xf numFmtId="170" fontId="5" fillId="0" borderId="43" xfId="0" applyNumberFormat="1" applyFont="1" applyBorder="1"/>
    <xf numFmtId="0" fontId="0" fillId="0" borderId="44" xfId="0" applyBorder="1"/>
    <xf numFmtId="0" fontId="7" fillId="0" borderId="9" xfId="0" applyFont="1" applyBorder="1"/>
    <xf numFmtId="0" fontId="5" fillId="0" borderId="44" xfId="0" applyFont="1" applyBorder="1"/>
    <xf numFmtId="0" fontId="5" fillId="0" borderId="24" xfId="0" applyFont="1" applyBorder="1"/>
    <xf numFmtId="0" fontId="5" fillId="0" borderId="10" xfId="0" applyFont="1" applyBorder="1"/>
    <xf numFmtId="0" fontId="5" fillId="0" borderId="26" xfId="0" applyFont="1" applyBorder="1"/>
    <xf numFmtId="38" fontId="7" fillId="0" borderId="8" xfId="0" applyNumberFormat="1" applyFont="1" applyBorder="1"/>
    <xf numFmtId="38" fontId="7" fillId="0" borderId="35" xfId="0" applyNumberFormat="1" applyFont="1" applyBorder="1"/>
    <xf numFmtId="165" fontId="7" fillId="0" borderId="0" xfId="1" applyFont="1" applyAlignment="1">
      <alignment horizontal="right"/>
    </xf>
    <xf numFmtId="38" fontId="0" fillId="0" borderId="8" xfId="0" applyNumberFormat="1" applyBorder="1"/>
    <xf numFmtId="38" fontId="0" fillId="0" borderId="0" xfId="0" applyNumberFormat="1"/>
    <xf numFmtId="38" fontId="0" fillId="0" borderId="21" xfId="0" applyNumberFormat="1" applyBorder="1"/>
    <xf numFmtId="170" fontId="7" fillId="0" borderId="21" xfId="5" applyNumberFormat="1" applyFont="1" applyBorder="1"/>
    <xf numFmtId="170" fontId="7" fillId="0" borderId="35" xfId="5" applyNumberFormat="1" applyFont="1" applyBorder="1"/>
    <xf numFmtId="14" fontId="7" fillId="0" borderId="44" xfId="0" applyNumberFormat="1" applyFont="1" applyBorder="1"/>
    <xf numFmtId="165" fontId="7" fillId="0" borderId="42" xfId="1" applyFont="1" applyBorder="1" applyAlignment="1">
      <alignment horizontal="right"/>
    </xf>
    <xf numFmtId="9" fontId="7" fillId="0" borderId="15" xfId="3" applyFont="1" applyBorder="1"/>
    <xf numFmtId="9" fontId="7" fillId="0" borderId="33" xfId="3" applyFont="1" applyBorder="1"/>
    <xf numFmtId="170" fontId="4" fillId="0" borderId="23" xfId="5" applyNumberFormat="1" applyFont="1" applyBorder="1"/>
    <xf numFmtId="170" fontId="4" fillId="0" borderId="25" xfId="5" applyNumberFormat="1" applyFont="1" applyBorder="1"/>
    <xf numFmtId="170" fontId="4" fillId="0" borderId="26" xfId="5" applyNumberFormat="1" applyFont="1" applyBorder="1"/>
    <xf numFmtId="170" fontId="7" fillId="5" borderId="9" xfId="5" applyNumberFormat="1" applyFont="1" applyFill="1" applyBorder="1"/>
    <xf numFmtId="0" fontId="7" fillId="0" borderId="14" xfId="0" applyFont="1" applyBorder="1" applyAlignment="1">
      <alignment horizontal="right"/>
    </xf>
    <xf numFmtId="165" fontId="7" fillId="0" borderId="20" xfId="1" applyFont="1" applyBorder="1" applyAlignment="1">
      <alignment horizontal="right"/>
    </xf>
    <xf numFmtId="1" fontId="7" fillId="0" borderId="32" xfId="6" applyNumberFormat="1" applyFont="1" applyBorder="1"/>
    <xf numFmtId="3" fontId="7" fillId="0" borderId="32" xfId="2" applyNumberFormat="1" applyFont="1" applyFill="1" applyBorder="1"/>
    <xf numFmtId="171" fontId="7" fillId="0" borderId="32" xfId="2" applyNumberFormat="1" applyFont="1" applyFill="1" applyBorder="1"/>
    <xf numFmtId="166" fontId="7" fillId="0" borderId="32" xfId="1" applyNumberFormat="1" applyFont="1" applyBorder="1"/>
    <xf numFmtId="2" fontId="7" fillId="0" borderId="32" xfId="1" applyNumberFormat="1" applyFont="1" applyBorder="1"/>
    <xf numFmtId="166" fontId="7" fillId="0" borderId="33" xfId="2" applyNumberFormat="1" applyFont="1" applyFill="1" applyBorder="1"/>
    <xf numFmtId="170" fontId="7" fillId="0" borderId="33" xfId="5" applyNumberFormat="1" applyFont="1" applyBorder="1" applyAlignment="1"/>
    <xf numFmtId="170" fontId="0" fillId="5" borderId="9" xfId="5" applyNumberFormat="1" applyFont="1" applyFill="1" applyBorder="1" applyAlignment="1"/>
    <xf numFmtId="0" fontId="1" fillId="2" borderId="45" xfId="0" applyFont="1" applyFill="1" applyBorder="1" applyAlignment="1">
      <alignment horizontal="center"/>
    </xf>
    <xf numFmtId="165" fontId="1" fillId="2" borderId="33" xfId="1" applyFont="1" applyFill="1" applyBorder="1" applyAlignment="1">
      <alignment horizontal="center"/>
    </xf>
    <xf numFmtId="170" fontId="0" fillId="0" borderId="32" xfId="5" applyNumberFormat="1" applyFont="1" applyBorder="1"/>
    <xf numFmtId="1" fontId="7" fillId="0" borderId="9" xfId="5" applyNumberFormat="1" applyFont="1" applyBorder="1"/>
    <xf numFmtId="1" fontId="7" fillId="0" borderId="9" xfId="1" applyNumberFormat="1" applyFont="1" applyBorder="1"/>
    <xf numFmtId="1" fontId="0" fillId="5" borderId="0" xfId="0" applyNumberFormat="1" applyFill="1"/>
    <xf numFmtId="170" fontId="7" fillId="5" borderId="0" xfId="5" applyNumberFormat="1" applyFont="1" applyFill="1"/>
    <xf numFmtId="3" fontId="7" fillId="0" borderId="0" xfId="1" applyNumberFormat="1" applyFont="1"/>
    <xf numFmtId="173" fontId="7" fillId="0" borderId="28" xfId="1" applyNumberFormat="1" applyFont="1" applyBorder="1"/>
    <xf numFmtId="179" fontId="0" fillId="0" borderId="21" xfId="0" applyNumberFormat="1" applyBorder="1"/>
    <xf numFmtId="178" fontId="0" fillId="0" borderId="35" xfId="0" applyNumberFormat="1" applyBorder="1"/>
    <xf numFmtId="3" fontId="8" fillId="0" borderId="22" xfId="0" applyNumberFormat="1" applyFont="1" applyBorder="1" applyAlignment="1">
      <alignment horizontal="center"/>
    </xf>
    <xf numFmtId="1" fontId="8" fillId="0" borderId="38" xfId="0" applyNumberFormat="1" applyFont="1" applyBorder="1"/>
    <xf numFmtId="1" fontId="8" fillId="0" borderId="22" xfId="0" applyNumberFormat="1" applyFont="1" applyBorder="1"/>
    <xf numFmtId="180" fontId="0" fillId="0" borderId="0" xfId="0" applyNumberFormat="1"/>
    <xf numFmtId="3" fontId="0" fillId="5" borderId="9" xfId="0" applyNumberFormat="1" applyFill="1" applyBorder="1"/>
    <xf numFmtId="1" fontId="5" fillId="0" borderId="17" xfId="5" applyNumberFormat="1" applyFont="1" applyBorder="1"/>
    <xf numFmtId="1" fontId="5" fillId="0" borderId="22" xfId="5" applyNumberFormat="1" applyFont="1" applyBorder="1"/>
    <xf numFmtId="1" fontId="0" fillId="0" borderId="0" xfId="0" applyNumberFormat="1"/>
    <xf numFmtId="1" fontId="7" fillId="0" borderId="21" xfId="1" applyNumberFormat="1" applyFont="1" applyBorder="1"/>
    <xf numFmtId="1" fontId="0" fillId="0" borderId="9" xfId="0" applyNumberFormat="1" applyBorder="1"/>
    <xf numFmtId="164" fontId="0" fillId="0" borderId="0" xfId="0" applyNumberFormat="1"/>
    <xf numFmtId="0" fontId="1" fillId="2" borderId="36" xfId="0" applyFont="1" applyFill="1" applyBorder="1" applyAlignment="1">
      <alignment horizontal="left"/>
    </xf>
    <xf numFmtId="0" fontId="1" fillId="2" borderId="43" xfId="0" applyFont="1" applyFill="1" applyBorder="1" applyAlignment="1">
      <alignment horizontal="left"/>
    </xf>
    <xf numFmtId="0" fontId="1" fillId="2" borderId="4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7">
    <cellStyle name="Comma" xfId="5" builtinId="3"/>
    <cellStyle name="Comma 2" xfId="4" xr:uid="{00000000-0005-0000-0000-000000000000}"/>
    <cellStyle name="Normal" xfId="0" builtinId="0"/>
    <cellStyle name="Normal 2 2" xfId="6" xr:uid="{8E91A234-CF1B-4065-A82E-EF446867A8FD}"/>
    <cellStyle name="Normal_Ark1" xfId="1" xr:uid="{00000000-0005-0000-0000-000003000000}"/>
    <cellStyle name="Percent" xfId="3" builtinId="5"/>
    <cellStyle name="Tusenskille_Ark1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ocumenttasks/documenttask1.xml><?xml version="1.0" encoding="utf-8"?>
<Tasks xmlns="http://schemas.microsoft.com/office/tasks/2019/documenttasks">
  <Task id="{6BBB1CE6-F938-4BF0-896A-65BA640D68AA}">
    <Anchor>
      <Comment id="{2FDF1A11-7B20-45D7-98D4-47D2D2F1AD99}"/>
    </Anchor>
    <History>
      <Event time="2026-07-07T11:02:40.78" id="{3BF59EF2-D3C8-4B0C-B707-144C0BE4F4FE}">
        <Attribution userId="S::mwo@nve.no::c0e2490c-83dd-42ac-8a7b-57dec93af06f" userName="Magnus Wold" userProvider="AD"/>
        <Anchor>
          <Comment id="{2FDF1A11-7B20-45D7-98D4-47D2D2F1AD99}"/>
        </Anchor>
        <Create/>
      </Event>
      <Event time="2026-07-07T11:02:40.78" id="{1803D4A6-E950-4CC5-B402-B6215194EEB6}">
        <Attribution userId="S::mwo@nve.no::c0e2490c-83dd-42ac-8a7b-57dec93af06f" userName="Magnus Wold" userProvider="AD"/>
        <Anchor>
          <Comment id="{2FDF1A11-7B20-45D7-98D4-47D2D2F1AD99}"/>
        </Anchor>
        <Assign userId="S::tmwi@nve.no::e11f2551-1ce4-43a8-9af4-e181a088fdba" userName="Thomas Mo Willig" userProvider="AD"/>
      </Event>
      <Event time="2026-07-07T11:02:40.78" id="{DB810A34-799C-46C4-AF44-523438DCFC53}">
        <Attribution userId="S::mwo@nve.no::c0e2490c-83dd-42ac-8a7b-57dec93af06f" userName="Magnus Wold" userProvider="AD"/>
        <Anchor>
          <Comment id="{2FDF1A11-7B20-45D7-98D4-47D2D2F1AD99}"/>
        </Anchor>
        <SetTitle title="@Thomas Mo Willig , Sjekker du ut verdiene i dette arket? Jeg har forsøkt å føre inn verdiene du har brukt i LCOE 2026 - termisk arket, men jeg ser jeg får 132,8 ut, ikke 135,3 øre/kWh som du har skrevet inn i input til PBi’en. Jeg har tatt utgangspunkt…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Thomas Mo Willig" id="{C5C04297-BD33-4837-97AC-0426E07898B2}" userId="tmwi@nve.no" providerId="PeoplePicker"/>
  <person displayName="Magnus Wold" id="{3DDFA03F-504E-4808-AA51-0544B1543827}" userId="S::mwo@nve.no::c0e2490c-83dd-42ac-8a7b-57dec93af06f" providerId="AD"/>
</personList>
</file>

<file path=xl/theme/theme1.xml><?xml version="1.0" encoding="utf-8"?>
<a:theme xmlns:a="http://schemas.openxmlformats.org/drawingml/2006/main" name="Office-tema">
  <a:themeElements>
    <a:clrScheme name="Skriv NVE_2018_nye_farger">
      <a:dk1>
        <a:srgbClr val="000000"/>
      </a:dk1>
      <a:lt1>
        <a:srgbClr val="FFFFFF"/>
      </a:lt1>
      <a:dk2>
        <a:srgbClr val="4C4D4F"/>
      </a:dk2>
      <a:lt2>
        <a:srgbClr val="E6E7E7"/>
      </a:lt2>
      <a:accent1>
        <a:srgbClr val="CD1232"/>
      </a:accent1>
      <a:accent2>
        <a:srgbClr val="00667E"/>
      </a:accent2>
      <a:accent3>
        <a:srgbClr val="0096A7"/>
      </a:accent3>
      <a:accent4>
        <a:srgbClr val="A3D0CA"/>
      </a:accent4>
      <a:accent5>
        <a:srgbClr val="ACC282"/>
      </a:accent5>
      <a:accent6>
        <a:srgbClr val="E96956"/>
      </a:accent6>
      <a:hlink>
        <a:srgbClr val="00667E"/>
      </a:hlink>
      <a:folHlink>
        <a:srgbClr val="838487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6-07-07T11:02:40.78" personId="{3DDFA03F-504E-4808-AA51-0544B1543827}" id="{2FDF1A11-7B20-45D7-98D4-47D2D2F1AD99}">
    <text>@Thomas Mo Willig , Sjekker du ut verdiene i dette arket? Jeg har forsøkt å føre inn verdiene du har brukt i LCOE 2026 - termisk arket, men jeg ser jeg får 132,8 ut, ikke 135,3 øre/kWh som du har skrevet inn i input til PBi’en. Jeg har tatt utgangspunkt i det LCOE arket som ligger åpent ute, så hvis du har gjort noen endringer i utregningen så ligger ikke det inne.</text>
    <mentions>
      <mention mentionpersonId="{C5C04297-BD33-4837-97AC-0426E07898B2}" mentionId="{7169912D-FDDE-468B-B0E7-9B8091D3CF17}" startIndex="0" length="17"/>
    </mentions>
  </threadedComment>
  <threadedComment ref="A2" dT="2026-07-07T11:11:46.77" personId="{3DDFA03F-504E-4808-AA51-0544B1543827}" id="{EADEEF44-33E7-4C52-B545-5DF3D5401395}" parentId="{2FDF1A11-7B20-45D7-98D4-47D2D2F1AD99}">
    <text>Du kan gjerne slette forutsetninger som ikke brukes også, det skaper bare forvirring. For eksempel ”KPI jan ….”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Relationship Id="rId5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8A9A-9239-4FEE-A05F-116D8BCA0AE1}">
  <dimension ref="A1:J24"/>
  <sheetViews>
    <sheetView tabSelected="1" zoomScaleNormal="100" workbookViewId="0">
      <selection activeCell="E15" sqref="E15"/>
    </sheetView>
  </sheetViews>
  <sheetFormatPr defaultColWidth="11.42578125" defaultRowHeight="15" customHeight="1" x14ac:dyDescent="0.25"/>
  <cols>
    <col min="1" max="1" width="37" bestFit="1" customWidth="1"/>
    <col min="2" max="2" width="16.140625" bestFit="1" customWidth="1"/>
    <col min="3" max="3" width="12" bestFit="1" customWidth="1"/>
    <col min="5" max="5" width="35.140625" bestFit="1" customWidth="1"/>
    <col min="6" max="6" width="9" bestFit="1" customWidth="1"/>
    <col min="7" max="7" width="14.7109375" bestFit="1" customWidth="1"/>
    <col min="8" max="8" width="15.5703125" bestFit="1" customWidth="1"/>
  </cols>
  <sheetData>
    <row r="1" spans="1:10" ht="15" customHeight="1" thickBot="1" x14ac:dyDescent="0.3">
      <c r="G1" s="1"/>
      <c r="H1" s="1"/>
    </row>
    <row r="2" spans="1:10" ht="15" customHeight="1" thickBot="1" x14ac:dyDescent="0.3">
      <c r="A2" s="206"/>
      <c r="B2" s="202" t="s">
        <v>0</v>
      </c>
      <c r="C2" s="203"/>
      <c r="D2" s="47"/>
      <c r="E2" s="269" t="s">
        <v>1</v>
      </c>
      <c r="F2" s="270"/>
      <c r="G2" s="270"/>
      <c r="H2" s="271"/>
    </row>
    <row r="3" spans="1:10" ht="15" customHeight="1" x14ac:dyDescent="0.25">
      <c r="A3" s="193" t="s">
        <v>2</v>
      </c>
      <c r="B3" t="s">
        <v>3</v>
      </c>
      <c r="C3" s="159">
        <v>40</v>
      </c>
      <c r="E3" s="8"/>
      <c r="F3" s="9" t="s">
        <v>0</v>
      </c>
      <c r="G3" s="48" t="s">
        <v>4</v>
      </c>
      <c r="H3" s="49" t="s">
        <v>5</v>
      </c>
    </row>
    <row r="4" spans="1:10" ht="15" customHeight="1" x14ac:dyDescent="0.25">
      <c r="A4" s="190" t="s">
        <v>6</v>
      </c>
      <c r="B4" t="s">
        <v>7</v>
      </c>
      <c r="C4" s="176">
        <v>0.06</v>
      </c>
      <c r="E4" s="50" t="s">
        <v>8</v>
      </c>
      <c r="F4" s="51" t="s">
        <v>9</v>
      </c>
      <c r="G4" s="51">
        <f>C9</f>
        <v>4</v>
      </c>
      <c r="H4" s="52">
        <f>C10</f>
        <v>34</v>
      </c>
    </row>
    <row r="5" spans="1:10" ht="15" customHeight="1" x14ac:dyDescent="0.25">
      <c r="A5" s="190" t="s">
        <v>10</v>
      </c>
      <c r="B5" t="s">
        <v>3</v>
      </c>
      <c r="C5" s="159">
        <v>3</v>
      </c>
      <c r="E5" s="53" t="s">
        <v>11</v>
      </c>
      <c r="F5" s="11" t="s">
        <v>12</v>
      </c>
      <c r="G5" s="54">
        <f>C11</f>
        <v>3153</v>
      </c>
      <c r="H5" s="55">
        <f>C12</f>
        <v>2971</v>
      </c>
    </row>
    <row r="6" spans="1:10" ht="15" customHeight="1" x14ac:dyDescent="0.25">
      <c r="A6" s="190" t="s">
        <v>13</v>
      </c>
      <c r="B6" t="s">
        <v>14</v>
      </c>
      <c r="C6" s="262">
        <v>18844</v>
      </c>
      <c r="E6" s="10" t="s">
        <v>15</v>
      </c>
      <c r="F6" s="56"/>
      <c r="G6" s="231">
        <f>G5/8760</f>
        <v>0.35993150684931507</v>
      </c>
      <c r="H6" s="232">
        <f>H5/8760</f>
        <v>0.33915525114155254</v>
      </c>
    </row>
    <row r="7" spans="1:10" ht="15" customHeight="1" x14ac:dyDescent="0.25">
      <c r="A7" s="190" t="s">
        <v>16</v>
      </c>
      <c r="B7" t="s">
        <v>17</v>
      </c>
      <c r="C7" s="262">
        <v>18749</v>
      </c>
      <c r="E7" s="13" t="s">
        <v>18</v>
      </c>
      <c r="F7" s="57"/>
      <c r="G7" s="58">
        <f>C6</f>
        <v>18844</v>
      </c>
      <c r="H7" s="59">
        <f>C7</f>
        <v>18749</v>
      </c>
    </row>
    <row r="8" spans="1:10" ht="15" customHeight="1" x14ac:dyDescent="0.25">
      <c r="A8" s="190" t="s">
        <v>19</v>
      </c>
      <c r="B8" t="s">
        <v>20</v>
      </c>
      <c r="C8" s="163">
        <v>7</v>
      </c>
      <c r="D8" s="5"/>
      <c r="E8" s="60" t="s">
        <v>21</v>
      </c>
      <c r="F8" s="11" t="s">
        <v>17</v>
      </c>
      <c r="G8" s="40"/>
      <c r="H8" s="41"/>
    </row>
    <row r="9" spans="1:10" ht="15" customHeight="1" x14ac:dyDescent="0.25">
      <c r="A9" s="190" t="s">
        <v>22</v>
      </c>
      <c r="B9" t="s">
        <v>9</v>
      </c>
      <c r="C9" s="160">
        <v>4</v>
      </c>
      <c r="E9" s="60" t="s">
        <v>23</v>
      </c>
      <c r="F9" s="11" t="s">
        <v>17</v>
      </c>
      <c r="G9" s="54"/>
      <c r="H9" s="55"/>
    </row>
    <row r="10" spans="1:10" ht="15" customHeight="1" x14ac:dyDescent="0.25">
      <c r="A10" s="190" t="s">
        <v>24</v>
      </c>
      <c r="B10" t="s">
        <v>9</v>
      </c>
      <c r="C10" s="160">
        <v>34</v>
      </c>
      <c r="E10" s="60" t="s">
        <v>25</v>
      </c>
      <c r="F10" s="11" t="s">
        <v>17</v>
      </c>
      <c r="G10" s="54"/>
      <c r="H10" s="55"/>
    </row>
    <row r="11" spans="1:10" ht="15" customHeight="1" x14ac:dyDescent="0.25">
      <c r="A11" s="190" t="s">
        <v>26</v>
      </c>
      <c r="B11" t="s">
        <v>27</v>
      </c>
      <c r="C11" s="160">
        <v>3153</v>
      </c>
      <c r="D11" s="5"/>
      <c r="E11" s="61" t="s">
        <v>28</v>
      </c>
      <c r="F11" s="11" t="s">
        <v>17</v>
      </c>
      <c r="G11" s="62"/>
      <c r="H11" s="63"/>
      <c r="I11" t="s">
        <v>29</v>
      </c>
      <c r="J11" s="42"/>
    </row>
    <row r="12" spans="1:10" ht="15" customHeight="1" thickBot="1" x14ac:dyDescent="0.3">
      <c r="A12" s="191" t="s">
        <v>30</v>
      </c>
      <c r="B12" s="171" t="s">
        <v>27</v>
      </c>
      <c r="C12" s="167">
        <v>2971</v>
      </c>
      <c r="E12" s="13" t="s">
        <v>31</v>
      </c>
      <c r="F12" s="14" t="s">
        <v>17</v>
      </c>
      <c r="G12" s="65">
        <f>G7</f>
        <v>18844</v>
      </c>
      <c r="H12" s="66">
        <f>H7</f>
        <v>18749</v>
      </c>
    </row>
    <row r="13" spans="1:10" ht="15" customHeight="1" thickBot="1" x14ac:dyDescent="0.3">
      <c r="D13" s="64"/>
      <c r="E13" s="13" t="s">
        <v>32</v>
      </c>
      <c r="F13" s="14" t="s">
        <v>20</v>
      </c>
      <c r="G13" s="67">
        <f>C8</f>
        <v>7</v>
      </c>
      <c r="H13" s="37">
        <f>C8</f>
        <v>7</v>
      </c>
    </row>
    <row r="14" spans="1:10" ht="15" customHeight="1" thickBot="1" x14ac:dyDescent="0.3">
      <c r="A14" s="192" t="s">
        <v>33</v>
      </c>
      <c r="B14" s="168"/>
      <c r="C14" s="229">
        <v>46252</v>
      </c>
      <c r="D14" s="64"/>
      <c r="E14" s="17" t="s">
        <v>34</v>
      </c>
      <c r="F14" s="230" t="s">
        <v>20</v>
      </c>
      <c r="G14" s="263">
        <f>(G19+G20)/G21</f>
        <v>46.720938245772565</v>
      </c>
      <c r="H14" s="264">
        <f>(H19+H20)/H21</f>
        <v>48.94168081375782</v>
      </c>
    </row>
    <row r="17" spans="5:8" ht="15" customHeight="1" x14ac:dyDescent="0.25">
      <c r="E17" s="68" t="s">
        <v>170</v>
      </c>
      <c r="F17" s="43"/>
      <c r="G17" s="43" t="s">
        <v>35</v>
      </c>
      <c r="H17" s="44" t="s">
        <v>36</v>
      </c>
    </row>
    <row r="18" spans="5:8" ht="15" customHeight="1" x14ac:dyDescent="0.25">
      <c r="E18" s="69" t="s">
        <v>37</v>
      </c>
      <c r="F18" s="70"/>
      <c r="G18" s="71"/>
      <c r="H18" s="72"/>
    </row>
    <row r="19" spans="5:8" ht="15" customHeight="1" x14ac:dyDescent="0.25">
      <c r="E19" s="73" t="str">
        <f>E7</f>
        <v>Investeringskostnader</v>
      </c>
      <c r="F19" s="74" t="s">
        <v>38</v>
      </c>
      <c r="G19" s="212">
        <f>G12*100*1000*G4</f>
        <v>7537600000</v>
      </c>
      <c r="H19" s="67">
        <f>H12*100*1000*H4</f>
        <v>63746600000</v>
      </c>
    </row>
    <row r="20" spans="5:8" ht="15" customHeight="1" x14ac:dyDescent="0.25">
      <c r="E20" s="73" t="str">
        <f>E13</f>
        <v>Variable drifts- og vedlikeholdskostnader</v>
      </c>
      <c r="F20" s="74" t="s">
        <v>38</v>
      </c>
      <c r="G20" s="212">
        <f>-PV($C$4,$C$3,G13*1000000*G22)</f>
        <v>1328347273.0057049</v>
      </c>
      <c r="H20" s="67">
        <f>-PV($C$4,$C$3,H13*1000000*H22)</f>
        <v>10639206425.261518</v>
      </c>
    </row>
    <row r="21" spans="5:8" ht="15" customHeight="1" x14ac:dyDescent="0.25">
      <c r="E21" s="73" t="s">
        <v>39</v>
      </c>
      <c r="F21" s="74" t="s">
        <v>40</v>
      </c>
      <c r="G21" s="212">
        <f>-PV($C$4,$C$3,G22*1000000)</f>
        <v>189763896.14367214</v>
      </c>
      <c r="H21" s="67">
        <f>-PV($C$4,$C$3,H22*1000000)</f>
        <v>1519886632.180217</v>
      </c>
    </row>
    <row r="22" spans="5:8" ht="15" customHeight="1" x14ac:dyDescent="0.25">
      <c r="E22" s="149" t="s">
        <v>41</v>
      </c>
      <c r="F22" s="75" t="s">
        <v>42</v>
      </c>
      <c r="G22" s="227">
        <f>G5*G4/1000</f>
        <v>12.612</v>
      </c>
      <c r="H22" s="228">
        <f>H5*H4/1000</f>
        <v>101.014</v>
      </c>
    </row>
    <row r="24" spans="5:8" ht="15" customHeight="1" x14ac:dyDescent="0.25">
      <c r="F24" s="74"/>
      <c r="G24" s="46"/>
      <c r="H24" s="46"/>
    </row>
  </sheetData>
  <mergeCells count="1">
    <mergeCell ref="E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0BFEB-ACBD-417C-8D31-97A9AD33BEE4}">
  <dimension ref="A1:H23"/>
  <sheetViews>
    <sheetView zoomScaleNormal="100" workbookViewId="0">
      <selection activeCell="C5" sqref="C5"/>
    </sheetView>
  </sheetViews>
  <sheetFormatPr defaultColWidth="11.42578125" defaultRowHeight="15" customHeight="1" x14ac:dyDescent="0.25"/>
  <cols>
    <col min="1" max="1" width="37" bestFit="1" customWidth="1"/>
    <col min="2" max="2" width="12.42578125" bestFit="1" customWidth="1"/>
    <col min="3" max="3" width="12" bestFit="1" customWidth="1"/>
    <col min="5" max="5" width="38.28515625" bestFit="1" customWidth="1"/>
    <col min="6" max="6" width="9" bestFit="1" customWidth="1"/>
    <col min="7" max="7" width="16.7109375" bestFit="1" customWidth="1"/>
    <col min="9" max="9" width="20.7109375" bestFit="1" customWidth="1"/>
  </cols>
  <sheetData>
    <row r="1" spans="1:7" ht="15" customHeight="1" thickBot="1" x14ac:dyDescent="0.3"/>
    <row r="2" spans="1:7" ht="15" customHeight="1" x14ac:dyDescent="0.25">
      <c r="A2" s="201"/>
      <c r="B2" s="202" t="s">
        <v>0</v>
      </c>
      <c r="C2" s="203"/>
      <c r="E2" s="2" t="s">
        <v>43</v>
      </c>
      <c r="F2" s="76"/>
      <c r="G2" s="77"/>
    </row>
    <row r="3" spans="1:7" ht="15" customHeight="1" x14ac:dyDescent="0.25">
      <c r="A3" s="193" t="s">
        <v>2</v>
      </c>
      <c r="B3" t="s">
        <v>3</v>
      </c>
      <c r="C3" s="160">
        <v>30</v>
      </c>
      <c r="E3" s="6"/>
      <c r="F3" s="7" t="s">
        <v>0</v>
      </c>
      <c r="G3" s="247"/>
    </row>
    <row r="4" spans="1:7" ht="15" customHeight="1" x14ac:dyDescent="0.25">
      <c r="A4" s="193" t="s">
        <v>6</v>
      </c>
      <c r="B4" t="s">
        <v>7</v>
      </c>
      <c r="C4" s="161">
        <v>0.06</v>
      </c>
      <c r="E4" s="50" t="s">
        <v>44</v>
      </c>
      <c r="F4" s="51" t="s">
        <v>9</v>
      </c>
      <c r="G4" s="248">
        <f>C9</f>
        <v>100</v>
      </c>
    </row>
    <row r="5" spans="1:7" ht="15" customHeight="1" x14ac:dyDescent="0.25">
      <c r="A5" s="193" t="s">
        <v>45</v>
      </c>
      <c r="B5" s="5" t="s">
        <v>46</v>
      </c>
      <c r="C5" s="188">
        <v>4.1999999999999997E-3</v>
      </c>
      <c r="E5" s="53" t="s">
        <v>47</v>
      </c>
      <c r="F5" s="11" t="s">
        <v>12</v>
      </c>
      <c r="G5" s="249">
        <f>C10</f>
        <v>3357</v>
      </c>
    </row>
    <row r="6" spans="1:7" ht="15" customHeight="1" x14ac:dyDescent="0.25">
      <c r="A6" s="193" t="s">
        <v>10</v>
      </c>
      <c r="B6" t="s">
        <v>3</v>
      </c>
      <c r="C6" s="159">
        <v>2</v>
      </c>
      <c r="E6" s="10" t="s">
        <v>48</v>
      </c>
      <c r="F6" s="142" t="s">
        <v>17</v>
      </c>
      <c r="G6" s="245">
        <f>C7</f>
        <v>13915</v>
      </c>
    </row>
    <row r="7" spans="1:7" ht="15" customHeight="1" x14ac:dyDescent="0.25">
      <c r="A7" s="193" t="s">
        <v>49</v>
      </c>
      <c r="B7" t="s">
        <v>17</v>
      </c>
      <c r="C7" s="246">
        <v>13915</v>
      </c>
      <c r="E7" s="78" t="s">
        <v>50</v>
      </c>
      <c r="F7" s="11" t="s">
        <v>17</v>
      </c>
      <c r="G7" s="12"/>
    </row>
    <row r="8" spans="1:7" ht="15" customHeight="1" x14ac:dyDescent="0.25">
      <c r="A8" s="193" t="s">
        <v>19</v>
      </c>
      <c r="B8" t="s">
        <v>51</v>
      </c>
      <c r="C8" s="159">
        <v>0.12</v>
      </c>
      <c r="E8" s="78" t="s">
        <v>52</v>
      </c>
      <c r="F8" s="11" t="s">
        <v>17</v>
      </c>
      <c r="G8" s="12"/>
    </row>
    <row r="9" spans="1:7" ht="15" customHeight="1" x14ac:dyDescent="0.25">
      <c r="A9" s="193" t="s">
        <v>44</v>
      </c>
      <c r="B9" t="s">
        <v>9</v>
      </c>
      <c r="C9" s="159">
        <v>100</v>
      </c>
      <c r="E9" s="78" t="s">
        <v>53</v>
      </c>
      <c r="F9" s="11" t="s">
        <v>17</v>
      </c>
      <c r="G9" s="12"/>
    </row>
    <row r="10" spans="1:7" ht="15" customHeight="1" thickBot="1" x14ac:dyDescent="0.3">
      <c r="A10" s="194" t="s">
        <v>54</v>
      </c>
      <c r="B10" s="171" t="s">
        <v>27</v>
      </c>
      <c r="C10" s="189">
        <v>3357</v>
      </c>
      <c r="E10" s="78" t="s">
        <v>55</v>
      </c>
      <c r="F10" s="11" t="s">
        <v>17</v>
      </c>
      <c r="G10" s="12"/>
    </row>
    <row r="11" spans="1:7" ht="15" customHeight="1" thickBot="1" x14ac:dyDescent="0.3">
      <c r="E11" s="78" t="s">
        <v>56</v>
      </c>
      <c r="F11" s="11" t="s">
        <v>17</v>
      </c>
      <c r="G11" s="12"/>
    </row>
    <row r="12" spans="1:7" ht="15" customHeight="1" thickBot="1" x14ac:dyDescent="0.3">
      <c r="A12" s="192" t="s">
        <v>33</v>
      </c>
      <c r="B12" s="168"/>
      <c r="C12" s="229">
        <v>46198</v>
      </c>
      <c r="E12" s="78" t="s">
        <v>57</v>
      </c>
      <c r="F12" s="11" t="s">
        <v>17</v>
      </c>
      <c r="G12" s="12"/>
    </row>
    <row r="13" spans="1:7" ht="15" customHeight="1" x14ac:dyDescent="0.25">
      <c r="E13" s="78" t="s">
        <v>58</v>
      </c>
      <c r="F13" s="11" t="s">
        <v>17</v>
      </c>
      <c r="G13" s="12"/>
    </row>
    <row r="14" spans="1:7" ht="15" customHeight="1" x14ac:dyDescent="0.25">
      <c r="E14" s="78" t="s">
        <v>71</v>
      </c>
      <c r="F14" s="11" t="s">
        <v>17</v>
      </c>
      <c r="G14" s="12">
        <f>G6*(((1+($C$4))*((1+$C$4)^($C$6)-1))/($C$4*$C$6))-G6</f>
        <v>1277.3970000000209</v>
      </c>
    </row>
    <row r="15" spans="1:7" ht="15" customHeight="1" x14ac:dyDescent="0.25">
      <c r="E15" s="13" t="s">
        <v>31</v>
      </c>
      <c r="F15" s="14" t="s">
        <v>17</v>
      </c>
      <c r="G15" s="15">
        <f>G6+G14</f>
        <v>15192.397000000021</v>
      </c>
    </row>
    <row r="16" spans="1:7" ht="15" customHeight="1" x14ac:dyDescent="0.25">
      <c r="E16" s="13" t="s">
        <v>32</v>
      </c>
      <c r="F16" s="14" t="s">
        <v>20</v>
      </c>
      <c r="G16" s="16">
        <f>C8*100</f>
        <v>12</v>
      </c>
    </row>
    <row r="17" spans="1:8" ht="15" customHeight="1" thickBot="1" x14ac:dyDescent="0.3">
      <c r="E17" s="17" t="s">
        <v>59</v>
      </c>
      <c r="F17" s="18" t="s">
        <v>20</v>
      </c>
      <c r="G17" s="258">
        <f>(G20+G21)/G22</f>
        <v>46.91299782653406</v>
      </c>
    </row>
    <row r="19" spans="1:8" ht="15" customHeight="1" x14ac:dyDescent="0.25">
      <c r="E19" s="19" t="s">
        <v>37</v>
      </c>
      <c r="F19" s="79"/>
      <c r="G19" s="80"/>
      <c r="H19" s="83"/>
    </row>
    <row r="20" spans="1:8" ht="15" customHeight="1" x14ac:dyDescent="0.25">
      <c r="A20" s="32"/>
      <c r="B20" s="5"/>
      <c r="C20" s="20"/>
      <c r="E20" s="45" t="s">
        <v>18</v>
      </c>
      <c r="F20" t="s">
        <v>38</v>
      </c>
      <c r="G20" s="21">
        <f>G4*G15*100*1000</f>
        <v>151923970000.00021</v>
      </c>
    </row>
    <row r="21" spans="1:8" ht="15" customHeight="1" x14ac:dyDescent="0.25">
      <c r="E21" s="45" t="s">
        <v>32</v>
      </c>
      <c r="F21" t="s">
        <v>38</v>
      </c>
      <c r="G21" s="21">
        <f>-PV($C$4,$C$3,$G$16*1000*$G$4*$G$5)</f>
        <v>55450245810.660027</v>
      </c>
    </row>
    <row r="22" spans="1:8" ht="15" customHeight="1" x14ac:dyDescent="0.25">
      <c r="E22" s="45" t="s">
        <v>39</v>
      </c>
      <c r="F22" t="s">
        <v>40</v>
      </c>
      <c r="G22" s="21">
        <f>-PV($C$4+$C$5,$C$3,$G$23*1000000)</f>
        <v>4420400004.6522093</v>
      </c>
    </row>
    <row r="23" spans="1:8" ht="15" customHeight="1" x14ac:dyDescent="0.25">
      <c r="E23" s="81" t="s">
        <v>60</v>
      </c>
      <c r="F23" s="82" t="s">
        <v>42</v>
      </c>
      <c r="G23" s="39">
        <f>G4*G5/1000</f>
        <v>335.7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D459-198D-4F65-9A59-B08394A06554}">
  <dimension ref="A1:I38"/>
  <sheetViews>
    <sheetView zoomScaleNormal="100" workbookViewId="0">
      <selection activeCell="D5" sqref="D5"/>
    </sheetView>
  </sheetViews>
  <sheetFormatPr defaultColWidth="11.42578125" defaultRowHeight="15" customHeight="1" x14ac:dyDescent="0.25"/>
  <cols>
    <col min="1" max="1" width="37" bestFit="1" customWidth="1"/>
    <col min="2" max="2" width="12.42578125" bestFit="1" customWidth="1"/>
    <col min="3" max="3" width="14.28515625" bestFit="1" customWidth="1"/>
    <col min="4" max="4" width="13.42578125" customWidth="1"/>
    <col min="6" max="6" width="42" bestFit="1" customWidth="1"/>
    <col min="7" max="7" width="11.42578125" bestFit="1" customWidth="1"/>
    <col min="8" max="9" width="19" bestFit="1" customWidth="1"/>
  </cols>
  <sheetData>
    <row r="1" spans="1:9" ht="15" customHeight="1" thickBot="1" x14ac:dyDescent="0.3"/>
    <row r="2" spans="1:9" ht="15" customHeight="1" x14ac:dyDescent="0.25">
      <c r="A2" s="201"/>
      <c r="B2" s="202" t="s">
        <v>0</v>
      </c>
      <c r="C2" s="202" t="s">
        <v>61</v>
      </c>
      <c r="D2" s="203" t="s">
        <v>62</v>
      </c>
      <c r="F2" s="22" t="s">
        <v>63</v>
      </c>
      <c r="G2" s="169"/>
      <c r="H2" s="207" t="s">
        <v>61</v>
      </c>
      <c r="I2" s="23" t="s">
        <v>62</v>
      </c>
    </row>
    <row r="3" spans="1:9" ht="15" customHeight="1" x14ac:dyDescent="0.25">
      <c r="A3" s="193" t="s">
        <v>2</v>
      </c>
      <c r="B3" t="s">
        <v>3</v>
      </c>
      <c r="C3" s="178">
        <v>30</v>
      </c>
      <c r="D3" s="160">
        <v>30</v>
      </c>
      <c r="F3" s="8"/>
      <c r="G3" s="98"/>
      <c r="H3" s="208"/>
      <c r="I3" s="24"/>
    </row>
    <row r="4" spans="1:9" ht="15" customHeight="1" thickBot="1" x14ac:dyDescent="0.3">
      <c r="A4" s="195" t="s">
        <v>6</v>
      </c>
      <c r="B4" t="s">
        <v>46</v>
      </c>
      <c r="C4" s="33">
        <v>0.06</v>
      </c>
      <c r="D4" s="161">
        <v>0.06</v>
      </c>
      <c r="F4" s="8" t="s">
        <v>44</v>
      </c>
      <c r="G4" s="98" t="s">
        <v>9</v>
      </c>
      <c r="H4" s="209">
        <f>C8</f>
        <v>1500</v>
      </c>
      <c r="I4" s="34">
        <f>D8</f>
        <v>495</v>
      </c>
    </row>
    <row r="5" spans="1:9" ht="15" customHeight="1" thickBot="1" x14ac:dyDescent="0.3">
      <c r="A5" s="190" t="s">
        <v>45</v>
      </c>
      <c r="B5" t="s">
        <v>46</v>
      </c>
      <c r="C5" s="92">
        <v>3.0701773171943661E-3</v>
      </c>
      <c r="D5" s="177">
        <v>3.2400567816559915E-3</v>
      </c>
      <c r="F5" s="84" t="s">
        <v>64</v>
      </c>
      <c r="G5" s="215" t="s">
        <v>12</v>
      </c>
      <c r="H5" s="210">
        <f>C9</f>
        <v>4466.666666666667</v>
      </c>
      <c r="I5" s="25">
        <f>D9</f>
        <v>4242.424242424242</v>
      </c>
    </row>
    <row r="6" spans="1:9" ht="15" customHeight="1" x14ac:dyDescent="0.25">
      <c r="A6" s="190" t="s">
        <v>15</v>
      </c>
      <c r="B6" t="s">
        <v>46</v>
      </c>
      <c r="C6" s="184">
        <v>0.50989345509893458</v>
      </c>
      <c r="D6" s="185">
        <v>0.48429500484295002</v>
      </c>
      <c r="F6" s="87" t="s">
        <v>65</v>
      </c>
      <c r="G6" s="216" t="s">
        <v>66</v>
      </c>
      <c r="H6" s="211">
        <v>32000</v>
      </c>
      <c r="I6" s="27">
        <v>48000</v>
      </c>
    </row>
    <row r="7" spans="1:9" ht="15" customHeight="1" x14ac:dyDescent="0.25">
      <c r="A7" s="193" t="s">
        <v>10</v>
      </c>
      <c r="B7" t="s">
        <v>3</v>
      </c>
      <c r="C7" s="180">
        <v>3</v>
      </c>
      <c r="D7" s="179">
        <v>3</v>
      </c>
      <c r="F7" s="36" t="s">
        <v>67</v>
      </c>
      <c r="G7" s="216" t="s">
        <v>66</v>
      </c>
      <c r="H7" s="212">
        <v>16000</v>
      </c>
      <c r="I7" s="37">
        <v>8000</v>
      </c>
    </row>
    <row r="8" spans="1:9" ht="15" customHeight="1" x14ac:dyDescent="0.25">
      <c r="A8" s="193" t="s">
        <v>68</v>
      </c>
      <c r="B8" t="s">
        <v>9</v>
      </c>
      <c r="C8" s="180">
        <v>1500</v>
      </c>
      <c r="D8" s="179">
        <v>495</v>
      </c>
      <c r="F8" s="36" t="s">
        <v>69</v>
      </c>
      <c r="G8" s="216" t="s">
        <v>66</v>
      </c>
      <c r="H8" s="212">
        <f>(H6+H7)*0.1</f>
        <v>4800</v>
      </c>
      <c r="I8" s="37">
        <f>(I6+I7)*0.1</f>
        <v>5600</v>
      </c>
    </row>
    <row r="9" spans="1:9" ht="15" customHeight="1" thickBot="1" x14ac:dyDescent="0.3">
      <c r="A9" s="194" t="s">
        <v>70</v>
      </c>
      <c r="B9" s="171" t="s">
        <v>27</v>
      </c>
      <c r="C9" s="186">
        <v>4466.666666666667</v>
      </c>
      <c r="D9" s="187">
        <v>4242.424242424242</v>
      </c>
      <c r="F9" s="36" t="s">
        <v>71</v>
      </c>
      <c r="G9" s="216" t="s">
        <v>66</v>
      </c>
      <c r="H9" s="212">
        <f>SUM(H6:H8)*(((1+($C$4))*((1+$C$4)^($C$7)-1))/($C$4*$C$7))-SUM(H6:H8)</f>
        <v>6593.2416000000958</v>
      </c>
      <c r="I9" s="37">
        <f>SUM(I6:I8)*(((1+($C$4))*((1+$C$4)^($C$7)-1))/($C$4*$C$7))-SUM(I6:I8)</f>
        <v>7692.1152000001166</v>
      </c>
    </row>
    <row r="10" spans="1:9" ht="15" customHeight="1" thickBot="1" x14ac:dyDescent="0.3">
      <c r="F10" s="26" t="s">
        <v>18</v>
      </c>
      <c r="G10" s="219" t="s">
        <v>66</v>
      </c>
      <c r="H10" s="233">
        <f>SUM(H6:H9)</f>
        <v>59393.241600000096</v>
      </c>
      <c r="I10" s="29">
        <f>SUM(I6:I9)</f>
        <v>69292.115200000117</v>
      </c>
    </row>
    <row r="11" spans="1:9" ht="15" customHeight="1" thickBot="1" x14ac:dyDescent="0.3">
      <c r="A11" s="192" t="s">
        <v>33</v>
      </c>
      <c r="B11" s="168"/>
      <c r="C11" s="85"/>
      <c r="D11" s="229">
        <v>46209</v>
      </c>
      <c r="F11" s="218" t="s">
        <v>72</v>
      </c>
      <c r="G11" s="220" t="s">
        <v>73</v>
      </c>
      <c r="H11" s="234">
        <v>900</v>
      </c>
      <c r="I11" s="235">
        <v>1300</v>
      </c>
    </row>
    <row r="12" spans="1:9" ht="15" customHeight="1" x14ac:dyDescent="0.25">
      <c r="F12" s="86" t="s">
        <v>74</v>
      </c>
      <c r="G12" s="166" t="s">
        <v>20</v>
      </c>
      <c r="H12" s="213">
        <f>H17/H19</f>
        <v>99.795787470264713</v>
      </c>
      <c r="I12" s="88">
        <f>I17/I19</f>
        <v>122.80110928648585</v>
      </c>
    </row>
    <row r="13" spans="1:9" ht="15" customHeight="1" thickBot="1" x14ac:dyDescent="0.3">
      <c r="F13" s="86" t="s">
        <v>75</v>
      </c>
      <c r="G13" s="166" t="s">
        <v>20</v>
      </c>
      <c r="H13" s="213">
        <f>H18/H19</f>
        <v>20.815582959228554</v>
      </c>
      <c r="I13" s="88">
        <f>I18/I19</f>
        <v>31.712662956885726</v>
      </c>
    </row>
    <row r="14" spans="1:9" ht="15" customHeight="1" thickBot="1" x14ac:dyDescent="0.3">
      <c r="F14" s="30" t="s">
        <v>76</v>
      </c>
      <c r="G14" s="217" t="s">
        <v>20</v>
      </c>
      <c r="H14" s="214">
        <f>SUM(H12:H13)</f>
        <v>120.61137042949326</v>
      </c>
      <c r="I14" s="35">
        <f>SUM(I12:I13)</f>
        <v>154.51377224337159</v>
      </c>
    </row>
    <row r="16" spans="1:9" ht="15" customHeight="1" x14ac:dyDescent="0.25">
      <c r="F16" s="19" t="s">
        <v>37</v>
      </c>
      <c r="G16" s="79"/>
      <c r="H16" s="79"/>
      <c r="I16" s="80"/>
    </row>
    <row r="17" spans="6:9" ht="15" customHeight="1" x14ac:dyDescent="0.25">
      <c r="F17" s="45" t="s">
        <v>18</v>
      </c>
      <c r="G17" t="s">
        <v>38</v>
      </c>
      <c r="H17" s="83">
        <f>H10*$H$4*100*1000</f>
        <v>8908986240000.0137</v>
      </c>
      <c r="I17" s="89">
        <f>I10*$I$4*100*1000</f>
        <v>3429959702400.0059</v>
      </c>
    </row>
    <row r="18" spans="6:9" ht="15" customHeight="1" x14ac:dyDescent="0.25">
      <c r="F18" s="45" t="s">
        <v>77</v>
      </c>
      <c r="G18" t="s">
        <v>38</v>
      </c>
      <c r="H18" s="28">
        <f>-PV($C$4,$C$3,H11*1000*100*$H$4)</f>
        <v>1858252205451.073</v>
      </c>
      <c r="I18" s="21">
        <f>-PV($C$4,$C$3,I11*1000*100*$I$4)</f>
        <v>885766884598.34497</v>
      </c>
    </row>
    <row r="19" spans="6:9" ht="15" customHeight="1" x14ac:dyDescent="0.25">
      <c r="F19" s="45" t="s">
        <v>39</v>
      </c>
      <c r="G19" t="s">
        <v>78</v>
      </c>
      <c r="H19" s="28">
        <f>-PV($C$4+$C$5,$C$3,$H$20*1000000)</f>
        <v>89272167351.297745</v>
      </c>
      <c r="I19" s="21">
        <f>-PV($D$4+$D$5,$D$3,$I$20*1000000)</f>
        <v>27931015626.236446</v>
      </c>
    </row>
    <row r="20" spans="6:9" ht="15" customHeight="1" x14ac:dyDescent="0.25">
      <c r="F20" s="81" t="s">
        <v>79</v>
      </c>
      <c r="G20" s="82" t="s">
        <v>42</v>
      </c>
      <c r="H20" s="90">
        <v>6700</v>
      </c>
      <c r="I20" s="91">
        <f>I4*I5/1000</f>
        <v>2100</v>
      </c>
    </row>
    <row r="38" spans="8:9" ht="15" customHeight="1" x14ac:dyDescent="0.25">
      <c r="H38" s="31"/>
      <c r="I38" s="3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zoomScaleNormal="100" workbookViewId="0">
      <selection activeCell="C16" sqref="C16"/>
    </sheetView>
  </sheetViews>
  <sheetFormatPr defaultColWidth="11.42578125" defaultRowHeight="15" customHeight="1" x14ac:dyDescent="0.25"/>
  <cols>
    <col min="1" max="1" width="37" bestFit="1" customWidth="1"/>
    <col min="2" max="2" width="15.7109375" bestFit="1" customWidth="1"/>
    <col min="3" max="3" width="8.7109375" customWidth="1"/>
    <col min="4" max="4" width="12.42578125" bestFit="1" customWidth="1"/>
    <col min="5" max="5" width="12.5703125" bestFit="1" customWidth="1"/>
    <col min="7" max="7" width="22" bestFit="1" customWidth="1"/>
    <col min="8" max="8" width="18.42578125" bestFit="1" customWidth="1"/>
    <col min="9" max="9" width="16.42578125" bestFit="1" customWidth="1"/>
    <col min="10" max="10" width="26.28515625" bestFit="1" customWidth="1"/>
    <col min="11" max="11" width="13.5703125" bestFit="1" customWidth="1"/>
  </cols>
  <sheetData>
    <row r="1" spans="1:15" ht="15" customHeight="1" thickBot="1" x14ac:dyDescent="0.3">
      <c r="I1" s="1"/>
      <c r="J1" s="1"/>
      <c r="K1" s="1"/>
    </row>
    <row r="2" spans="1:15" ht="15" customHeight="1" x14ac:dyDescent="0.25">
      <c r="A2" s="201"/>
      <c r="B2" s="202" t="s">
        <v>0</v>
      </c>
      <c r="C2" s="202" t="s">
        <v>80</v>
      </c>
      <c r="D2" s="202" t="s">
        <v>81</v>
      </c>
      <c r="E2" s="203" t="s">
        <v>82</v>
      </c>
      <c r="F2" s="47"/>
      <c r="G2" s="272" t="s">
        <v>83</v>
      </c>
      <c r="H2" s="273"/>
      <c r="I2" s="273"/>
      <c r="J2" s="273"/>
      <c r="K2" s="274"/>
    </row>
    <row r="3" spans="1:15" ht="15" customHeight="1" x14ac:dyDescent="0.25">
      <c r="A3" s="193" t="s">
        <v>2</v>
      </c>
      <c r="B3" t="s">
        <v>3</v>
      </c>
      <c r="C3" s="175">
        <v>30</v>
      </c>
      <c r="D3" s="175">
        <v>40</v>
      </c>
      <c r="E3" s="159">
        <v>30</v>
      </c>
      <c r="G3" s="8"/>
      <c r="H3" s="7" t="s">
        <v>84</v>
      </c>
      <c r="I3" s="93" t="s">
        <v>85</v>
      </c>
      <c r="J3" s="93" t="s">
        <v>86</v>
      </c>
      <c r="K3" s="94" t="s">
        <v>82</v>
      </c>
    </row>
    <row r="4" spans="1:15" ht="15" customHeight="1" x14ac:dyDescent="0.25">
      <c r="A4" s="190" t="s">
        <v>87</v>
      </c>
      <c r="B4" t="s">
        <v>7</v>
      </c>
      <c r="C4" s="95">
        <v>0.06</v>
      </c>
      <c r="D4" s="95">
        <v>0.06</v>
      </c>
      <c r="E4" s="176">
        <v>0.06</v>
      </c>
      <c r="G4" s="8" t="s">
        <v>8</v>
      </c>
      <c r="H4" s="9" t="s">
        <v>88</v>
      </c>
      <c r="I4" s="96">
        <f t="shared" ref="I4:K5" si="0">C9</f>
        <v>1.15E-2</v>
      </c>
      <c r="J4" s="97">
        <f t="shared" si="0"/>
        <v>13</v>
      </c>
      <c r="K4" s="98">
        <f t="shared" si="0"/>
        <v>0.24</v>
      </c>
    </row>
    <row r="5" spans="1:15" ht="15" customHeight="1" x14ac:dyDescent="0.25">
      <c r="A5" s="196" t="s">
        <v>45</v>
      </c>
      <c r="B5" s="5" t="s">
        <v>46</v>
      </c>
      <c r="C5" s="92">
        <v>3.0000000000000001E-3</v>
      </c>
      <c r="D5" s="92">
        <v>3.0000000000000001E-3</v>
      </c>
      <c r="E5" s="177">
        <v>3.0000000000000001E-3</v>
      </c>
      <c r="G5" s="13" t="s">
        <v>11</v>
      </c>
      <c r="H5" s="112" t="s">
        <v>12</v>
      </c>
      <c r="I5" s="116">
        <f t="shared" si="0"/>
        <v>900</v>
      </c>
      <c r="J5" s="116">
        <f t="shared" si="0"/>
        <v>1042.352427312504</v>
      </c>
      <c r="K5" s="117">
        <f t="shared" si="0"/>
        <v>760</v>
      </c>
    </row>
    <row r="6" spans="1:15" ht="15" customHeight="1" x14ac:dyDescent="0.25">
      <c r="A6" s="190" t="s">
        <v>89</v>
      </c>
      <c r="B6" s="5" t="s">
        <v>3</v>
      </c>
      <c r="C6" s="178">
        <v>0</v>
      </c>
      <c r="D6" s="178">
        <v>1</v>
      </c>
      <c r="E6" s="179">
        <v>0</v>
      </c>
      <c r="G6" s="10" t="s">
        <v>18</v>
      </c>
      <c r="H6" s="103"/>
      <c r="I6" s="104"/>
      <c r="J6" s="266">
        <f>D7</f>
        <v>6125.037379712302</v>
      </c>
      <c r="K6" s="105"/>
    </row>
    <row r="7" spans="1:15" ht="15" customHeight="1" x14ac:dyDescent="0.25">
      <c r="A7" s="190" t="s">
        <v>49</v>
      </c>
      <c r="B7" s="5" t="s">
        <v>90</v>
      </c>
      <c r="C7" s="253">
        <v>12671.615379052082</v>
      </c>
      <c r="D7" s="253">
        <v>6125.037379712302</v>
      </c>
      <c r="E7" s="236">
        <v>7150</v>
      </c>
      <c r="F7" s="5"/>
      <c r="G7" s="106" t="s">
        <v>21</v>
      </c>
      <c r="H7" s="100" t="s">
        <v>90</v>
      </c>
      <c r="I7" s="101"/>
      <c r="J7" s="101"/>
      <c r="K7" s="102"/>
    </row>
    <row r="8" spans="1:15" ht="15" customHeight="1" x14ac:dyDescent="0.25">
      <c r="A8" s="196" t="s">
        <v>91</v>
      </c>
      <c r="B8" t="s">
        <v>166</v>
      </c>
      <c r="C8" s="252">
        <v>63.35807689526041</v>
      </c>
      <c r="D8" s="180">
        <v>9.4</v>
      </c>
      <c r="E8" s="179">
        <v>71.5</v>
      </c>
      <c r="G8" s="60" t="s">
        <v>23</v>
      </c>
      <c r="H8" s="223" t="s">
        <v>90</v>
      </c>
      <c r="I8" s="254"/>
      <c r="J8" s="254"/>
      <c r="K8" s="107"/>
    </row>
    <row r="9" spans="1:15" ht="15" customHeight="1" x14ac:dyDescent="0.25">
      <c r="A9" s="193" t="s">
        <v>68</v>
      </c>
      <c r="B9" t="s">
        <v>88</v>
      </c>
      <c r="C9" s="181">
        <v>1.15E-2</v>
      </c>
      <c r="D9" s="178">
        <v>13</v>
      </c>
      <c r="E9" s="160">
        <v>0.24</v>
      </c>
      <c r="G9" s="60" t="s">
        <v>25</v>
      </c>
      <c r="H9" s="223" t="s">
        <v>90</v>
      </c>
      <c r="I9" s="254"/>
      <c r="J9" s="254"/>
      <c r="K9" s="107"/>
    </row>
    <row r="10" spans="1:15" ht="15" customHeight="1" thickBot="1" x14ac:dyDescent="0.3">
      <c r="A10" s="194" t="s">
        <v>70</v>
      </c>
      <c r="B10" s="171" t="s">
        <v>27</v>
      </c>
      <c r="C10" s="182">
        <v>900</v>
      </c>
      <c r="D10" s="186">
        <v>1042.352427312504</v>
      </c>
      <c r="E10" s="183">
        <v>760</v>
      </c>
      <c r="F10" s="5"/>
      <c r="G10" s="108" t="s">
        <v>28</v>
      </c>
      <c r="H10" s="109" t="s">
        <v>90</v>
      </c>
      <c r="I10" s="110">
        <v>0</v>
      </c>
      <c r="J10" s="266">
        <f>J6*(((1+($D$4))*((1+$D$4)^($D$6)-1))/($D$4*$D$6))-J6</f>
        <v>367.50224278274345</v>
      </c>
      <c r="K10" s="111">
        <v>0</v>
      </c>
    </row>
    <row r="11" spans="1:15" ht="15" customHeight="1" thickBot="1" x14ac:dyDescent="0.3">
      <c r="G11" s="13" t="s">
        <v>31</v>
      </c>
      <c r="H11" s="112" t="s">
        <v>90</v>
      </c>
      <c r="I11" s="113">
        <f>C7</f>
        <v>12671.615379052082</v>
      </c>
      <c r="J11" s="113">
        <f>J6+J10</f>
        <v>6492.5396224950455</v>
      </c>
      <c r="K11" s="114">
        <f>E7</f>
        <v>7150</v>
      </c>
    </row>
    <row r="12" spans="1:15" ht="15" customHeight="1" thickBot="1" x14ac:dyDescent="0.3">
      <c r="A12" s="192" t="s">
        <v>33</v>
      </c>
      <c r="B12" s="168"/>
      <c r="C12" s="168"/>
      <c r="D12" s="168"/>
      <c r="E12" s="229">
        <v>46290</v>
      </c>
      <c r="F12" s="64"/>
      <c r="G12" s="13" t="s">
        <v>92</v>
      </c>
      <c r="H12" s="112" t="s">
        <v>165</v>
      </c>
      <c r="I12" s="115">
        <f>C8</f>
        <v>63.35807689526041</v>
      </c>
      <c r="J12" s="115">
        <f>D8</f>
        <v>9.4</v>
      </c>
      <c r="K12" s="255">
        <f>E8</f>
        <v>71.5</v>
      </c>
      <c r="M12" t="s">
        <v>167</v>
      </c>
      <c r="N12" t="s">
        <v>168</v>
      </c>
    </row>
    <row r="13" spans="1:15" ht="15" customHeight="1" thickBot="1" x14ac:dyDescent="0.3">
      <c r="F13" s="64"/>
      <c r="G13" s="118" t="s">
        <v>59</v>
      </c>
      <c r="H13" s="119" t="s">
        <v>20</v>
      </c>
      <c r="I13" s="120">
        <f>(I16+I17)/I18</f>
        <v>112.85856910558202</v>
      </c>
      <c r="J13" s="120">
        <f>(J16+J17)/J18</f>
        <v>52.730005421688368</v>
      </c>
      <c r="K13" s="121">
        <f>(K16+K17)/K18</f>
        <v>80.267416047897242</v>
      </c>
      <c r="M13">
        <v>51.636700283630233</v>
      </c>
      <c r="N13">
        <v>51.705858306704549</v>
      </c>
    </row>
    <row r="14" spans="1:15" ht="15" customHeight="1" x14ac:dyDescent="0.25">
      <c r="G14" s="122"/>
      <c r="H14" s="123"/>
      <c r="I14" s="124"/>
      <c r="J14" s="124"/>
      <c r="K14" s="124"/>
      <c r="N14">
        <f>M13-N13</f>
        <v>-6.9158023074315622E-2</v>
      </c>
      <c r="O14" t="s">
        <v>169</v>
      </c>
    </row>
    <row r="15" spans="1:15" ht="15" customHeight="1" x14ac:dyDescent="0.25">
      <c r="G15" s="69" t="s">
        <v>37</v>
      </c>
      <c r="H15" s="70"/>
      <c r="I15" s="71"/>
      <c r="J15" s="71"/>
      <c r="K15" s="72"/>
    </row>
    <row r="16" spans="1:15" ht="15" customHeight="1" x14ac:dyDescent="0.25">
      <c r="C16" s="268"/>
      <c r="G16" s="73" t="str">
        <f>G6</f>
        <v>Investeringskostnader</v>
      </c>
      <c r="H16" s="74" t="s">
        <v>38</v>
      </c>
      <c r="I16" s="225">
        <f>I11*100*1000*I4</f>
        <v>14572357.685909895</v>
      </c>
      <c r="J16" s="225">
        <f>$J$11*100*1000*$J$4</f>
        <v>8440301509.2435589</v>
      </c>
      <c r="K16" s="224">
        <f>$K$11*100*1000*$K$4</f>
        <v>171600000</v>
      </c>
    </row>
    <row r="17" spans="7:13" ht="15" customHeight="1" x14ac:dyDescent="0.25">
      <c r="G17" s="73" t="str">
        <f>G12</f>
        <v>Faste driftskostnader</v>
      </c>
      <c r="H17" s="74" t="s">
        <v>38</v>
      </c>
      <c r="I17" s="225">
        <f>-PV($C$4,$C$3,I12*100*1000*I4)</f>
        <v>1002930.2151282948</v>
      </c>
      <c r="J17" s="225">
        <f>-PV($D$4,$D$3,$J$12*1000*$J$4*$J$5)</f>
        <v>1916529084.8772395</v>
      </c>
      <c r="K17" s="224">
        <f>-PV($E$4,$E$3,K12*100*1000*K4)</f>
        <v>23620450.25595586</v>
      </c>
    </row>
    <row r="18" spans="7:13" ht="15" customHeight="1" x14ac:dyDescent="0.25">
      <c r="G18" s="73" t="s">
        <v>39</v>
      </c>
      <c r="H18" s="74" t="s">
        <v>40</v>
      </c>
      <c r="I18" s="225">
        <f>-PV($C$4+$C$5,$C$3,I19*10^6)</f>
        <v>138007.13605067169</v>
      </c>
      <c r="J18" s="225">
        <f>-PV($D$4+$D$5,$D$3,J19*10^6)</f>
        <v>196412469.73703006</v>
      </c>
      <c r="K18" s="224">
        <f>-PV($E$4+$E$5,$E$3,K19*10^6)</f>
        <v>2432125.7599654603</v>
      </c>
    </row>
    <row r="19" spans="7:13" ht="15" customHeight="1" x14ac:dyDescent="0.25">
      <c r="G19" s="149" t="s">
        <v>93</v>
      </c>
      <c r="H19" s="75" t="s">
        <v>42</v>
      </c>
      <c r="I19" s="256">
        <f>I5*I4/1000</f>
        <v>1.035E-2</v>
      </c>
      <c r="J19" s="226">
        <f>J5*J4/1000</f>
        <v>13.550581555062552</v>
      </c>
      <c r="K19" s="257">
        <f>K5*K4/1000</f>
        <v>0.18240000000000001</v>
      </c>
    </row>
    <row r="24" spans="7:13" ht="15" customHeight="1" x14ac:dyDescent="0.25">
      <c r="G24" s="126"/>
      <c r="H24" s="74"/>
      <c r="I24" s="125"/>
      <c r="J24" s="125"/>
      <c r="K24" s="125"/>
    </row>
    <row r="25" spans="7:13" ht="15" customHeight="1" x14ac:dyDescent="0.25">
      <c r="G25" s="5"/>
      <c r="H25" s="74"/>
      <c r="I25" s="127"/>
      <c r="J25" s="127"/>
      <c r="K25" s="127"/>
    </row>
    <row r="26" spans="7:13" ht="15" customHeight="1" x14ac:dyDescent="0.25">
      <c r="G26" s="5"/>
      <c r="H26" s="74"/>
      <c r="I26" s="127"/>
      <c r="J26" s="127"/>
      <c r="K26" s="128"/>
    </row>
    <row r="27" spans="7:13" ht="15" customHeight="1" x14ac:dyDescent="0.25">
      <c r="G27" s="129"/>
    </row>
    <row r="29" spans="7:13" ht="15" customHeight="1" x14ac:dyDescent="0.25">
      <c r="H29" s="1"/>
    </row>
    <row r="31" spans="7:13" ht="15" customHeight="1" x14ac:dyDescent="0.25">
      <c r="H31" s="130"/>
      <c r="I31" s="130"/>
      <c r="J31" s="130"/>
      <c r="K31" s="130"/>
      <c r="L31" s="130"/>
      <c r="M31" s="1"/>
    </row>
    <row r="32" spans="7:13" ht="15" customHeight="1" x14ac:dyDescent="0.25">
      <c r="H32" s="131"/>
      <c r="I32" s="131"/>
      <c r="J32" s="131"/>
      <c r="K32" s="131"/>
      <c r="L32" s="131"/>
      <c r="M32" s="132"/>
    </row>
  </sheetData>
  <mergeCells count="1">
    <mergeCell ref="G2:K2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8CC39-6673-4E32-995D-BF575A3DC08D}">
  <dimension ref="A1:I31"/>
  <sheetViews>
    <sheetView zoomScaleNormal="100" workbookViewId="0">
      <selection activeCell="C30" sqref="C30"/>
    </sheetView>
  </sheetViews>
  <sheetFormatPr defaultColWidth="11.42578125" defaultRowHeight="15" customHeight="1" x14ac:dyDescent="0.25"/>
  <cols>
    <col min="1" max="1" width="37" bestFit="1" customWidth="1"/>
    <col min="2" max="2" width="16.7109375" bestFit="1" customWidth="1"/>
    <col min="3" max="3" width="10.42578125" customWidth="1"/>
    <col min="4" max="4" width="12.42578125" bestFit="1" customWidth="1"/>
    <col min="5" max="5" width="34.42578125" bestFit="1" customWidth="1"/>
    <col min="6" max="6" width="16.42578125" bestFit="1" customWidth="1"/>
    <col min="7" max="7" width="17.42578125" bestFit="1" customWidth="1"/>
    <col min="9" max="9" width="16.7109375" bestFit="1" customWidth="1"/>
  </cols>
  <sheetData>
    <row r="1" spans="1:9" ht="15" customHeight="1" thickBot="1" x14ac:dyDescent="0.3"/>
    <row r="2" spans="1:9" ht="15" customHeight="1" x14ac:dyDescent="0.25">
      <c r="A2" s="201"/>
      <c r="B2" s="202" t="s">
        <v>0</v>
      </c>
      <c r="C2" s="203"/>
      <c r="E2" s="2" t="s">
        <v>94</v>
      </c>
      <c r="F2" s="3"/>
      <c r="G2" s="4"/>
    </row>
    <row r="3" spans="1:9" ht="15" customHeight="1" x14ac:dyDescent="0.25">
      <c r="A3" s="193" t="s">
        <v>2</v>
      </c>
      <c r="B3" t="s">
        <v>3</v>
      </c>
      <c r="C3" s="159">
        <v>25</v>
      </c>
      <c r="E3" s="8"/>
      <c r="F3" s="7" t="s">
        <v>0</v>
      </c>
      <c r="G3" s="94"/>
    </row>
    <row r="4" spans="1:9" ht="15" customHeight="1" x14ac:dyDescent="0.25">
      <c r="A4" s="190" t="s">
        <v>10</v>
      </c>
      <c r="B4" t="s">
        <v>3</v>
      </c>
      <c r="C4" s="159">
        <v>4</v>
      </c>
      <c r="E4" s="8" t="s">
        <v>8</v>
      </c>
      <c r="F4" s="9" t="s">
        <v>95</v>
      </c>
      <c r="G4" s="98">
        <f>C26</f>
        <v>740</v>
      </c>
    </row>
    <row r="5" spans="1:9" ht="15" customHeight="1" x14ac:dyDescent="0.25">
      <c r="A5" s="190" t="s">
        <v>6</v>
      </c>
      <c r="B5" t="s">
        <v>7</v>
      </c>
      <c r="C5" s="161">
        <v>0.06</v>
      </c>
      <c r="E5" s="13" t="s">
        <v>11</v>
      </c>
      <c r="F5" s="14" t="s">
        <v>12</v>
      </c>
      <c r="G5" s="117">
        <f>C27</f>
        <v>5694</v>
      </c>
    </row>
    <row r="6" spans="1:9" ht="15" customHeight="1" x14ac:dyDescent="0.25">
      <c r="A6" s="190" t="s">
        <v>45</v>
      </c>
      <c r="B6" s="5" t="s">
        <v>46</v>
      </c>
      <c r="C6" s="161">
        <v>1E-3</v>
      </c>
      <c r="E6" s="13" t="s">
        <v>96</v>
      </c>
      <c r="F6" s="14" t="s">
        <v>97</v>
      </c>
      <c r="G6" s="133">
        <v>0.46</v>
      </c>
    </row>
    <row r="7" spans="1:9" ht="15" customHeight="1" x14ac:dyDescent="0.25">
      <c r="A7" s="190" t="s">
        <v>98</v>
      </c>
      <c r="B7" s="5" t="s">
        <v>99</v>
      </c>
      <c r="C7" s="165">
        <v>7.8</v>
      </c>
      <c r="E7" s="13" t="s">
        <v>100</v>
      </c>
      <c r="F7" s="14" t="s">
        <v>97</v>
      </c>
      <c r="G7" s="133">
        <f>G6/$C$8*$C$7</f>
        <v>0.42765196662693683</v>
      </c>
    </row>
    <row r="8" spans="1:9" ht="15" customHeight="1" x14ac:dyDescent="0.25">
      <c r="A8" s="190" t="s">
        <v>101</v>
      </c>
      <c r="B8" s="5" t="s">
        <v>99</v>
      </c>
      <c r="C8" s="165">
        <v>8.39</v>
      </c>
      <c r="E8" s="53" t="s">
        <v>18</v>
      </c>
      <c r="F8" s="134"/>
      <c r="G8" s="250">
        <v>26106.567200000001</v>
      </c>
    </row>
    <row r="9" spans="1:9" ht="15" customHeight="1" x14ac:dyDescent="0.25">
      <c r="A9" s="190" t="s">
        <v>102</v>
      </c>
      <c r="B9" s="5" t="s">
        <v>103</v>
      </c>
      <c r="C9" s="162">
        <f>C13*C15/10</f>
        <v>14.354182500000002</v>
      </c>
      <c r="D9" s="64"/>
      <c r="E9" s="60" t="s">
        <v>104</v>
      </c>
      <c r="F9" s="11" t="s">
        <v>105</v>
      </c>
      <c r="G9" s="135"/>
      <c r="I9" s="265"/>
    </row>
    <row r="10" spans="1:9" ht="15" customHeight="1" x14ac:dyDescent="0.25">
      <c r="A10" s="193" t="s">
        <v>106</v>
      </c>
      <c r="B10" s="5" t="s">
        <v>103</v>
      </c>
      <c r="C10" s="162">
        <f>C19</f>
        <v>44.220797076923077</v>
      </c>
      <c r="E10" s="60" t="s">
        <v>107</v>
      </c>
      <c r="F10" s="11" t="s">
        <v>105</v>
      </c>
      <c r="G10" s="107"/>
    </row>
    <row r="11" spans="1:9" ht="15" customHeight="1" x14ac:dyDescent="0.25">
      <c r="A11" s="193" t="s">
        <v>108</v>
      </c>
      <c r="B11" s="5" t="s">
        <v>103</v>
      </c>
      <c r="C11" s="164">
        <f>C24*C23/10</f>
        <v>0.31084615384615383</v>
      </c>
      <c r="E11" s="60" t="s">
        <v>109</v>
      </c>
      <c r="F11" s="11" t="s">
        <v>105</v>
      </c>
      <c r="G11" s="136"/>
    </row>
    <row r="12" spans="1:9" ht="15" customHeight="1" x14ac:dyDescent="0.25">
      <c r="A12" s="190"/>
      <c r="B12" s="5"/>
      <c r="C12" s="164"/>
      <c r="E12" s="60" t="s">
        <v>110</v>
      </c>
      <c r="F12" s="11" t="s">
        <v>105</v>
      </c>
      <c r="G12" s="136"/>
    </row>
    <row r="13" spans="1:9" ht="15" customHeight="1" x14ac:dyDescent="0.25">
      <c r="A13" s="190" t="s">
        <v>111</v>
      </c>
      <c r="B13" s="5" t="s">
        <v>112</v>
      </c>
      <c r="C13" s="160">
        <v>12.25</v>
      </c>
      <c r="E13" s="61" t="s">
        <v>28</v>
      </c>
      <c r="F13" s="11" t="s">
        <v>105</v>
      </c>
      <c r="G13" s="137">
        <f>(G9+G10+G11+G8)*(((1+($C$5))*((1+$C$5)^($C$4)-1))/($C$5*$C$4))-(G9+G10+G11+G8)</f>
        <v>4158.077543221767</v>
      </c>
    </row>
    <row r="14" spans="1:9" ht="15" customHeight="1" x14ac:dyDescent="0.25">
      <c r="A14" s="197" t="s">
        <v>113</v>
      </c>
      <c r="B14" s="5" t="s">
        <v>114</v>
      </c>
      <c r="C14" s="165">
        <v>10.3912</v>
      </c>
      <c r="E14" s="10" t="s">
        <v>31</v>
      </c>
      <c r="F14" s="11" t="s">
        <v>105</v>
      </c>
      <c r="G14" s="138">
        <f>SUM(G8:G13)</f>
        <v>30264.644743221768</v>
      </c>
    </row>
    <row r="15" spans="1:9" ht="15" customHeight="1" x14ac:dyDescent="0.25">
      <c r="A15" s="197" t="s">
        <v>115</v>
      </c>
      <c r="B15" t="s">
        <v>116</v>
      </c>
      <c r="C15" s="163">
        <v>11.717700000000001</v>
      </c>
      <c r="E15" s="13" t="s">
        <v>92</v>
      </c>
      <c r="F15" s="14" t="s">
        <v>117</v>
      </c>
      <c r="G15" s="117">
        <v>623.99159999999995</v>
      </c>
    </row>
    <row r="16" spans="1:9" ht="15" customHeight="1" x14ac:dyDescent="0.25">
      <c r="A16" s="197" t="s">
        <v>118</v>
      </c>
      <c r="B16" t="s">
        <v>119</v>
      </c>
      <c r="C16" s="160">
        <v>111.5</v>
      </c>
      <c r="E16" s="53" t="s">
        <v>120</v>
      </c>
      <c r="F16" s="11"/>
      <c r="G16" s="107"/>
    </row>
    <row r="17" spans="1:9" ht="15" customHeight="1" x14ac:dyDescent="0.25">
      <c r="A17" s="198" t="s">
        <v>121</v>
      </c>
      <c r="B17" s="5" t="s">
        <v>122</v>
      </c>
      <c r="C17" s="173">
        <v>2.64</v>
      </c>
      <c r="E17" s="61" t="s">
        <v>123</v>
      </c>
      <c r="F17" s="11" t="s">
        <v>124</v>
      </c>
      <c r="G17" s="139">
        <f>1/G6</f>
        <v>2.1739130434782608</v>
      </c>
      <c r="I17" s="261"/>
    </row>
    <row r="18" spans="1:9" ht="15" customHeight="1" x14ac:dyDescent="0.25">
      <c r="A18" s="198"/>
      <c r="B18" s="5" t="s">
        <v>125</v>
      </c>
      <c r="C18" s="164">
        <f>C17/C7</f>
        <v>0.33846153846153848</v>
      </c>
      <c r="E18" s="61" t="s">
        <v>126</v>
      </c>
      <c r="F18" s="140" t="s">
        <v>103</v>
      </c>
      <c r="G18" s="141">
        <f>$C$9</f>
        <v>14.354182500000002</v>
      </c>
    </row>
    <row r="19" spans="1:9" ht="15" customHeight="1" x14ac:dyDescent="0.25">
      <c r="A19" s="197" t="s">
        <v>127</v>
      </c>
      <c r="B19" s="5" t="s">
        <v>128</v>
      </c>
      <c r="C19" s="164">
        <f>C16*C15*100/1000*C18</f>
        <v>44.220797076923077</v>
      </c>
      <c r="E19" s="61" t="s">
        <v>108</v>
      </c>
      <c r="F19" s="140" t="s">
        <v>103</v>
      </c>
      <c r="G19" s="141">
        <f>$C$11</f>
        <v>0.31084615384615383</v>
      </c>
    </row>
    <row r="20" spans="1:9" ht="15" customHeight="1" x14ac:dyDescent="0.25">
      <c r="A20" s="199"/>
      <c r="C20" s="166"/>
      <c r="E20" s="61" t="s">
        <v>106</v>
      </c>
      <c r="F20" s="140" t="s">
        <v>103</v>
      </c>
      <c r="G20" s="141">
        <f>$C$10</f>
        <v>44.220797076923077</v>
      </c>
    </row>
    <row r="21" spans="1:9" ht="15" customHeight="1" x14ac:dyDescent="0.25">
      <c r="A21" s="197" t="s">
        <v>129</v>
      </c>
      <c r="B21" s="5" t="s">
        <v>130</v>
      </c>
      <c r="C21" s="159">
        <v>4.5</v>
      </c>
      <c r="E21" s="53" t="s">
        <v>131</v>
      </c>
      <c r="F21" s="142" t="s">
        <v>132</v>
      </c>
      <c r="G21" s="143">
        <f>SUM(G18:G20)*G17</f>
        <v>128.01266463210703</v>
      </c>
    </row>
    <row r="22" spans="1:9" ht="15" customHeight="1" x14ac:dyDescent="0.25">
      <c r="A22" s="197" t="s">
        <v>133</v>
      </c>
      <c r="B22" s="5" t="s">
        <v>134</v>
      </c>
      <c r="C22" s="159">
        <v>0.8</v>
      </c>
      <c r="E22" s="99" t="s">
        <v>135</v>
      </c>
      <c r="F22" s="144" t="s">
        <v>132</v>
      </c>
      <c r="G22" s="145">
        <v>3.0653999999999999</v>
      </c>
    </row>
    <row r="23" spans="1:9" ht="15" customHeight="1" x14ac:dyDescent="0.25">
      <c r="A23" s="197" t="s">
        <v>136</v>
      </c>
      <c r="B23" t="s">
        <v>137</v>
      </c>
      <c r="C23" s="174">
        <f>C21*(1-C22)/C7</f>
        <v>0.11538461538461536</v>
      </c>
      <c r="E23" s="146" t="s">
        <v>59</v>
      </c>
      <c r="F23" s="147" t="s">
        <v>132</v>
      </c>
      <c r="G23" s="259">
        <f>SUM(G26:G30)/G31</f>
        <v>185.36409818111196</v>
      </c>
    </row>
    <row r="24" spans="1:9" ht="15" customHeight="1" x14ac:dyDescent="0.25">
      <c r="A24" s="197" t="s">
        <v>138</v>
      </c>
      <c r="B24" s="5" t="s">
        <v>139</v>
      </c>
      <c r="C24" s="159">
        <v>26.94</v>
      </c>
      <c r="E24" s="122"/>
      <c r="F24" s="123"/>
      <c r="G24" s="124"/>
    </row>
    <row r="25" spans="1:9" ht="15" customHeight="1" x14ac:dyDescent="0.25">
      <c r="A25" s="193"/>
      <c r="C25" s="166"/>
      <c r="E25" s="69" t="s">
        <v>37</v>
      </c>
      <c r="F25" s="70"/>
      <c r="G25" s="72"/>
    </row>
    <row r="26" spans="1:9" ht="15" customHeight="1" x14ac:dyDescent="0.25">
      <c r="A26" s="193" t="s">
        <v>44</v>
      </c>
      <c r="B26" t="s">
        <v>95</v>
      </c>
      <c r="C26" s="159">
        <v>740</v>
      </c>
      <c r="E26" s="73" t="str">
        <f>E8</f>
        <v>Investeringskostnader</v>
      </c>
      <c r="F26" s="74" t="s">
        <v>38</v>
      </c>
      <c r="G26" s="148">
        <f>G14*100*1000*G4</f>
        <v>2239583710998.4111</v>
      </c>
    </row>
    <row r="27" spans="1:9" ht="15" customHeight="1" x14ac:dyDescent="0.25">
      <c r="A27" s="194" t="s">
        <v>54</v>
      </c>
      <c r="B27" s="171" t="s">
        <v>27</v>
      </c>
      <c r="C27" s="167">
        <v>5694</v>
      </c>
      <c r="E27" s="73" t="str">
        <f>E15</f>
        <v>Faste driftskostnader</v>
      </c>
      <c r="F27" s="74" t="s">
        <v>38</v>
      </c>
      <c r="G27" s="148">
        <f>-PV($C$5,$C$3,G15*100*1000*G4)</f>
        <v>590276307830.01416</v>
      </c>
    </row>
    <row r="28" spans="1:9" ht="15" customHeight="1" x14ac:dyDescent="0.25">
      <c r="E28" s="73" t="str">
        <f>E22</f>
        <v>Variable kostnader eks brensel</v>
      </c>
      <c r="F28" s="74" t="s">
        <v>38</v>
      </c>
      <c r="G28" s="148">
        <f>-PV($C$5,$C$3,G22*1000*G4*G5)</f>
        <v>165112983379.29523</v>
      </c>
    </row>
    <row r="29" spans="1:9" ht="15" customHeight="1" x14ac:dyDescent="0.25">
      <c r="A29" s="192" t="s">
        <v>33</v>
      </c>
      <c r="B29" s="168"/>
      <c r="C29" s="229">
        <v>46309</v>
      </c>
      <c r="E29" s="73" t="s">
        <v>140</v>
      </c>
      <c r="F29" s="74" t="s">
        <v>38</v>
      </c>
      <c r="G29" s="148">
        <f>-PV($C$5,$C$3,G4*G18*G17*1000*G5)</f>
        <v>1680794829631.3345</v>
      </c>
    </row>
    <row r="30" spans="1:9" ht="15" customHeight="1" x14ac:dyDescent="0.25">
      <c r="E30" s="45" t="s">
        <v>141</v>
      </c>
      <c r="F30" s="74" t="s">
        <v>38</v>
      </c>
      <c r="G30" s="148">
        <f>-PV($C$5,$C$3,G4*(G19+G20)*G17*1000*G5)</f>
        <v>5214407417299.043</v>
      </c>
    </row>
    <row r="31" spans="1:9" ht="15" customHeight="1" x14ac:dyDescent="0.25">
      <c r="E31" s="149" t="s">
        <v>39</v>
      </c>
      <c r="F31" s="75" t="s">
        <v>40</v>
      </c>
      <c r="G31" s="150">
        <f>-PV($C$5+$C$6,$C$3,G4*G5*1000)</f>
        <v>53355398085.096268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D70D-372F-4EB9-8BE1-8B071682DAAE}">
  <dimension ref="A1:AW34"/>
  <sheetViews>
    <sheetView zoomScaleNormal="100" workbookViewId="0">
      <selection activeCell="D32" sqref="D32"/>
    </sheetView>
  </sheetViews>
  <sheetFormatPr defaultColWidth="11.42578125" defaultRowHeight="15" customHeight="1" x14ac:dyDescent="0.25"/>
  <cols>
    <col min="1" max="1" width="40.5703125" bestFit="1" customWidth="1"/>
    <col min="2" max="2" width="16.5703125" hidden="1" customWidth="1"/>
    <col min="3" max="3" width="16.7109375" bestFit="1" customWidth="1"/>
    <col min="4" max="4" width="11.5703125" bestFit="1" customWidth="1"/>
    <col min="5" max="5" width="7.42578125" customWidth="1"/>
    <col min="6" max="6" width="33.140625" bestFit="1" customWidth="1"/>
    <col min="7" max="7" width="18.5703125" bestFit="1" customWidth="1"/>
    <col min="8" max="8" width="19.140625" bestFit="1" customWidth="1"/>
  </cols>
  <sheetData>
    <row r="1" spans="1:10" ht="15" customHeight="1" thickBot="1" x14ac:dyDescent="0.3"/>
    <row r="2" spans="1:10" ht="15" customHeight="1" x14ac:dyDescent="0.25">
      <c r="A2" s="204"/>
      <c r="B2" s="205"/>
      <c r="C2" s="3" t="s">
        <v>0</v>
      </c>
      <c r="D2" s="77"/>
      <c r="F2" s="2" t="s">
        <v>142</v>
      </c>
      <c r="G2" s="3"/>
      <c r="H2" s="4"/>
    </row>
    <row r="3" spans="1:10" ht="15" customHeight="1" x14ac:dyDescent="0.25">
      <c r="A3" s="197" t="s">
        <v>2</v>
      </c>
      <c r="B3" s="170"/>
      <c r="C3" t="s">
        <v>3</v>
      </c>
      <c r="D3" s="159">
        <v>25</v>
      </c>
      <c r="F3" s="8"/>
      <c r="G3" s="7" t="s">
        <v>0</v>
      </c>
      <c r="H3" s="94"/>
    </row>
    <row r="4" spans="1:10" ht="15" customHeight="1" x14ac:dyDescent="0.25">
      <c r="A4" s="197" t="s">
        <v>10</v>
      </c>
      <c r="B4" s="170"/>
      <c r="C4" t="s">
        <v>3</v>
      </c>
      <c r="D4" s="159">
        <v>2</v>
      </c>
      <c r="F4" s="8" t="s">
        <v>8</v>
      </c>
      <c r="G4" s="9" t="s">
        <v>95</v>
      </c>
      <c r="H4" s="98">
        <f>D28</f>
        <v>450</v>
      </c>
    </row>
    <row r="5" spans="1:10" ht="15" customHeight="1" x14ac:dyDescent="0.25">
      <c r="A5" s="197" t="s">
        <v>6</v>
      </c>
      <c r="B5" s="170"/>
      <c r="C5" t="s">
        <v>7</v>
      </c>
      <c r="D5" s="161">
        <v>0.06</v>
      </c>
      <c r="F5" s="13" t="s">
        <v>11</v>
      </c>
      <c r="G5" s="14" t="s">
        <v>12</v>
      </c>
      <c r="H5" s="117">
        <f>D29</f>
        <v>5080.8</v>
      </c>
    </row>
    <row r="6" spans="1:10" ht="15" customHeight="1" x14ac:dyDescent="0.25">
      <c r="A6" s="197" t="s">
        <v>45</v>
      </c>
      <c r="B6" s="170"/>
      <c r="C6" t="s">
        <v>46</v>
      </c>
      <c r="D6" s="161">
        <v>1E-3</v>
      </c>
      <c r="F6" s="13" t="s">
        <v>96</v>
      </c>
      <c r="G6" s="14" t="s">
        <v>97</v>
      </c>
      <c r="H6" s="153">
        <v>0.56999999999999995</v>
      </c>
    </row>
    <row r="7" spans="1:10" ht="15" customHeight="1" x14ac:dyDescent="0.25">
      <c r="A7" s="197" t="s">
        <v>143</v>
      </c>
      <c r="B7" s="170"/>
      <c r="C7" t="s">
        <v>144</v>
      </c>
      <c r="D7" s="159">
        <v>10.48</v>
      </c>
      <c r="F7" s="13" t="s">
        <v>100</v>
      </c>
      <c r="G7" s="14" t="s">
        <v>97</v>
      </c>
      <c r="H7" s="153">
        <f>H6/$D$8*$D$7</f>
        <v>0.5145219638242895</v>
      </c>
    </row>
    <row r="8" spans="1:10" ht="15" customHeight="1" x14ac:dyDescent="0.25">
      <c r="A8" s="197" t="s">
        <v>145</v>
      </c>
      <c r="B8" s="170"/>
      <c r="C8" t="s">
        <v>144</v>
      </c>
      <c r="D8" s="159">
        <v>11.61</v>
      </c>
      <c r="F8" s="53" t="s">
        <v>18</v>
      </c>
      <c r="G8" s="154" t="s">
        <v>105</v>
      </c>
      <c r="H8" s="267">
        <v>14060.071055999999</v>
      </c>
      <c r="J8" s="83"/>
    </row>
    <row r="9" spans="1:10" ht="15" customHeight="1" x14ac:dyDescent="0.25">
      <c r="A9" s="197" t="s">
        <v>146</v>
      </c>
      <c r="B9" s="170"/>
      <c r="C9" t="s">
        <v>103</v>
      </c>
      <c r="D9" s="164">
        <f>D14*D16*(D8/D7)/10</f>
        <v>31.154770305343511</v>
      </c>
      <c r="F9" s="60" t="s">
        <v>104</v>
      </c>
      <c r="G9" s="154" t="s">
        <v>105</v>
      </c>
      <c r="H9" s="137"/>
    </row>
    <row r="10" spans="1:10" ht="15" customHeight="1" x14ac:dyDescent="0.25">
      <c r="A10" s="197" t="s">
        <v>147</v>
      </c>
      <c r="B10" s="170"/>
      <c r="C10" t="s">
        <v>103</v>
      </c>
      <c r="D10" s="164">
        <v>0</v>
      </c>
      <c r="F10" s="60" t="s">
        <v>107</v>
      </c>
      <c r="G10" s="154" t="s">
        <v>105</v>
      </c>
      <c r="H10" s="55"/>
    </row>
    <row r="11" spans="1:10" ht="15" customHeight="1" x14ac:dyDescent="0.25">
      <c r="A11" s="197" t="s">
        <v>108</v>
      </c>
      <c r="B11" s="170"/>
      <c r="C11" t="s">
        <v>103</v>
      </c>
      <c r="D11" s="164">
        <f>D18/10*D23</f>
        <v>0.41129770992366399</v>
      </c>
      <c r="F11" s="60" t="s">
        <v>109</v>
      </c>
      <c r="G11" s="154" t="s">
        <v>105</v>
      </c>
      <c r="H11" s="239"/>
    </row>
    <row r="12" spans="1:10" ht="15" customHeight="1" x14ac:dyDescent="0.25">
      <c r="A12" s="197" t="s">
        <v>106</v>
      </c>
      <c r="B12" s="170"/>
      <c r="C12" t="s">
        <v>103</v>
      </c>
      <c r="D12" s="164">
        <f>D19*D16*100/1000*D26</f>
        <v>24.808987256679387</v>
      </c>
      <c r="F12" s="60" t="s">
        <v>110</v>
      </c>
      <c r="G12" s="154" t="s">
        <v>105</v>
      </c>
      <c r="H12" s="239"/>
    </row>
    <row r="13" spans="1:10" ht="15" customHeight="1" x14ac:dyDescent="0.25">
      <c r="A13" s="197"/>
      <c r="B13" s="170"/>
      <c r="D13" s="164"/>
      <c r="F13" s="61" t="s">
        <v>28</v>
      </c>
      <c r="G13" s="154" t="s">
        <v>105</v>
      </c>
      <c r="H13" s="137">
        <f>(H9+H10+H11+H8)*(((1+($D$5))*((1+$D$5)^($D$4)-1))/($D$5*$D$4))-(H9+H10+H11+H8)</f>
        <v>1290.7145229408197</v>
      </c>
    </row>
    <row r="14" spans="1:10" ht="15" customHeight="1" x14ac:dyDescent="0.25">
      <c r="A14" s="197" t="s">
        <v>148</v>
      </c>
      <c r="B14" s="170"/>
      <c r="C14" t="s">
        <v>112</v>
      </c>
      <c r="D14" s="160">
        <v>24</v>
      </c>
      <c r="F14" s="53" t="s">
        <v>31</v>
      </c>
      <c r="G14" s="154" t="s">
        <v>105</v>
      </c>
      <c r="H14" s="240">
        <f>SUM(H8:H13)</f>
        <v>15350.785578940819</v>
      </c>
    </row>
    <row r="15" spans="1:10" ht="15" customHeight="1" x14ac:dyDescent="0.25">
      <c r="A15" s="197" t="s">
        <v>113</v>
      </c>
      <c r="B15" s="170"/>
      <c r="C15" s="5" t="s">
        <v>114</v>
      </c>
      <c r="D15" s="165">
        <v>10.3912</v>
      </c>
      <c r="F15" s="13" t="s">
        <v>92</v>
      </c>
      <c r="G15" s="155" t="s">
        <v>117</v>
      </c>
      <c r="H15" s="59">
        <v>291.57707199999993</v>
      </c>
    </row>
    <row r="16" spans="1:10" ht="15" customHeight="1" x14ac:dyDescent="0.25">
      <c r="A16" s="197" t="s">
        <v>115</v>
      </c>
      <c r="B16" s="170"/>
      <c r="C16" t="s">
        <v>116</v>
      </c>
      <c r="D16" s="163">
        <v>11.717700000000001</v>
      </c>
      <c r="F16" s="53" t="s">
        <v>120</v>
      </c>
      <c r="G16" s="154"/>
      <c r="H16" s="55"/>
    </row>
    <row r="17" spans="1:49" ht="15" customHeight="1" x14ac:dyDescent="0.25">
      <c r="A17" s="197" t="s">
        <v>149</v>
      </c>
      <c r="B17" s="170"/>
      <c r="C17" t="s">
        <v>150</v>
      </c>
      <c r="D17" s="160">
        <v>0</v>
      </c>
      <c r="F17" s="61" t="s">
        <v>123</v>
      </c>
      <c r="G17" s="154" t="s">
        <v>124</v>
      </c>
      <c r="H17" s="241">
        <f>1/H6</f>
        <v>1.7543859649122808</v>
      </c>
    </row>
    <row r="18" spans="1:49" ht="15" customHeight="1" x14ac:dyDescent="0.25">
      <c r="A18" s="197" t="s">
        <v>138</v>
      </c>
      <c r="B18" s="170"/>
      <c r="C18" t="s">
        <v>139</v>
      </c>
      <c r="D18" s="160">
        <v>26.94</v>
      </c>
      <c r="F18" s="61" t="s">
        <v>126</v>
      </c>
      <c r="G18" s="237" t="s">
        <v>103</v>
      </c>
      <c r="H18" s="242">
        <f>$D$9</f>
        <v>31.154770305343511</v>
      </c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</row>
    <row r="19" spans="1:49" ht="15" customHeight="1" x14ac:dyDescent="0.25">
      <c r="A19" s="197" t="s">
        <v>118</v>
      </c>
      <c r="B19" s="170"/>
      <c r="C19" t="s">
        <v>119</v>
      </c>
      <c r="D19" s="160">
        <v>111.5</v>
      </c>
      <c r="F19" s="61" t="s">
        <v>147</v>
      </c>
      <c r="G19" s="237" t="s">
        <v>103</v>
      </c>
      <c r="H19" s="243">
        <f>$D$10</f>
        <v>0</v>
      </c>
    </row>
    <row r="20" spans="1:49" ht="15" customHeight="1" x14ac:dyDescent="0.25">
      <c r="A20" s="193"/>
      <c r="B20" s="1"/>
      <c r="D20" s="166"/>
      <c r="F20" s="61" t="s">
        <v>108</v>
      </c>
      <c r="G20" s="237" t="s">
        <v>103</v>
      </c>
      <c r="H20" s="243">
        <f>$D$11</f>
        <v>0.41129770992366399</v>
      </c>
    </row>
    <row r="21" spans="1:49" ht="15" customHeight="1" x14ac:dyDescent="0.25">
      <c r="A21" s="197" t="s">
        <v>129</v>
      </c>
      <c r="B21" s="170"/>
      <c r="C21" t="s">
        <v>151</v>
      </c>
      <c r="D21" s="159">
        <v>16</v>
      </c>
      <c r="F21" s="61" t="s">
        <v>106</v>
      </c>
      <c r="G21" s="237" t="s">
        <v>103</v>
      </c>
      <c r="H21" s="243">
        <f>$D$12</f>
        <v>24.808987256679387</v>
      </c>
    </row>
    <row r="22" spans="1:49" ht="15" customHeight="1" x14ac:dyDescent="0.25">
      <c r="A22" s="197" t="s">
        <v>133</v>
      </c>
      <c r="B22" s="170"/>
      <c r="C22" t="s">
        <v>134</v>
      </c>
      <c r="D22" s="159">
        <v>0.9</v>
      </c>
      <c r="F22" s="53" t="s">
        <v>131</v>
      </c>
      <c r="G22" s="238" t="s">
        <v>132</v>
      </c>
      <c r="H22" s="244">
        <f>SUM(H18:H21)*H17</f>
        <v>98.903605740257134</v>
      </c>
    </row>
    <row r="23" spans="1:49" ht="15" customHeight="1" x14ac:dyDescent="0.25">
      <c r="A23" s="197" t="s">
        <v>136</v>
      </c>
      <c r="B23" s="170"/>
      <c r="C23" t="s">
        <v>137</v>
      </c>
      <c r="D23" s="164">
        <f>D21*(1-D22)/D7</f>
        <v>0.15267175572519079</v>
      </c>
      <c r="F23" s="99" t="s">
        <v>135</v>
      </c>
      <c r="G23" s="144" t="s">
        <v>132</v>
      </c>
      <c r="H23" s="145">
        <v>3.4083135999999996</v>
      </c>
    </row>
    <row r="24" spans="1:49" ht="15" customHeight="1" x14ac:dyDescent="0.25">
      <c r="A24" s="193"/>
      <c r="B24" s="1"/>
      <c r="D24" s="166"/>
      <c r="F24" s="146" t="s">
        <v>59</v>
      </c>
      <c r="G24" s="147" t="s">
        <v>132</v>
      </c>
      <c r="H24" s="259">
        <f>SUM(H27:H31)/H32</f>
        <v>132.93949914214795</v>
      </c>
    </row>
    <row r="25" spans="1:49" ht="15" customHeight="1" x14ac:dyDescent="0.25">
      <c r="A25" s="197" t="s">
        <v>152</v>
      </c>
      <c r="B25" s="170"/>
      <c r="C25" t="s">
        <v>153</v>
      </c>
      <c r="D25" s="159">
        <v>1.99</v>
      </c>
      <c r="F25" s="122"/>
      <c r="G25" s="123"/>
      <c r="H25" s="124"/>
    </row>
    <row r="26" spans="1:49" ht="15" customHeight="1" x14ac:dyDescent="0.25">
      <c r="A26" s="197" t="s">
        <v>152</v>
      </c>
      <c r="B26" s="170"/>
      <c r="C26" t="s">
        <v>154</v>
      </c>
      <c r="D26" s="164">
        <f>D25/D7</f>
        <v>0.1898854961832061</v>
      </c>
      <c r="F26" s="69" t="s">
        <v>37</v>
      </c>
      <c r="G26" s="79"/>
      <c r="H26" s="80"/>
    </row>
    <row r="27" spans="1:49" ht="15" customHeight="1" x14ac:dyDescent="0.25">
      <c r="A27" s="193"/>
      <c r="D27" s="166"/>
      <c r="F27" s="73" t="str">
        <f>F8</f>
        <v>Investeringskostnader</v>
      </c>
      <c r="G27" s="74" t="s">
        <v>38</v>
      </c>
      <c r="H27" s="221">
        <f>H14*100*1000*H4</f>
        <v>690785351052.33679</v>
      </c>
    </row>
    <row r="28" spans="1:49" ht="15" customHeight="1" x14ac:dyDescent="0.25">
      <c r="A28" s="193" t="s">
        <v>44</v>
      </c>
      <c r="B28" t="s">
        <v>9</v>
      </c>
      <c r="C28" t="s">
        <v>95</v>
      </c>
      <c r="D28" s="159">
        <v>450</v>
      </c>
      <c r="F28" s="73" t="str">
        <f>F15</f>
        <v>Faste driftskostnader</v>
      </c>
      <c r="G28" s="74" t="s">
        <v>38</v>
      </c>
      <c r="H28" s="221">
        <f>-PV($D$5,$D$3,H15*100*1000*H4)</f>
        <v>167730010153.2482</v>
      </c>
    </row>
    <row r="29" spans="1:49" ht="15" customHeight="1" x14ac:dyDescent="0.25">
      <c r="A29" s="194" t="s">
        <v>54</v>
      </c>
      <c r="B29" s="171" t="s">
        <v>27</v>
      </c>
      <c r="C29" s="171" t="s">
        <v>27</v>
      </c>
      <c r="D29" s="167">
        <v>5080.8</v>
      </c>
      <c r="F29" s="73" t="str">
        <f>F23</f>
        <v>Variable kostnader eks brensel</v>
      </c>
      <c r="G29" s="74" t="s">
        <v>38</v>
      </c>
      <c r="H29" s="221">
        <f>-PV($D$5,$D$3,H23*1000*H4*H5)</f>
        <v>99615988764.223999</v>
      </c>
      <c r="I29" s="151"/>
      <c r="J29" s="151"/>
    </row>
    <row r="30" spans="1:49" ht="15" customHeight="1" x14ac:dyDescent="0.25">
      <c r="F30" s="73" t="s">
        <v>140</v>
      </c>
      <c r="G30" s="74" t="s">
        <v>38</v>
      </c>
      <c r="H30" s="221">
        <f>-PV($D$5,$D$3,H4*H18*H17*1000*H5)</f>
        <v>1597493870698.8223</v>
      </c>
    </row>
    <row r="31" spans="1:49" ht="15" customHeight="1" x14ac:dyDescent="0.25">
      <c r="A31" s="192" t="s">
        <v>33</v>
      </c>
      <c r="B31" s="172"/>
      <c r="C31" s="168"/>
      <c r="D31" s="229">
        <v>46309</v>
      </c>
      <c r="F31" s="45" t="s">
        <v>141</v>
      </c>
      <c r="G31" s="74" t="s">
        <v>38</v>
      </c>
      <c r="H31" s="221">
        <f>-PV($D$5,$D$3,H4*(H19+H20+H21)*H17*1000*H5)</f>
        <v>1293196844546.0125</v>
      </c>
      <c r="J31" s="152"/>
    </row>
    <row r="32" spans="1:49" ht="15" customHeight="1" x14ac:dyDescent="0.25">
      <c r="F32" s="149" t="s">
        <v>39</v>
      </c>
      <c r="G32" s="75" t="s">
        <v>40</v>
      </c>
      <c r="H32" s="222">
        <f>-PV($D$5+$D$6,$D$3,H4*H5*1000)</f>
        <v>28951681705.218559</v>
      </c>
      <c r="I32" s="152"/>
    </row>
    <row r="33" spans="9:11" ht="15" customHeight="1" x14ac:dyDescent="0.25">
      <c r="J33" s="46"/>
      <c r="K33" s="151"/>
    </row>
    <row r="34" spans="9:11" ht="15" customHeight="1" x14ac:dyDescent="0.25">
      <c r="I34" s="151"/>
    </row>
  </sheetData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0A883-B436-488F-AB18-7A0AA4D2ED8E}">
  <dimension ref="A1:J28"/>
  <sheetViews>
    <sheetView zoomScaleNormal="100" workbookViewId="0">
      <selection activeCell="C14" sqref="C14"/>
    </sheetView>
  </sheetViews>
  <sheetFormatPr defaultColWidth="11.42578125" defaultRowHeight="15" customHeight="1" x14ac:dyDescent="0.25"/>
  <cols>
    <col min="1" max="1" width="37.85546875" customWidth="1"/>
    <col min="2" max="2" width="10.5703125" bestFit="1" customWidth="1"/>
    <col min="3" max="3" width="12.140625" bestFit="1" customWidth="1"/>
    <col min="5" max="5" width="42.85546875" bestFit="1" customWidth="1"/>
    <col min="6" max="6" width="10.5703125" bestFit="1" customWidth="1"/>
    <col min="7" max="7" width="20" bestFit="1" customWidth="1"/>
  </cols>
  <sheetData>
    <row r="1" spans="1:10" ht="15" customHeight="1" thickBot="1" x14ac:dyDescent="0.3"/>
    <row r="2" spans="1:10" ht="15" customHeight="1" x14ac:dyDescent="0.25">
      <c r="A2" s="201"/>
      <c r="B2" s="202" t="s">
        <v>0</v>
      </c>
      <c r="C2" s="203"/>
      <c r="E2" s="2" t="s">
        <v>155</v>
      </c>
      <c r="F2" s="3"/>
      <c r="G2" s="4"/>
    </row>
    <row r="3" spans="1:10" ht="15" customHeight="1" x14ac:dyDescent="0.25">
      <c r="A3" s="193" t="s">
        <v>2</v>
      </c>
      <c r="B3" t="s">
        <v>3</v>
      </c>
      <c r="C3" s="159">
        <v>40</v>
      </c>
      <c r="E3" s="8"/>
      <c r="F3" s="7" t="s">
        <v>0</v>
      </c>
      <c r="G3" s="94"/>
    </row>
    <row r="4" spans="1:10" ht="15" customHeight="1" x14ac:dyDescent="0.35">
      <c r="A4" s="190" t="s">
        <v>10</v>
      </c>
      <c r="B4" t="s">
        <v>3</v>
      </c>
      <c r="C4" s="159">
        <v>10</v>
      </c>
      <c r="E4" s="8" t="s">
        <v>8</v>
      </c>
      <c r="F4" s="9" t="s">
        <v>156</v>
      </c>
      <c r="G4" s="98">
        <f>C11</f>
        <v>1600</v>
      </c>
    </row>
    <row r="5" spans="1:10" ht="15" customHeight="1" x14ac:dyDescent="0.25">
      <c r="A5" s="193" t="s">
        <v>157</v>
      </c>
      <c r="B5" s="5" t="s">
        <v>3</v>
      </c>
      <c r="C5" s="160">
        <v>60</v>
      </c>
      <c r="E5" s="13" t="s">
        <v>11</v>
      </c>
      <c r="F5" s="14" t="s">
        <v>12</v>
      </c>
      <c r="G5" s="117">
        <f>C12</f>
        <v>7884</v>
      </c>
    </row>
    <row r="6" spans="1:10" ht="15" customHeight="1" x14ac:dyDescent="0.25">
      <c r="A6" s="190" t="s">
        <v>6</v>
      </c>
      <c r="B6" s="5" t="s">
        <v>7</v>
      </c>
      <c r="C6" s="161">
        <v>0.06</v>
      </c>
      <c r="E6" s="13" t="s">
        <v>158</v>
      </c>
      <c r="F6" s="14" t="s">
        <v>97</v>
      </c>
      <c r="G6" s="153">
        <v>0.33</v>
      </c>
    </row>
    <row r="7" spans="1:10" ht="15" customHeight="1" x14ac:dyDescent="0.25">
      <c r="A7" s="190" t="s">
        <v>45</v>
      </c>
      <c r="B7" s="5" t="s">
        <v>46</v>
      </c>
      <c r="C7" s="161">
        <v>1E-3</v>
      </c>
      <c r="E7" s="53" t="s">
        <v>18</v>
      </c>
      <c r="F7" s="134"/>
      <c r="G7" s="251">
        <v>126874.7</v>
      </c>
      <c r="J7" s="265"/>
    </row>
    <row r="8" spans="1:10" ht="15" customHeight="1" x14ac:dyDescent="0.35">
      <c r="A8" s="197"/>
      <c r="B8" s="5"/>
      <c r="C8" s="164"/>
      <c r="E8" s="60" t="s">
        <v>104</v>
      </c>
      <c r="F8" s="11" t="s">
        <v>159</v>
      </c>
      <c r="G8" s="107"/>
    </row>
    <row r="9" spans="1:10" ht="15" customHeight="1" x14ac:dyDescent="0.35">
      <c r="A9" s="198" t="s">
        <v>160</v>
      </c>
      <c r="B9" s="5" t="s">
        <v>114</v>
      </c>
      <c r="C9" s="165">
        <v>10.39</v>
      </c>
      <c r="E9" s="60" t="s">
        <v>107</v>
      </c>
      <c r="F9" s="11" t="s">
        <v>159</v>
      </c>
      <c r="G9" s="107"/>
    </row>
    <row r="10" spans="1:10" ht="15" customHeight="1" x14ac:dyDescent="0.35">
      <c r="A10" s="200"/>
      <c r="B10" s="5" t="s">
        <v>161</v>
      </c>
      <c r="C10" s="159">
        <v>11.72</v>
      </c>
      <c r="E10" s="60" t="s">
        <v>109</v>
      </c>
      <c r="F10" s="11" t="s">
        <v>159</v>
      </c>
      <c r="G10" s="107"/>
    </row>
    <row r="11" spans="1:10" ht="15" customHeight="1" x14ac:dyDescent="0.35">
      <c r="A11" s="193" t="s">
        <v>44</v>
      </c>
      <c r="B11" s="5" t="s">
        <v>95</v>
      </c>
      <c r="C11" s="159">
        <v>1600</v>
      </c>
      <c r="E11" s="60" t="s">
        <v>110</v>
      </c>
      <c r="F11" s="11" t="s">
        <v>159</v>
      </c>
      <c r="G11" s="107"/>
    </row>
    <row r="12" spans="1:10" ht="15" customHeight="1" x14ac:dyDescent="0.35">
      <c r="A12" s="194" t="s">
        <v>54</v>
      </c>
      <c r="B12" s="38" t="s">
        <v>27</v>
      </c>
      <c r="C12" s="167">
        <v>7884</v>
      </c>
      <c r="E12" s="61" t="s">
        <v>28</v>
      </c>
      <c r="F12" s="11" t="s">
        <v>159</v>
      </c>
      <c r="G12" s="107">
        <f>SUM(G7:G11)*(((1+(C6))*((1+C6)^(C4)-1))/(C6*C4))-SUM(G7:G11)</f>
        <v>50390.09683206609</v>
      </c>
    </row>
    <row r="13" spans="1:10" ht="15" customHeight="1" x14ac:dyDescent="0.35">
      <c r="E13" s="10" t="s">
        <v>31</v>
      </c>
      <c r="F13" s="142" t="s">
        <v>159</v>
      </c>
      <c r="G13" s="138">
        <f>SUM(G7:G12)</f>
        <v>177264.79683206609</v>
      </c>
      <c r="J13" s="151"/>
    </row>
    <row r="14" spans="1:10" ht="15" customHeight="1" x14ac:dyDescent="0.35">
      <c r="A14" s="192" t="s">
        <v>33</v>
      </c>
      <c r="B14" s="168"/>
      <c r="C14" s="229">
        <v>46309</v>
      </c>
      <c r="E14" s="13" t="s">
        <v>92</v>
      </c>
      <c r="F14" s="14" t="s">
        <v>162</v>
      </c>
      <c r="G14" s="59">
        <v>1846.23</v>
      </c>
    </row>
    <row r="15" spans="1:10" ht="15" customHeight="1" x14ac:dyDescent="0.25">
      <c r="E15" s="61" t="s">
        <v>126</v>
      </c>
      <c r="F15" s="11" t="s">
        <v>132</v>
      </c>
      <c r="G15" s="156">
        <v>7.5</v>
      </c>
    </row>
    <row r="16" spans="1:10" ht="15" customHeight="1" x14ac:dyDescent="0.25">
      <c r="E16" s="99" t="s">
        <v>163</v>
      </c>
      <c r="F16" s="14" t="s">
        <v>20</v>
      </c>
      <c r="G16" s="157">
        <v>6</v>
      </c>
    </row>
    <row r="17" spans="5:7" ht="15" customHeight="1" x14ac:dyDescent="0.25">
      <c r="E17" s="13" t="s">
        <v>164</v>
      </c>
      <c r="F17" s="14" t="s">
        <v>20</v>
      </c>
      <c r="G17" s="145">
        <v>5.1753252816351818</v>
      </c>
    </row>
    <row r="18" spans="5:7" ht="15" customHeight="1" x14ac:dyDescent="0.25">
      <c r="E18" s="17" t="s">
        <v>59</v>
      </c>
      <c r="F18" s="18" t="s">
        <v>20</v>
      </c>
      <c r="G18" s="260">
        <f>SUM(G21:G25)/G26</f>
        <v>193.94463767111151</v>
      </c>
    </row>
    <row r="20" spans="5:7" ht="15" customHeight="1" x14ac:dyDescent="0.25">
      <c r="E20" s="19" t="s">
        <v>37</v>
      </c>
      <c r="F20" s="79"/>
      <c r="G20" s="80"/>
    </row>
    <row r="21" spans="5:7" ht="15" customHeight="1" x14ac:dyDescent="0.25">
      <c r="E21" s="45" t="s">
        <v>18</v>
      </c>
      <c r="F21" t="s">
        <v>38</v>
      </c>
      <c r="G21" s="148">
        <f>G13*100*1000*G4</f>
        <v>28362367493130.578</v>
      </c>
    </row>
    <row r="22" spans="5:7" ht="15" customHeight="1" x14ac:dyDescent="0.25">
      <c r="E22" s="45" t="s">
        <v>92</v>
      </c>
      <c r="F22" t="s">
        <v>38</v>
      </c>
      <c r="G22" s="148">
        <f>-PV($C$6,$C$3,G14*100*1000*G4)</f>
        <v>4444627947698.4688</v>
      </c>
    </row>
    <row r="23" spans="5:7" ht="15" customHeight="1" x14ac:dyDescent="0.25">
      <c r="E23" s="45" t="s">
        <v>164</v>
      </c>
      <c r="F23" t="s">
        <v>38</v>
      </c>
      <c r="G23" s="148">
        <f>-PV($C$6,$C$3,G17*1000*G4*G5)</f>
        <v>982276776007.36548</v>
      </c>
    </row>
    <row r="24" spans="5:7" ht="15" customHeight="1" x14ac:dyDescent="0.25">
      <c r="E24" s="45" t="s">
        <v>126</v>
      </c>
      <c r="F24" t="s">
        <v>38</v>
      </c>
      <c r="G24" s="148">
        <f>-PV($C$6,$C$3,G15*1000*G4*G5)</f>
        <v>1423500054421.2285</v>
      </c>
    </row>
    <row r="25" spans="5:7" ht="15" customHeight="1" x14ac:dyDescent="0.25">
      <c r="E25" s="45" t="s">
        <v>163</v>
      </c>
      <c r="F25" t="s">
        <v>38</v>
      </c>
      <c r="G25" s="148">
        <f>-PV($C$6,$C$3,G16*1000*G4*G5)</f>
        <v>1138800043536.9829</v>
      </c>
    </row>
    <row r="26" spans="5:7" ht="15" customHeight="1" x14ac:dyDescent="0.25">
      <c r="E26" s="81" t="s">
        <v>39</v>
      </c>
      <c r="F26" s="82" t="s">
        <v>40</v>
      </c>
      <c r="G26" s="150">
        <f>-PV($C$6+C7,$C$3,G5*G4*1000)</f>
        <v>187432726943.65024</v>
      </c>
    </row>
    <row r="28" spans="5:7" ht="15" customHeight="1" x14ac:dyDescent="0.25">
      <c r="G28" s="15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64152832-9f03-4628-8f8a-984f7e09cd82" ContentTypeId="0x010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25d7cef-b4e1-4646-acb4-f79d6f029472">
      <UserInfo>
        <DisplayName>PROSJ-SVANE - Stortingsmelding om VerdiskAping fra Norske Energiressurser-medlemmer</DisplayName>
        <AccountId>8</AccountId>
        <AccountType/>
      </UserInfo>
    </SharedWithUsers>
    <_x0050_360 xmlns="6ef98f70-ebdb-4d8c-ae0e-5bc74a510774">
      <Url xsi:nil="true"/>
      <Description xsi:nil="true"/>
    </_x0050_360>
    <Stikkord xmlns="6ef98f70-ebdb-4d8c-ae0e-5bc74a510774">
      <Value>Presentasjon</Value>
    </Stikkord>
    <_Flow_SignoffStatus xmlns="6ef98f70-ebdb-4d8c-ae0e-5bc74a510774" xsi:nil="true"/>
    <Person xmlns="6ef98f70-ebdb-4d8c-ae0e-5bc74a510774">
      <UserInfo>
        <DisplayName/>
        <AccountId xsi:nil="true"/>
        <AccountType/>
      </UserInfo>
    </Person>
    <Typekontaktperson2 xmlns="6ef98f70-ebdb-4d8c-ae0e-5bc74a510774" xsi:nil="true"/>
    <TaxCatchAll xmlns="08670d86-fc33-4f61-bf51-96e019343c8b" xsi:nil="true"/>
    <g98ade60b1a5493f9b7127fdb0eec544 xmlns="08670d86-fc33-4f61-bf51-96e019343c8b">
      <Terms xmlns="http://schemas.microsoft.com/office/infopath/2007/PartnerControls"/>
    </g98ade60b1a5493f9b7127fdb0eec544>
    <n3e020d9d98c48dbb65f924b9bc22a2a xmlns="08670d86-fc33-4f61-bf51-96e019343c8b">
      <Terms xmlns="http://schemas.microsoft.com/office/infopath/2007/PartnerControls"/>
    </n3e020d9d98c48dbb65f924b9bc22a2a>
    <lcf76f155ced4ddcb4097134ff3c332f xmlns="6ef98f70-ebdb-4d8c-ae0e-5bc74a510774">
      <Terms xmlns="http://schemas.microsoft.com/office/infopath/2007/PartnerControls"/>
    </lcf76f155ced4ddcb4097134ff3c332f>
    <Godkjent_x0020_av_x0020_seksjonsleder xmlns="6ef98f70-ebdb-4d8c-ae0e-5bc74a510774">Ikke behov</Godkjent_x0020_av_x0020_seksjonsleder>
    <Uke xmlns="6ef98f70-ebdb-4d8c-ae0e-5bc74a510774" xsi:nil="true"/>
    <Type xmlns="6ef98f70-ebdb-4d8c-ae0e-5bc74a510774" xsi:nil="true"/>
    <Internt_x002f_eksternt xmlns="6ef98f70-ebdb-4d8c-ae0e-5bc74a510774" xsi:nil="true"/>
    <Typekontaktperson xmlns="6ef98f70-ebdb-4d8c-ae0e-5bc74a51077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d-dokument" ma:contentTypeID="0x010100B97DBDE7D2D50A479E6FD94AD3A32CE2" ma:contentTypeVersion="34" ma:contentTypeDescription="Opprett et nytt dokument." ma:contentTypeScope="" ma:versionID="8f1137f39ba97e182f27690ce2887eb1">
  <xsd:schema xmlns:xsd="http://www.w3.org/2001/XMLSchema" xmlns:xs="http://www.w3.org/2001/XMLSchema" xmlns:p="http://schemas.microsoft.com/office/2006/metadata/properties" xmlns:ns2="08670d86-fc33-4f61-bf51-96e019343c8b" xmlns:ns3="6ef98f70-ebdb-4d8c-ae0e-5bc74a510774" xmlns:ns4="b25d7cef-b4e1-4646-acb4-f79d6f029472" targetNamespace="http://schemas.microsoft.com/office/2006/metadata/properties" ma:root="true" ma:fieldsID="77c02d849c1f9a10d09d0549f6416605" ns2:_="" ns3:_="" ns4:_="">
    <xsd:import namespace="08670d86-fc33-4f61-bf51-96e019343c8b"/>
    <xsd:import namespace="6ef98f70-ebdb-4d8c-ae0e-5bc74a510774"/>
    <xsd:import namespace="b25d7cef-b4e1-4646-acb4-f79d6f02947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n3e020d9d98c48dbb65f924b9bc22a2a" minOccurs="0"/>
                <xsd:element ref="ns2:g98ade60b1a5493f9b7127fdb0eec544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Person" minOccurs="0"/>
                <xsd:element ref="ns3:Typekontaktperson2" minOccurs="0"/>
                <xsd:element ref="ns3:Godkjent_x0020_av_x0020_seksjonsleder" minOccurs="0"/>
                <xsd:element ref="ns3:_Flow_SignoffStatus" minOccurs="0"/>
                <xsd:element ref="ns3:Uke" minOccurs="0"/>
                <xsd:element ref="ns3:Type" minOccurs="0"/>
                <xsd:element ref="ns3:Internt_x002f_eksternt" minOccurs="0"/>
                <xsd:element ref="ns3:Typekontaktperson" minOccurs="0"/>
                <xsd:element ref="ns3:_x0050_360" minOccurs="0"/>
                <xsd:element ref="ns3:lcf76f155ced4ddcb4097134ff3c332f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Stikkord" minOccurs="0"/>
                <xsd:element ref="ns3:MediaServiceAutoTag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70d86-fc33-4f61-bf51-96e019343c8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8f61711-8435-427f-aeea-a25a99399fa6}" ma:internalName="TaxCatchAll" ma:showField="CatchAllData" ma:web="b25d7cef-b4e1-4646-acb4-f79d6f029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c8f61711-8435-427f-aeea-a25a99399fa6}" ma:internalName="TaxCatchAllLabel" ma:readOnly="true" ma:showField="CatchAllDataLabel" ma:web="b25d7cef-b4e1-4646-acb4-f79d6f029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e020d9d98c48dbb65f924b9bc22a2a" ma:index="10" nillable="true" ma:taxonomy="true" ma:internalName="n3e020d9d98c48dbb65f924b9bc22a2a" ma:taxonomyFieldName="NVE_Tema" ma:displayName="NVE tema" ma:default="" ma:fieldId="{73e020d9-d98c-48db-b65f-924b9bc22a2a}" ma:taxonomyMulti="true" ma:sspId="64152832-9f03-4628-8f8a-984f7e09cd82" ma:termSetId="8e6ad744-58b5-4dbb-88a2-80de7c4ff1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8ade60b1a5493f9b7127fdb0eec544" ma:index="12" nillable="true" ma:taxonomy="true" ma:internalName="g98ade60b1a5493f9b7127fdb0eec544" ma:taxonomyFieldName="NVE_Dokumenttype" ma:displayName="Dokumenttype" ma:default="" ma:fieldId="{098ade60-b1a5-493f-9b71-27fdb0eec544}" ma:sspId="64152832-9f03-4628-8f8a-984f7e09cd82" ma:termSetId="7a928a34-8131-48a8-82d2-76c63c72cab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98f70-ebdb-4d8c-ae0e-5bc74a510774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Person" ma:index="22" nillable="true" ma:displayName="Personer involvert" ma:format="Dropdown" ma:list="UserInfo" ma:SharePointGroup="0" ma:internalName="Perso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ypekontaktperson2" ma:index="23" nillable="true" ma:displayName="Type kontaktperson 2" ma:format="Dropdown" ma:internalName="Typekontaktperson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tatnett"/>
                        <xsd:enumeration value="OED"/>
                        <xsd:enumeration value="DSB"/>
                        <xsd:enumeration value="NRK"/>
                        <xsd:enumeration value="Europower"/>
                        <xsd:enumeration value="EnergiTeknikk"/>
                        <xsd:enumeration value="Montel"/>
                        <xsd:enumeration value="Teknisk Ukeblad"/>
                        <xsd:enumeration value="Faktisk.no"/>
                        <xsd:enumeration value="Privatperson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Godkjent_x0020_av_x0020_seksjonsleder" ma:index="24" nillable="true" ma:displayName="Godkjent av seksjonsleder" ma:default="Ikke behov" ma:format="Dropdown" ma:internalName="Godkjent_x0020_av_x0020_seksjonsleder">
      <xsd:simpleType>
        <xsd:restriction base="dms:Choice">
          <xsd:enumeration value="Ja"/>
          <xsd:enumeration value="Nei"/>
          <xsd:enumeration value="Ikke behov"/>
        </xsd:restriction>
      </xsd:simpleType>
    </xsd:element>
    <xsd:element name="_Flow_SignoffStatus" ma:index="25" nillable="true" ma:displayName="Godkjenningsstatus" ma:internalName="Godkjenningsstatus">
      <xsd:simpleType>
        <xsd:restriction base="dms:Text"/>
      </xsd:simpleType>
    </xsd:element>
    <xsd:element name="Uke" ma:index="26" nillable="true" ma:displayName="Uke" ma:format="Dropdown" ma:internalName="Uke" ma:percentage="FALSE">
      <xsd:simpleType>
        <xsd:restriction base="dms:Number"/>
      </xsd:simpleType>
    </xsd:element>
    <xsd:element name="Type" ma:index="27" nillable="true" ma:displayName="Type " ma:format="Dropdown" ma:internalName="Type">
      <xsd:simpleType>
        <xsd:union memberTypes="dms:Text">
          <xsd:simpleType>
            <xsd:restriction base="dms:Choice">
              <xsd:enumeration value="Kurs"/>
              <xsd:enumeration value="Valg 2"/>
              <xsd:enumeration value="Valg 3"/>
            </xsd:restriction>
          </xsd:simpleType>
        </xsd:union>
      </xsd:simpleType>
    </xsd:element>
    <xsd:element name="Internt_x002f_eksternt" ma:index="28" nillable="true" ma:displayName="Internt/eksternt" ma:format="Dropdown" ma:internalName="Internt_x002f_eksternt">
      <xsd:simpleType>
        <xsd:restriction base="dms:Choice">
          <xsd:enumeration value="Internt"/>
          <xsd:enumeration value="Eksternt"/>
        </xsd:restriction>
      </xsd:simpleType>
    </xsd:element>
    <xsd:element name="Typekontaktperson" ma:index="29" nillable="true" ma:displayName="Type kontaktperson" ma:format="Dropdown" ma:internalName="Typekontaktperson">
      <xsd:simpleType>
        <xsd:union memberTypes="dms:Text">
          <xsd:simpleType>
            <xsd:restriction base="dms:Choice">
              <xsd:enumeration value="Media"/>
              <xsd:enumeration value="Myndighet"/>
              <xsd:enumeration value="Privatperson"/>
              <xsd:enumeration value="Privat selskap"/>
            </xsd:restriction>
          </xsd:simpleType>
        </xsd:union>
      </xsd:simpleType>
    </xsd:element>
    <xsd:element name="_x0050_360" ma:index="30" nillable="true" ma:displayName="P360" ma:format="Hyperlink" ma:internalName="_x0050_360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32" nillable="true" ma:taxonomy="true" ma:internalName="lcf76f155ced4ddcb4097134ff3c332f" ma:taxonomyFieldName="MediaServiceImageTags" ma:displayName="Bildemerkelapper" ma:readOnly="false" ma:fieldId="{5cf76f15-5ced-4ddc-b409-7134ff3c332f}" ma:taxonomyMulti="true" ma:sspId="64152832-9f03-4628-8f8a-984f7e09cd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4" nillable="true" ma:displayName="MediaServiceFastMetadata" ma:hidden="true" ma:internalName="MediaServiceFastMetadata" ma:readOnly="true">
      <xsd:simpleType>
        <xsd:restriction base="dms:Note"/>
      </xsd:simpleType>
    </xsd:element>
    <xsd:element name="Stikkord" ma:index="37" nillable="true" ma:displayName="Stikkord" ma:default="Presentasjon" ma:format="Dropdown" ma:internalName="Stikkor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Markedsdesign"/>
                        <xsd:enumeration value="Forbrukerfleksibilitet"/>
                        <xsd:enumeration value="Anleggsbidrag"/>
                        <xsd:enumeration value="Tariffer"/>
                        <xsd:enumeration value="Kraftmarkedsanalyse"/>
                        <xsd:enumeration value="Samfunnsøkonomi - metode"/>
                        <xsd:enumeration value="Ikke-prissatte virkninger"/>
                        <xsd:enumeration value="Modell - metode"/>
                        <xsd:enumeration value="Prognose"/>
                        <xsd:enumeration value="Presentasjon"/>
                        <xsd:enumeration value="Kraftmarkedet"/>
                        <xsd:enumeration value="Havvin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Tags" ma:index="38" nillable="true" ma:displayName="Tags" ma:internalName="MediaServiceAutoTags" ma:readOnly="true">
      <xsd:simpleType>
        <xsd:restriction base="dms:Text"/>
      </xsd:simpleType>
    </xsd:element>
    <xsd:element name="MediaServiceObjectDetectorVersions" ma:index="3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d7cef-b4e1-4646-acb4-f79d6f029472" elementFormDefault="qualified">
    <xsd:import namespace="http://schemas.microsoft.com/office/2006/documentManagement/types"/>
    <xsd:import namespace="http://schemas.microsoft.com/office/infopath/2007/PartnerControls"/>
    <xsd:element name="SharedWithUsers" ma:index="3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40E8C2-C399-4315-8830-5EF01B73D2B3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C6EEBEA-0FB9-42DD-93BD-0AD52B894649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6ef98f70-ebdb-4d8c-ae0e-5bc74a510774"/>
    <ds:schemaRef ds:uri="http://schemas.microsoft.com/office/infopath/2007/PartnerControls"/>
    <ds:schemaRef ds:uri="b25d7cef-b4e1-4646-acb4-f79d6f029472"/>
    <ds:schemaRef ds:uri="08670d86-fc33-4f61-bf51-96e019343c8b"/>
  </ds:schemaRefs>
</ds:datastoreItem>
</file>

<file path=customXml/itemProps3.xml><?xml version="1.0" encoding="utf-8"?>
<ds:datastoreItem xmlns:ds="http://schemas.openxmlformats.org/officeDocument/2006/customXml" ds:itemID="{EBDD217E-0768-43F3-84EC-1CFF6449EF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2142E1E-E907-4873-84CD-AAF60A000F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670d86-fc33-4f61-bf51-96e019343c8b"/>
    <ds:schemaRef ds:uri="6ef98f70-ebdb-4d8c-ae0e-5bc74a510774"/>
    <ds:schemaRef ds:uri="b25d7cef-b4e1-4646-acb4-f79d6f029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c8d840d-60c9-410b-b4fb-11b86806780c}" enabled="0" method="" siteId="{bc8d840d-60c9-410b-b4fb-11b8680678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Vannkraft</vt:lpstr>
      <vt:lpstr>Landbasert vindkraft</vt:lpstr>
      <vt:lpstr>Havvind</vt:lpstr>
      <vt:lpstr>Solkraft</vt:lpstr>
      <vt:lpstr>Kullkraft</vt:lpstr>
      <vt:lpstr>Gasskraft</vt:lpstr>
      <vt:lpstr>Kjernekraft</vt:lpstr>
    </vt:vector>
  </TitlesOfParts>
  <Manager/>
  <Company>NVE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Olav Karstad Isachsen</dc:creator>
  <cp:keywords/>
  <dc:description/>
  <cp:lastModifiedBy>Amaresh Neguse Eyob</cp:lastModifiedBy>
  <cp:revision/>
  <dcterms:created xsi:type="dcterms:W3CDTF">2016-11-15T12:54:30Z</dcterms:created>
  <dcterms:modified xsi:type="dcterms:W3CDTF">2026-10-19T06:42:18Z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aveCode">
    <vt:r8>3501534461975</vt:r8>
  </property>
  <property fmtid="{D5CDD505-2E9C-101B-9397-08002B2CF9AE}" pid="3" name="ContentTypeId">
    <vt:lpwstr>0x010100B97DBDE7D2D50A479E6FD94AD3A32CE2</vt:lpwstr>
  </property>
  <property fmtid="{D5CDD505-2E9C-101B-9397-08002B2CF9AE}" pid="4" name="NVE_Tema">
    <vt:lpwstr/>
  </property>
  <property fmtid="{D5CDD505-2E9C-101B-9397-08002B2CF9AE}" pid="5" name="MediaServiceImageTags">
    <vt:lpwstr/>
  </property>
  <property fmtid="{D5CDD505-2E9C-101B-9397-08002B2CF9AE}" pid="6" name="NVE_Dokumenttype">
    <vt:lpwstr/>
  </property>
</Properties>
</file>