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/>
  <mc:AlternateContent xmlns:mc="http://schemas.openxmlformats.org/markup-compatibility/2006">
    <mc:Choice Requires="x15">
      <x15ac:absPath xmlns:x15ac="http://schemas.microsoft.com/office/spreadsheetml/2010/11/ac" url="C:\Users\amaey\Documents\"/>
    </mc:Choice>
  </mc:AlternateContent>
  <xr:revisionPtr revIDLastSave="0" documentId="13_ncr:1_{58DDA700-CD3B-4A56-B243-8184A1F82DFC}" xr6:coauthVersionLast="47" xr6:coauthVersionMax="47" xr10:uidLastSave="{00000000-0000-0000-0000-000000000000}"/>
  <bookViews>
    <workbookView xWindow="-110" yWindow="-110" windowWidth="19420" windowHeight="10300" tabRatio="709" activeTab="3" xr2:uid="{00000000-000D-0000-FFFF-FFFF00000000}"/>
  </bookViews>
  <sheets>
    <sheet name="Vannkraft" sheetId="7" r:id="rId1"/>
    <sheet name="Landbasert vindkraft" sheetId="9" r:id="rId2"/>
    <sheet name="Havvind" sheetId="10" r:id="rId3"/>
    <sheet name="Solkraft" sheetId="3" r:id="rId4"/>
    <sheet name="Kullkraft" sheetId="8" r:id="rId5"/>
    <sheet name="Gasskraft" sheetId="5" r:id="rId6"/>
    <sheet name="Kjernekraft" sheetId="6" r:id="rId7"/>
  </sheets>
  <externalReferences>
    <externalReference r:id="rId8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9" l="1"/>
  <c r="H9" i="10"/>
  <c r="G17" i="6"/>
  <c r="C9" i="6"/>
  <c r="G5" i="6"/>
  <c r="G4" i="6"/>
  <c r="H5" i="5"/>
  <c r="H4" i="5"/>
  <c r="C10" i="8"/>
  <c r="G22" i="8"/>
  <c r="G5" i="8"/>
  <c r="G4" i="8"/>
  <c r="G7" i="8"/>
  <c r="G15" i="8"/>
  <c r="G13" i="8"/>
  <c r="G14" i="8" s="1"/>
  <c r="G9" i="8"/>
  <c r="J11" i="3"/>
  <c r="K11" i="3"/>
  <c r="I11" i="3"/>
  <c r="I20" i="3" s="1"/>
  <c r="J4" i="3"/>
  <c r="J20" i="3" s="1"/>
  <c r="J22" i="3" s="1"/>
  <c r="K4" i="3"/>
  <c r="J5" i="3"/>
  <c r="K5" i="3"/>
  <c r="I5" i="3"/>
  <c r="I4" i="3"/>
  <c r="I21" i="3" s="1"/>
  <c r="I5" i="10"/>
  <c r="H5" i="10"/>
  <c r="I4" i="10"/>
  <c r="H4" i="10"/>
  <c r="H4" i="7"/>
  <c r="G4" i="7"/>
  <c r="H5" i="7"/>
  <c r="G5" i="7"/>
  <c r="G6" i="7" s="1"/>
  <c r="H13" i="7"/>
  <c r="G13" i="7"/>
  <c r="H8" i="7"/>
  <c r="G8" i="7"/>
  <c r="G12" i="7"/>
  <c r="K20" i="3"/>
  <c r="K21" i="3"/>
  <c r="I24" i="3" l="1"/>
  <c r="I23" i="3" s="1"/>
  <c r="I13" i="3" s="1"/>
  <c r="I18" i="10" l="1"/>
  <c r="H44" i="10"/>
  <c r="G31" i="10"/>
  <c r="H29" i="10"/>
  <c r="H8" i="10" l="1"/>
  <c r="H17" i="10"/>
  <c r="H25" i="10"/>
  <c r="H42" i="10" s="1"/>
  <c r="I19" i="10"/>
  <c r="I9" i="10"/>
  <c r="I26" i="10"/>
  <c r="I43" i="10" s="1"/>
  <c r="I14" i="10"/>
  <c r="H7" i="10"/>
  <c r="H16" i="10"/>
  <c r="I8" i="10"/>
  <c r="I17" i="10"/>
  <c r="I25" i="10"/>
  <c r="I29" i="10"/>
  <c r="H11" i="10"/>
  <c r="H10" i="10"/>
  <c r="H19" i="10"/>
  <c r="I7" i="10"/>
  <c r="I11" i="10"/>
  <c r="I16" i="10"/>
  <c r="I20" i="10"/>
  <c r="I28" i="10"/>
  <c r="H14" i="10"/>
  <c r="H18" i="10"/>
  <c r="H26" i="10"/>
  <c r="H20" i="10"/>
  <c r="H28" i="10"/>
  <c r="H15" i="10"/>
  <c r="I45" i="10"/>
  <c r="I10" i="10"/>
  <c r="I15" i="10"/>
  <c r="H27" i="10" l="1"/>
  <c r="I21" i="10"/>
  <c r="I23" i="10" s="1"/>
  <c r="I41" i="10" s="1"/>
  <c r="H30" i="10"/>
  <c r="I27" i="10"/>
  <c r="I42" i="10"/>
  <c r="H12" i="10"/>
  <c r="H22" i="10" s="1"/>
  <c r="I30" i="10"/>
  <c r="H43" i="10"/>
  <c r="H34" i="10" s="1"/>
  <c r="I12" i="10"/>
  <c r="I22" i="10" s="1"/>
  <c r="I44" i="10"/>
  <c r="H21" i="10"/>
  <c r="H23" i="10" s="1"/>
  <c r="H41" i="10" s="1"/>
  <c r="H32" i="10" l="1"/>
  <c r="I32" i="10"/>
  <c r="I40" i="10"/>
  <c r="I24" i="10"/>
  <c r="H24" i="10"/>
  <c r="H40" i="10"/>
  <c r="H31" i="10" s="1"/>
  <c r="I34" i="10"/>
  <c r="I33" i="10" l="1"/>
  <c r="I31" i="10"/>
  <c r="I35" i="10" s="1"/>
  <c r="H33" i="10"/>
  <c r="H35" i="10"/>
  <c r="H22" i="7" l="1"/>
  <c r="H20" i="7" s="1"/>
  <c r="G22" i="7"/>
  <c r="G20" i="7" s="1"/>
  <c r="E19" i="7"/>
  <c r="G18" i="7"/>
  <c r="E18" i="7"/>
  <c r="H12" i="7"/>
  <c r="H18" i="7" s="1"/>
  <c r="H6" i="7"/>
  <c r="H19" i="7" l="1"/>
  <c r="H14" i="7" s="1"/>
  <c r="G19" i="7"/>
  <c r="G14" i="7" s="1"/>
  <c r="G6" i="9"/>
  <c r="G5" i="9"/>
  <c r="G4" i="9"/>
  <c r="G33" i="8"/>
  <c r="E30" i="8"/>
  <c r="E29" i="8"/>
  <c r="E28" i="8"/>
  <c r="C24" i="8"/>
  <c r="C11" i="8" s="1"/>
  <c r="G19" i="8" s="1"/>
  <c r="G32" i="8" s="1"/>
  <c r="C19" i="8"/>
  <c r="C20" i="8" s="1"/>
  <c r="G20" i="8" s="1"/>
  <c r="G18" i="8"/>
  <c r="G31" i="8" s="1"/>
  <c r="G17" i="8"/>
  <c r="G21" i="8" s="1"/>
  <c r="G29" i="8"/>
  <c r="C12" i="8"/>
  <c r="G30" i="8" s="1"/>
  <c r="C9" i="8"/>
  <c r="G26" i="6"/>
  <c r="G25" i="6"/>
  <c r="G24" i="6"/>
  <c r="G22" i="6"/>
  <c r="G23" i="6"/>
  <c r="G14" i="6"/>
  <c r="G12" i="6"/>
  <c r="G13" i="6" s="1"/>
  <c r="G21" i="6" s="1"/>
  <c r="C12" i="6"/>
  <c r="C13" i="6" s="1"/>
  <c r="C8" i="6" s="1"/>
  <c r="C10" i="6"/>
  <c r="G8" i="6"/>
  <c r="H34" i="5"/>
  <c r="F31" i="5"/>
  <c r="F30" i="5"/>
  <c r="F29" i="5"/>
  <c r="D27" i="5"/>
  <c r="D12" i="5" s="1"/>
  <c r="H21" i="5" s="1"/>
  <c r="D24" i="5"/>
  <c r="H19" i="5"/>
  <c r="H33" i="5" s="1"/>
  <c r="H17" i="5"/>
  <c r="H15" i="5"/>
  <c r="H30" i="5" s="1"/>
  <c r="H13" i="5"/>
  <c r="H14" i="5" s="1"/>
  <c r="H29" i="5" s="1"/>
  <c r="D13" i="5"/>
  <c r="H23" i="5" s="1"/>
  <c r="H31" i="5" s="1"/>
  <c r="D11" i="5"/>
  <c r="H20" i="5" s="1"/>
  <c r="D10" i="5"/>
  <c r="H9" i="5"/>
  <c r="D9" i="5"/>
  <c r="H18" i="5" s="1"/>
  <c r="H7" i="5"/>
  <c r="G18" i="6" l="1"/>
  <c r="G19" i="9"/>
  <c r="G20" i="9" s="1"/>
  <c r="G21" i="9"/>
  <c r="G22" i="9"/>
  <c r="G14" i="9"/>
  <c r="G28" i="8"/>
  <c r="G23" i="8" s="1"/>
  <c r="C14" i="6"/>
  <c r="C15" i="6" s="1"/>
  <c r="H32" i="5"/>
  <c r="H24" i="5" s="1"/>
  <c r="H22" i="5"/>
  <c r="G16" i="9" l="1"/>
  <c r="J24" i="3"/>
  <c r="J23" i="3" s="1"/>
  <c r="J21" i="3" l="1"/>
  <c r="J13" i="3" s="1"/>
  <c r="K24" i="3" l="1"/>
  <c r="K23" i="3" s="1"/>
  <c r="G21" i="3"/>
  <c r="G20" i="3"/>
  <c r="K13" i="3" l="1"/>
</calcChain>
</file>

<file path=xl/sharedStrings.xml><?xml version="1.0" encoding="utf-8"?>
<sst xmlns="http://schemas.openxmlformats.org/spreadsheetml/2006/main" count="537" uniqueCount="194">
  <si>
    <t>enhet</t>
  </si>
  <si>
    <t>Vannkraft</t>
  </si>
  <si>
    <t>Levetid</t>
  </si>
  <si>
    <t>år</t>
  </si>
  <si>
    <t>Enhet</t>
  </si>
  <si>
    <t xml:space="preserve"> &lt; 10 MW </t>
  </si>
  <si>
    <t xml:space="preserve"> &gt; 10 MW</t>
  </si>
  <si>
    <t>Diskonteringsrente</t>
  </si>
  <si>
    <t>prosent/år</t>
  </si>
  <si>
    <t>Ytelse</t>
  </si>
  <si>
    <t>MW</t>
  </si>
  <si>
    <t>Byggetid</t>
  </si>
  <si>
    <t xml:space="preserve">Fullasttimer </t>
  </si>
  <si>
    <t>timer/år</t>
  </si>
  <si>
    <t>Investeringkostnad</t>
  </si>
  <si>
    <t>kr/kW</t>
  </si>
  <si>
    <t>Kapasitetsfaktor</t>
  </si>
  <si>
    <t>Driftskostnad</t>
  </si>
  <si>
    <t>øre/kWh</t>
  </si>
  <si>
    <t>Investeringskostnader</t>
  </si>
  <si>
    <t>Ytelse representert &lt; 10 MW</t>
  </si>
  <si>
    <t>Modul</t>
  </si>
  <si>
    <t>Ytelse representert &gt; 10 MW</t>
  </si>
  <si>
    <t>Annet utstyr</t>
  </si>
  <si>
    <t>Brukstid/fullasttimer &lt; 10 MW</t>
  </si>
  <si>
    <t>timer</t>
  </si>
  <si>
    <t>Installasjon</t>
  </si>
  <si>
    <t>Brukstid/fullasttimer &gt; 10 MW</t>
  </si>
  <si>
    <t xml:space="preserve">   Byggetidsrenter     </t>
  </si>
  <si>
    <t>Inkludert i modulkostnader</t>
  </si>
  <si>
    <t xml:space="preserve">Sum investeringskostnader </t>
  </si>
  <si>
    <t>Variable drifts- og vedlikeholdskostnader</t>
  </si>
  <si>
    <t>LCOE total</t>
  </si>
  <si>
    <t>Periode</t>
  </si>
  <si>
    <t>2020-2024</t>
  </si>
  <si>
    <t>2010-2024</t>
  </si>
  <si>
    <t>Nåverdier</t>
  </si>
  <si>
    <t>øre</t>
  </si>
  <si>
    <t>Produsert elektrisitet</t>
  </si>
  <si>
    <t>kWh</t>
  </si>
  <si>
    <t>Kraftproduksjon</t>
  </si>
  <si>
    <t>GWh/år</t>
  </si>
  <si>
    <t>LCOE-tallene i dette arket ble regnet ut:</t>
  </si>
  <si>
    <t>Landbasert vindkraft</t>
  </si>
  <si>
    <t>Ytelse representert</t>
  </si>
  <si>
    <t>Degraderingsrate</t>
  </si>
  <si>
    <t>prosent</t>
  </si>
  <si>
    <t>Fullasttimer (gjennomsnitt)</t>
  </si>
  <si>
    <t>Investeringskostnader (gjennomsnitt)</t>
  </si>
  <si>
    <t>Turbiner</t>
  </si>
  <si>
    <t>kr/kWh</t>
  </si>
  <si>
    <t>Fundament</t>
  </si>
  <si>
    <t>Bygg/vei/kai/anlegg</t>
  </si>
  <si>
    <t>Brukstid/fullasttimer</t>
  </si>
  <si>
    <t>internt nett</t>
  </si>
  <si>
    <t>eksternt nett</t>
  </si>
  <si>
    <t xml:space="preserve">Grunnervervelse &amp; engangskostnader </t>
  </si>
  <si>
    <t>Prosjektledelse</t>
  </si>
  <si>
    <t>LCOE</t>
  </si>
  <si>
    <t>Byggetidskostnad</t>
  </si>
  <si>
    <t>Elproduksjon 1. år</t>
  </si>
  <si>
    <t>Bunnfast</t>
  </si>
  <si>
    <t>Flytende</t>
  </si>
  <si>
    <t>Havvind</t>
  </si>
  <si>
    <t>Fullasttimer</t>
  </si>
  <si>
    <t>Investeringskostnader kraftverk</t>
  </si>
  <si>
    <t>Vindturbin</t>
  </si>
  <si>
    <t>NOK/kW</t>
  </si>
  <si>
    <t xml:space="preserve">Ytelse representert </t>
  </si>
  <si>
    <t>Internnett</t>
  </si>
  <si>
    <t xml:space="preserve">Brukstid/fullasttimer </t>
  </si>
  <si>
    <t>Fundament og forankring</t>
  </si>
  <si>
    <t>Utviklingskostnader (DEVEX)</t>
  </si>
  <si>
    <t>Contingency (10%)</t>
  </si>
  <si>
    <t>Byggetidsrenter</t>
  </si>
  <si>
    <t>Investeringskostnader nettilknytning</t>
  </si>
  <si>
    <t>Nettstasjon på land</t>
  </si>
  <si>
    <t>Nettstasjon til havs</t>
  </si>
  <si>
    <t>Eksportkabel</t>
  </si>
  <si>
    <t>Transport og installasjon</t>
  </si>
  <si>
    <t>Landkabel</t>
  </si>
  <si>
    <t>D&amp;V Kraftverk</t>
  </si>
  <si>
    <t>NOK/kW/år</t>
  </si>
  <si>
    <t>D&amp;V Nettilknytning</t>
  </si>
  <si>
    <t>D&amp;V Kostnader</t>
  </si>
  <si>
    <t>Nedleggelseskostnader kraftverk</t>
  </si>
  <si>
    <t>Nedleggelseskostnader nettilknytning</t>
  </si>
  <si>
    <t>Nedleggelseskostnader</t>
  </si>
  <si>
    <t>LCOE Kraftverk</t>
  </si>
  <si>
    <t>LCOE Nettilknytning</t>
  </si>
  <si>
    <t>LCOE CAPEX</t>
  </si>
  <si>
    <t>LCOE OPEX</t>
  </si>
  <si>
    <t>LCOE Total</t>
  </si>
  <si>
    <t>Investeringskostnader Kraftverk</t>
  </si>
  <si>
    <t>Investeringskostnader Nettilknytninig</t>
  </si>
  <si>
    <t xml:space="preserve">kWh </t>
  </si>
  <si>
    <t xml:space="preserve">Elproduksjon </t>
  </si>
  <si>
    <t>Småhus</t>
  </si>
  <si>
    <t>Bakkemontert</t>
  </si>
  <si>
    <t>Store flate tak</t>
  </si>
  <si>
    <t>Solkraft (PV)</t>
  </si>
  <si>
    <t>Type anlegg</t>
  </si>
  <si>
    <t>Enebolig/småhus</t>
  </si>
  <si>
    <t>Bakkemonterte solkraftverk</t>
  </si>
  <si>
    <t>Diskonteringsrente/byggetidsrente</t>
  </si>
  <si>
    <t>MWp</t>
  </si>
  <si>
    <t xml:space="preserve">Byggetid for </t>
  </si>
  <si>
    <t>kr/kWp</t>
  </si>
  <si>
    <t>Medverdiavgift</t>
  </si>
  <si>
    <t>Driftskostnader</t>
  </si>
  <si>
    <t>Faste driftskostnader</t>
  </si>
  <si>
    <t>kr/kW/år</t>
  </si>
  <si>
    <t>Mwel/Mwkjel</t>
  </si>
  <si>
    <t>Byggerentekostnad</t>
  </si>
  <si>
    <t>Elproduksjon</t>
  </si>
  <si>
    <t>Kullfyrt kondenskraftverk uten CCS</t>
  </si>
  <si>
    <t>MWel</t>
  </si>
  <si>
    <t>Virkningsgrad (nedre brennverdi)</t>
  </si>
  <si>
    <t>%</t>
  </si>
  <si>
    <t>Energiinhold, nedre brennverdi</t>
  </si>
  <si>
    <t>kWh/kg</t>
  </si>
  <si>
    <t>Virkningsgrad (øvre  brennverdi)</t>
  </si>
  <si>
    <t>Energiinhold, øvre brennverdi</t>
  </si>
  <si>
    <t>Brenselpris</t>
  </si>
  <si>
    <t>øre/kWhbrensel</t>
  </si>
  <si>
    <t>Maskiner og utstyr</t>
  </si>
  <si>
    <t>kr/kWel</t>
  </si>
  <si>
    <t>CO2-kvoter</t>
  </si>
  <si>
    <t>Byggekostnader</t>
  </si>
  <si>
    <t>NOx-avgift</t>
  </si>
  <si>
    <t>Nettilknytning</t>
  </si>
  <si>
    <t>KPI jan. 2013 - jan. 2023</t>
  </si>
  <si>
    <t>faktor</t>
  </si>
  <si>
    <t>Prosjektering og administrasjon</t>
  </si>
  <si>
    <t>Kullpris marked</t>
  </si>
  <si>
    <t>€/MWh</t>
  </si>
  <si>
    <t>Valutakurs (kr/$)</t>
  </si>
  <si>
    <t>NOK/USD</t>
  </si>
  <si>
    <t>kr/kWel /år</t>
  </si>
  <si>
    <t>Valutakurs (kr/€)</t>
  </si>
  <si>
    <t>NOK/EUR</t>
  </si>
  <si>
    <t>Brensels- og utslippskostnader</t>
  </si>
  <si>
    <t>CO2-kvotepris</t>
  </si>
  <si>
    <t>€/tonn CO2</t>
  </si>
  <si>
    <t xml:space="preserve">Spesifikt brenselforbruk  </t>
  </si>
  <si>
    <t>kWhbrensel/kWhel</t>
  </si>
  <si>
    <t>Utslippsfaktor CO2 kull</t>
  </si>
  <si>
    <t>kg CO2/kg</t>
  </si>
  <si>
    <t>Brenselskostnad</t>
  </si>
  <si>
    <t>Kg CO2/kWh innfyrt</t>
  </si>
  <si>
    <t>Kvotekostnad per kWh innfyrt</t>
  </si>
  <si>
    <t>øre/kWh innfyrt</t>
  </si>
  <si>
    <t>Sum brensels- og utslippskostnader</t>
  </si>
  <si>
    <t>øre/kWhel</t>
  </si>
  <si>
    <t>Utslippsfaktor NOx</t>
  </si>
  <si>
    <t>kg/tonn</t>
  </si>
  <si>
    <t>Variable kostnader eks brensel</t>
  </si>
  <si>
    <t>Renseeffekt</t>
  </si>
  <si>
    <t>Utslippsfaktor etter rensing</t>
  </si>
  <si>
    <t>g/kWh brensel</t>
  </si>
  <si>
    <t>NOx-avgift på utslipp</t>
  </si>
  <si>
    <t>kr/kg</t>
  </si>
  <si>
    <t>Brenselskostnader</t>
  </si>
  <si>
    <t>Utslippskostnader</t>
  </si>
  <si>
    <t>Gassfyrt kombikraftverk uten CCS</t>
  </si>
  <si>
    <t>Energiinnhold, nedre brennverdi</t>
  </si>
  <si>
    <t>kWh/Sm3</t>
  </si>
  <si>
    <t>Energiinnhold, øvre brennverdi</t>
  </si>
  <si>
    <t>Brenselpris naturgass (2023-estimat)</t>
  </si>
  <si>
    <t>CO2-avgift</t>
  </si>
  <si>
    <t>Gasspris marked</t>
  </si>
  <si>
    <t>Redusert CO2-avgift naturgass fastland 2021</t>
  </si>
  <si>
    <t>kr/Sm3</t>
  </si>
  <si>
    <t>g/Sm3</t>
  </si>
  <si>
    <t>Utslippsfaktor CO2 naturgass</t>
  </si>
  <si>
    <t>kg CO2/Sm3</t>
  </si>
  <si>
    <t>kg CO2/kWhbrensel</t>
  </si>
  <si>
    <t>Kjernekraftverk</t>
  </si>
  <si>
    <r>
      <t>MW</t>
    </r>
    <r>
      <rPr>
        <b/>
        <vertAlign val="subscript"/>
        <sz val="10"/>
        <color theme="0"/>
        <rFont val="Calibri"/>
        <family val="2"/>
        <scheme val="minor"/>
      </rPr>
      <t>el</t>
    </r>
  </si>
  <si>
    <t>Rivetidspunkt</t>
  </si>
  <si>
    <t>Elvirkningsgrad</t>
  </si>
  <si>
    <r>
      <t>kr/kW</t>
    </r>
    <r>
      <rPr>
        <vertAlign val="subscript"/>
        <sz val="10"/>
        <rFont val="Calibri"/>
        <family val="2"/>
        <scheme val="minor"/>
      </rPr>
      <t>el</t>
    </r>
  </si>
  <si>
    <t>Spesifikt brenselforbruk</t>
  </si>
  <si>
    <t xml:space="preserve">Spotpris Uran * Basert på historiske priser, og vil måtte oppdateres for fremtidige analyser. </t>
  </si>
  <si>
    <t>USD/lb</t>
  </si>
  <si>
    <t>USD/kg</t>
  </si>
  <si>
    <t>Uscent/kWh</t>
  </si>
  <si>
    <t>Euro/kg</t>
  </si>
  <si>
    <r>
      <t>kr/kW</t>
    </r>
    <r>
      <rPr>
        <vertAlign val="subscript"/>
        <sz val="10"/>
        <rFont val="Calibri"/>
        <family val="2"/>
        <scheme val="minor"/>
      </rPr>
      <t>el</t>
    </r>
    <r>
      <rPr>
        <sz val="10"/>
        <rFont val="Calibri"/>
        <family val="2"/>
        <scheme val="minor"/>
      </rPr>
      <t xml:space="preserve"> /år</t>
    </r>
  </si>
  <si>
    <t>EU-cent/kWh</t>
  </si>
  <si>
    <t>Valutakurs</t>
  </si>
  <si>
    <t>Avfallshåndtering</t>
  </si>
  <si>
    <t>NOK/EURO</t>
  </si>
  <si>
    <t>Variable kostnader eks brensel og avfallshåndtering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</si>
</sst>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 * #,##0.00_ ;_ * \-#,##0.00_ ;_ * &quot;-&quot;??_ ;_ @_ "/>
    <numFmt numFmtId="165" formatCode="General_)"/>
    <numFmt numFmtId="166" formatCode="0.0"/>
    <numFmt numFmtId="167" formatCode="0.0\ %"/>
    <numFmt numFmtId="168" formatCode="0.0000"/>
    <numFmt numFmtId="169" formatCode="#,##0.000000_ ;[Red]\-#,##0.000000\ "/>
    <numFmt numFmtId="170" formatCode="_-* #,##0_-;\-* #,##0_-;_-* &quot;-&quot;??_-;_-@_-"/>
    <numFmt numFmtId="171" formatCode="0.000"/>
    <numFmt numFmtId="172" formatCode="0.000000"/>
    <numFmt numFmtId="173" formatCode="#,##0.0"/>
    <numFmt numFmtId="174" formatCode="_ * #,##0_ ;_ * \-#,##0_ ;_ * &quot;-&quot;??_ ;_ @_ "/>
    <numFmt numFmtId="175" formatCode="#,##0.00_ ;[Red]\-#,##0.00\ "/>
    <numFmt numFmtId="176" formatCode="0.0%"/>
    <numFmt numFmtId="177" formatCode="_-* #,##0.0_-;\-* #,##0.0_-;_-* &quot;-&quot;??_-;_-@_-"/>
    <numFmt numFmtId="178" formatCode="_-&quot;kr&quot;\ * #,##0_-;\-&quot;kr&quot;\ * #,##0_-;_-&quot;kr&quot;\ 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Helv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 tint="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bscript"/>
      <sz val="10"/>
      <color theme="0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3" fillId="0" borderId="0"/>
    <xf numFmtId="164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" fillId="0" borderId="0"/>
  </cellStyleXfs>
  <cellXfs count="285">
    <xf numFmtId="0" fontId="0" fillId="0" borderId="0" xfId="0"/>
    <xf numFmtId="165" fontId="7" fillId="0" borderId="11" xfId="1" applyFont="1" applyBorder="1"/>
    <xf numFmtId="165" fontId="7" fillId="0" borderId="1" xfId="1" applyFont="1" applyBorder="1"/>
    <xf numFmtId="165" fontId="7" fillId="0" borderId="13" xfId="1" applyFont="1" applyBorder="1" applyAlignment="1">
      <alignment horizontal="right"/>
    </xf>
    <xf numFmtId="165" fontId="4" fillId="0" borderId="1" xfId="1" applyFont="1" applyBorder="1" applyAlignment="1">
      <alignment horizontal="left" indent="1"/>
    </xf>
    <xf numFmtId="165" fontId="4" fillId="0" borderId="13" xfId="1" applyFont="1" applyBorder="1" applyAlignment="1">
      <alignment horizontal="right"/>
    </xf>
    <xf numFmtId="165" fontId="4" fillId="0" borderId="1" xfId="1" applyFont="1" applyBorder="1"/>
    <xf numFmtId="165" fontId="4" fillId="0" borderId="12" xfId="1" applyFont="1" applyBorder="1" applyAlignment="1">
      <alignment horizontal="right"/>
    </xf>
    <xf numFmtId="165" fontId="7" fillId="0" borderId="16" xfId="1" applyFont="1" applyBorder="1"/>
    <xf numFmtId="165" fontId="7" fillId="0" borderId="17" xfId="1" applyFont="1" applyBorder="1" applyAlignment="1">
      <alignment horizontal="right"/>
    </xf>
    <xf numFmtId="0" fontId="4" fillId="0" borderId="0" xfId="0" applyFont="1"/>
    <xf numFmtId="165" fontId="9" fillId="0" borderId="0" xfId="1" applyFont="1"/>
    <xf numFmtId="165" fontId="9" fillId="0" borderId="0" xfId="1" applyFont="1" applyAlignment="1">
      <alignment horizontal="right"/>
    </xf>
    <xf numFmtId="166" fontId="9" fillId="0" borderId="0" xfId="1" applyNumberFormat="1" applyFont="1"/>
    <xf numFmtId="165" fontId="7" fillId="0" borderId="18" xfId="1" applyFont="1" applyBorder="1"/>
    <xf numFmtId="0" fontId="7" fillId="0" borderId="3" xfId="0" applyFont="1" applyBorder="1" applyAlignment="1">
      <alignment horizontal="right"/>
    </xf>
    <xf numFmtId="165" fontId="4" fillId="0" borderId="14" xfId="0" applyNumberFormat="1" applyFont="1" applyBorder="1"/>
    <xf numFmtId="0" fontId="4" fillId="0" borderId="13" xfId="0" applyFont="1" applyBorder="1" applyAlignment="1">
      <alignment horizontal="right"/>
    </xf>
    <xf numFmtId="40" fontId="4" fillId="0" borderId="0" xfId="0" applyNumberFormat="1" applyFont="1"/>
    <xf numFmtId="2" fontId="4" fillId="0" borderId="0" xfId="0" applyNumberFormat="1" applyFont="1"/>
    <xf numFmtId="0" fontId="2" fillId="0" borderId="0" xfId="0" applyFont="1"/>
    <xf numFmtId="0" fontId="0" fillId="2" borderId="0" xfId="0" applyFill="1"/>
    <xf numFmtId="165" fontId="5" fillId="2" borderId="1" xfId="1" applyFont="1" applyFill="1" applyBorder="1"/>
    <xf numFmtId="165" fontId="5" fillId="2" borderId="7" xfId="1" applyFont="1" applyFill="1" applyBorder="1" applyAlignment="1">
      <alignment horizontal="right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165" fontId="5" fillId="2" borderId="8" xfId="1" applyFont="1" applyFill="1" applyBorder="1" applyAlignment="1">
      <alignment horizontal="right"/>
    </xf>
    <xf numFmtId="165" fontId="5" fillId="2" borderId="9" xfId="1" applyFont="1" applyFill="1" applyBorder="1" applyAlignment="1">
      <alignment horizontal="right"/>
    </xf>
    <xf numFmtId="0" fontId="5" fillId="0" borderId="0" xfId="0" applyFont="1"/>
    <xf numFmtId="3" fontId="4" fillId="0" borderId="9" xfId="1" applyNumberFormat="1" applyFont="1" applyBorder="1"/>
    <xf numFmtId="166" fontId="7" fillId="0" borderId="24" xfId="0" applyNumberFormat="1" applyFont="1" applyBorder="1"/>
    <xf numFmtId="0" fontId="11" fillId="0" borderId="0" xfId="0" applyFont="1"/>
    <xf numFmtId="169" fontId="4" fillId="0" borderId="0" xfId="0" applyNumberFormat="1" applyFont="1"/>
    <xf numFmtId="172" fontId="0" fillId="0" borderId="0" xfId="0" applyNumberFormat="1"/>
    <xf numFmtId="0" fontId="1" fillId="2" borderId="4" xfId="0" applyFont="1" applyFill="1" applyBorder="1"/>
    <xf numFmtId="0" fontId="1" fillId="2" borderId="5" xfId="0" applyFont="1" applyFill="1" applyBorder="1"/>
    <xf numFmtId="165" fontId="5" fillId="2" borderId="13" xfId="1" applyFont="1" applyFill="1" applyBorder="1" applyAlignment="1">
      <alignment horizontal="right"/>
    </xf>
    <xf numFmtId="165" fontId="7" fillId="0" borderId="30" xfId="1" applyFont="1" applyBorder="1"/>
    <xf numFmtId="3" fontId="4" fillId="0" borderId="31" xfId="1" applyNumberFormat="1" applyFont="1" applyBorder="1"/>
    <xf numFmtId="165" fontId="4" fillId="0" borderId="15" xfId="1" applyFont="1" applyBorder="1" applyAlignment="1">
      <alignment horizontal="right"/>
    </xf>
    <xf numFmtId="173" fontId="4" fillId="0" borderId="9" xfId="1" applyNumberFormat="1" applyFont="1" applyBorder="1"/>
    <xf numFmtId="2" fontId="2" fillId="0" borderId="0" xfId="0" applyNumberFormat="1" applyFont="1"/>
    <xf numFmtId="171" fontId="2" fillId="0" borderId="0" xfId="0" applyNumberFormat="1" applyFont="1"/>
    <xf numFmtId="0" fontId="1" fillId="2" borderId="6" xfId="0" applyFont="1" applyFill="1" applyBorder="1"/>
    <xf numFmtId="9" fontId="4" fillId="0" borderId="31" xfId="1" applyNumberFormat="1" applyFont="1" applyBorder="1"/>
    <xf numFmtId="165" fontId="7" fillId="0" borderId="9" xfId="1" applyFont="1" applyBorder="1"/>
    <xf numFmtId="3" fontId="4" fillId="0" borderId="32" xfId="2" applyNumberFormat="1" applyFont="1" applyFill="1" applyBorder="1"/>
    <xf numFmtId="165" fontId="7" fillId="0" borderId="34" xfId="1" applyFont="1" applyBorder="1"/>
    <xf numFmtId="0" fontId="15" fillId="0" borderId="0" xfId="0" applyFont="1"/>
    <xf numFmtId="0" fontId="5" fillId="3" borderId="22" xfId="0" applyFont="1" applyFill="1" applyBorder="1"/>
    <xf numFmtId="0" fontId="5" fillId="3" borderId="29" xfId="0" applyFont="1" applyFill="1" applyBorder="1"/>
    <xf numFmtId="0" fontId="5" fillId="3" borderId="0" xfId="0" applyFont="1" applyFill="1" applyAlignment="1">
      <alignment horizontal="left" vertical="center"/>
    </xf>
    <xf numFmtId="0" fontId="5" fillId="3" borderId="23" xfId="0" applyFont="1" applyFill="1" applyBorder="1"/>
    <xf numFmtId="0" fontId="12" fillId="2" borderId="0" xfId="0" applyFont="1" applyFill="1"/>
    <xf numFmtId="0" fontId="5" fillId="3" borderId="0" xfId="0" applyFont="1" applyFill="1"/>
    <xf numFmtId="0" fontId="5" fillId="2" borderId="0" xfId="0" applyFont="1" applyFill="1"/>
    <xf numFmtId="167" fontId="4" fillId="0" borderId="31" xfId="1" applyNumberFormat="1" applyFont="1" applyBorder="1"/>
    <xf numFmtId="167" fontId="9" fillId="0" borderId="31" xfId="1" applyNumberFormat="1" applyFont="1" applyBorder="1"/>
    <xf numFmtId="166" fontId="4" fillId="0" borderId="9" xfId="2" applyNumberFormat="1" applyFont="1" applyFill="1" applyBorder="1"/>
    <xf numFmtId="166" fontId="4" fillId="0" borderId="32" xfId="2" applyNumberFormat="1" applyFont="1" applyFill="1" applyBorder="1"/>
    <xf numFmtId="9" fontId="9" fillId="0" borderId="31" xfId="1" applyNumberFormat="1" applyFont="1" applyBorder="1"/>
    <xf numFmtId="0" fontId="0" fillId="0" borderId="3" xfId="0" applyBorder="1"/>
    <xf numFmtId="0" fontId="6" fillId="2" borderId="0" xfId="0" applyFont="1" applyFill="1"/>
    <xf numFmtId="0" fontId="7" fillId="0" borderId="37" xfId="0" applyFont="1" applyBorder="1"/>
    <xf numFmtId="0" fontId="4" fillId="0" borderId="0" xfId="0" applyFont="1" applyAlignment="1">
      <alignment horizontal="right"/>
    </xf>
    <xf numFmtId="174" fontId="4" fillId="0" borderId="8" xfId="5" applyNumberFormat="1" applyFont="1" applyBorder="1"/>
    <xf numFmtId="0" fontId="2" fillId="0" borderId="14" xfId="0" applyFont="1" applyBorder="1"/>
    <xf numFmtId="165" fontId="4" fillId="0" borderId="20" xfId="0" applyNumberFormat="1" applyFont="1" applyBorder="1"/>
    <xf numFmtId="0" fontId="4" fillId="0" borderId="21" xfId="0" applyFont="1" applyBorder="1" applyAlignment="1">
      <alignment horizontal="right"/>
    </xf>
    <xf numFmtId="174" fontId="4" fillId="0" borderId="38" xfId="5" applyNumberFormat="1" applyFont="1" applyBorder="1"/>
    <xf numFmtId="0" fontId="15" fillId="0" borderId="18" xfId="0" applyFont="1" applyBorder="1"/>
    <xf numFmtId="0" fontId="2" fillId="0" borderId="3" xfId="0" applyFont="1" applyBorder="1"/>
    <xf numFmtId="0" fontId="2" fillId="0" borderId="37" xfId="0" applyFont="1" applyBorder="1"/>
    <xf numFmtId="0" fontId="2" fillId="0" borderId="20" xfId="0" applyFont="1" applyBorder="1"/>
    <xf numFmtId="0" fontId="2" fillId="0" borderId="21" xfId="0" applyFont="1" applyBorder="1"/>
    <xf numFmtId="0" fontId="0" fillId="0" borderId="37" xfId="0" applyBorder="1"/>
    <xf numFmtId="0" fontId="0" fillId="0" borderId="14" xfId="0" applyBorder="1"/>
    <xf numFmtId="0" fontId="7" fillId="0" borderId="3" xfId="0" applyFont="1" applyBorder="1"/>
    <xf numFmtId="165" fontId="4" fillId="0" borderId="8" xfId="0" applyNumberFormat="1" applyFont="1" applyBorder="1"/>
    <xf numFmtId="0" fontId="0" fillId="0" borderId="8" xfId="0" applyBorder="1"/>
    <xf numFmtId="165" fontId="9" fillId="0" borderId="20" xfId="1" applyFont="1" applyBorder="1"/>
    <xf numFmtId="166" fontId="9" fillId="0" borderId="21" xfId="2" applyNumberFormat="1" applyFont="1" applyFill="1" applyBorder="1"/>
    <xf numFmtId="166" fontId="9" fillId="0" borderId="38" xfId="2" applyNumberFormat="1" applyFont="1" applyFill="1" applyBorder="1"/>
    <xf numFmtId="174" fontId="9" fillId="0" borderId="8" xfId="5" applyNumberFormat="1" applyFont="1" applyBorder="1"/>
    <xf numFmtId="40" fontId="4" fillId="0" borderId="8" xfId="0" applyNumberFormat="1" applyFont="1" applyBorder="1"/>
    <xf numFmtId="40" fontId="4" fillId="0" borderId="38" xfId="0" applyNumberFormat="1" applyFont="1" applyBorder="1"/>
    <xf numFmtId="165" fontId="4" fillId="0" borderId="0" xfId="1" applyFont="1" applyAlignment="1">
      <alignment horizontal="right"/>
    </xf>
    <xf numFmtId="168" fontId="9" fillId="0" borderId="21" xfId="2" applyNumberFormat="1" applyFont="1" applyFill="1" applyBorder="1"/>
    <xf numFmtId="168" fontId="9" fillId="0" borderId="38" xfId="2" applyNumberFormat="1" applyFont="1" applyFill="1" applyBorder="1"/>
    <xf numFmtId="166" fontId="0" fillId="0" borderId="0" xfId="0" applyNumberFormat="1"/>
    <xf numFmtId="14" fontId="7" fillId="0" borderId="0" xfId="0" applyNumberFormat="1" applyFont="1"/>
    <xf numFmtId="165" fontId="7" fillId="0" borderId="0" xfId="1" applyFont="1"/>
    <xf numFmtId="165" fontId="7" fillId="0" borderId="0" xfId="1" applyFont="1" applyAlignment="1">
      <alignment horizontal="right"/>
    </xf>
    <xf numFmtId="4" fontId="4" fillId="0" borderId="0" xfId="1" applyNumberFormat="1" applyFont="1"/>
    <xf numFmtId="166" fontId="7" fillId="0" borderId="0" xfId="0" applyNumberFormat="1" applyFont="1"/>
    <xf numFmtId="165" fontId="4" fillId="0" borderId="7" xfId="1" applyFont="1" applyBorder="1" applyAlignment="1">
      <alignment horizontal="right"/>
    </xf>
    <xf numFmtId="165" fontId="7" fillId="0" borderId="39" xfId="1" applyFont="1" applyBorder="1"/>
    <xf numFmtId="165" fontId="7" fillId="0" borderId="40" xfId="1" applyFont="1" applyBorder="1" applyAlignment="1">
      <alignment horizontal="right"/>
    </xf>
    <xf numFmtId="165" fontId="7" fillId="4" borderId="15" xfId="1" applyFont="1" applyFill="1" applyBorder="1" applyAlignment="1">
      <alignment horizontal="right"/>
    </xf>
    <xf numFmtId="165" fontId="7" fillId="0" borderId="38" xfId="1" applyFont="1" applyBorder="1"/>
    <xf numFmtId="3" fontId="4" fillId="0" borderId="8" xfId="1" applyNumberFormat="1" applyFont="1" applyBorder="1"/>
    <xf numFmtId="0" fontId="5" fillId="2" borderId="0" xfId="0" applyFont="1" applyFill="1" applyAlignment="1">
      <alignment wrapText="1"/>
    </xf>
    <xf numFmtId="0" fontId="5" fillId="2" borderId="4" xfId="0" applyFont="1" applyFill="1" applyBorder="1"/>
    <xf numFmtId="0" fontId="7" fillId="0" borderId="0" xfId="0" applyFont="1"/>
    <xf numFmtId="0" fontId="16" fillId="0" borderId="0" xfId="0" applyFont="1"/>
    <xf numFmtId="2" fontId="16" fillId="0" borderId="0" xfId="0" applyNumberFormat="1" applyFont="1"/>
    <xf numFmtId="165" fontId="4" fillId="0" borderId="3" xfId="1" applyFont="1" applyBorder="1" applyAlignment="1">
      <alignment horizontal="right"/>
    </xf>
    <xf numFmtId="3" fontId="4" fillId="0" borderId="3" xfId="1" applyNumberFormat="1" applyFont="1" applyBorder="1"/>
    <xf numFmtId="165" fontId="7" fillId="0" borderId="21" xfId="1" applyFont="1" applyBorder="1" applyAlignment="1">
      <alignment horizontal="right"/>
    </xf>
    <xf numFmtId="165" fontId="7" fillId="0" borderId="21" xfId="1" applyFont="1" applyBorder="1"/>
    <xf numFmtId="165" fontId="4" fillId="0" borderId="21" xfId="1" applyFont="1" applyBorder="1" applyAlignment="1">
      <alignment horizontal="right"/>
    </xf>
    <xf numFmtId="3" fontId="4" fillId="0" borderId="21" xfId="1" applyNumberFormat="1" applyFont="1" applyBorder="1"/>
    <xf numFmtId="165" fontId="4" fillId="0" borderId="19" xfId="1" applyFont="1" applyBorder="1" applyAlignment="1">
      <alignment horizontal="right"/>
    </xf>
    <xf numFmtId="3" fontId="4" fillId="0" borderId="19" xfId="2" applyNumberFormat="1" applyFont="1" applyFill="1" applyBorder="1"/>
    <xf numFmtId="3" fontId="4" fillId="0" borderId="19" xfId="1" applyNumberFormat="1" applyFont="1" applyBorder="1"/>
    <xf numFmtId="0" fontId="5" fillId="2" borderId="5" xfId="0" applyFont="1" applyFill="1" applyBorder="1"/>
    <xf numFmtId="0" fontId="5" fillId="2" borderId="6" xfId="0" applyFont="1" applyFill="1" applyBorder="1"/>
    <xf numFmtId="0" fontId="2" fillId="2" borderId="0" xfId="0" applyFont="1" applyFill="1"/>
    <xf numFmtId="174" fontId="2" fillId="0" borderId="0" xfId="0" applyNumberFormat="1" applyFont="1"/>
    <xf numFmtId="165" fontId="7" fillId="0" borderId="32" xfId="1" applyFont="1" applyBorder="1"/>
    <xf numFmtId="3" fontId="4" fillId="0" borderId="31" xfId="2" applyNumberFormat="1" applyFont="1" applyFill="1" applyBorder="1"/>
    <xf numFmtId="3" fontId="4" fillId="0" borderId="42" xfId="1" applyNumberFormat="1" applyFont="1" applyBorder="1"/>
    <xf numFmtId="165" fontId="4" fillId="0" borderId="32" xfId="1" applyFont="1" applyBorder="1"/>
    <xf numFmtId="165" fontId="4" fillId="0" borderId="34" xfId="1" applyFont="1" applyBorder="1" applyAlignment="1">
      <alignment horizontal="left" indent="1"/>
    </xf>
    <xf numFmtId="165" fontId="4" fillId="0" borderId="30" xfId="1" applyFont="1" applyBorder="1"/>
    <xf numFmtId="3" fontId="4" fillId="0" borderId="32" xfId="1" applyNumberFormat="1" applyFont="1" applyBorder="1"/>
    <xf numFmtId="165" fontId="7" fillId="0" borderId="26" xfId="1" applyFont="1" applyBorder="1"/>
    <xf numFmtId="165" fontId="7" fillId="0" borderId="27" xfId="1" applyFont="1" applyBorder="1" applyAlignment="1">
      <alignment horizontal="right"/>
    </xf>
    <xf numFmtId="165" fontId="5" fillId="2" borderId="30" xfId="1" applyFont="1" applyFill="1" applyBorder="1"/>
    <xf numFmtId="165" fontId="5" fillId="2" borderId="15" xfId="1" applyFont="1" applyFill="1" applyBorder="1" applyAlignment="1">
      <alignment horizontal="right"/>
    </xf>
    <xf numFmtId="165" fontId="5" fillId="2" borderId="38" xfId="1" applyFont="1" applyFill="1" applyBorder="1" applyAlignment="1">
      <alignment horizontal="right"/>
    </xf>
    <xf numFmtId="165" fontId="5" fillId="2" borderId="32" xfId="1" applyFont="1" applyFill="1" applyBorder="1" applyAlignment="1">
      <alignment horizontal="right"/>
    </xf>
    <xf numFmtId="175" fontId="0" fillId="0" borderId="0" xfId="0" applyNumberFormat="1"/>
    <xf numFmtId="165" fontId="0" fillId="0" borderId="0" xfId="0" applyNumberFormat="1"/>
    <xf numFmtId="171" fontId="4" fillId="0" borderId="9" xfId="2" applyNumberFormat="1" applyFont="1" applyFill="1" applyBorder="1"/>
    <xf numFmtId="165" fontId="4" fillId="0" borderId="14" xfId="1" applyFont="1" applyBorder="1" applyAlignment="1">
      <alignment horizontal="right"/>
    </xf>
    <xf numFmtId="3" fontId="4" fillId="0" borderId="9" xfId="2" applyNumberFormat="1" applyFont="1" applyFill="1" applyBorder="1"/>
    <xf numFmtId="165" fontId="4" fillId="0" borderId="44" xfId="1" applyFont="1" applyBorder="1" applyAlignment="1">
      <alignment horizontal="right"/>
    </xf>
    <xf numFmtId="0" fontId="1" fillId="3" borderId="22" xfId="0" applyFont="1" applyFill="1" applyBorder="1"/>
    <xf numFmtId="0" fontId="1" fillId="3" borderId="23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17" fillId="0" borderId="0" xfId="0" applyFont="1"/>
    <xf numFmtId="165" fontId="1" fillId="2" borderId="34" xfId="1" applyFont="1" applyFill="1" applyBorder="1"/>
    <xf numFmtId="165" fontId="1" fillId="2" borderId="7" xfId="1" applyFont="1" applyFill="1" applyBorder="1" applyAlignment="1">
      <alignment horizontal="right"/>
    </xf>
    <xf numFmtId="0" fontId="1" fillId="2" borderId="42" xfId="0" applyFont="1" applyFill="1" applyBorder="1" applyAlignment="1">
      <alignment horizontal="center"/>
    </xf>
    <xf numFmtId="165" fontId="1" fillId="2" borderId="1" xfId="1" applyFont="1" applyFill="1" applyBorder="1"/>
    <xf numFmtId="165" fontId="1" fillId="2" borderId="13" xfId="1" applyFont="1" applyFill="1" applyBorder="1" applyAlignment="1">
      <alignment horizontal="right"/>
    </xf>
    <xf numFmtId="165" fontId="1" fillId="2" borderId="9" xfId="1" applyFont="1" applyFill="1" applyBorder="1" applyAlignment="1">
      <alignment horizontal="center"/>
    </xf>
    <xf numFmtId="165" fontId="18" fillId="0" borderId="45" xfId="1" applyFont="1" applyBorder="1"/>
    <xf numFmtId="165" fontId="17" fillId="0" borderId="46" xfId="1" applyFont="1" applyBorder="1" applyAlignment="1">
      <alignment horizontal="right"/>
    </xf>
    <xf numFmtId="3" fontId="17" fillId="0" borderId="10" xfId="1" applyNumberFormat="1" applyFont="1" applyBorder="1" applyAlignment="1">
      <alignment horizontal="center"/>
    </xf>
    <xf numFmtId="165" fontId="18" fillId="0" borderId="30" xfId="1" applyFont="1" applyBorder="1"/>
    <xf numFmtId="165" fontId="18" fillId="0" borderId="15" xfId="1" applyFont="1" applyBorder="1" applyAlignment="1">
      <alignment horizontal="right"/>
    </xf>
    <xf numFmtId="165" fontId="18" fillId="0" borderId="36" xfId="1" applyFont="1" applyBorder="1" applyAlignment="1">
      <alignment horizontal="center"/>
    </xf>
    <xf numFmtId="0" fontId="0" fillId="4" borderId="1" xfId="0" applyFill="1" applyBorder="1"/>
    <xf numFmtId="165" fontId="17" fillId="0" borderId="13" xfId="1" applyFont="1" applyBorder="1" applyAlignment="1">
      <alignment horizontal="right"/>
    </xf>
    <xf numFmtId="3" fontId="17" fillId="0" borderId="9" xfId="1" applyNumberFormat="1" applyFont="1" applyBorder="1" applyAlignment="1">
      <alignment horizontal="center"/>
    </xf>
    <xf numFmtId="165" fontId="18" fillId="0" borderId="11" xfId="1" applyFont="1" applyBorder="1"/>
    <xf numFmtId="165" fontId="17" fillId="0" borderId="12" xfId="1" applyFont="1" applyBorder="1" applyAlignment="1">
      <alignment horizontal="right"/>
    </xf>
    <xf numFmtId="3" fontId="17" fillId="0" borderId="31" xfId="2" applyNumberFormat="1" applyFont="1" applyFill="1" applyBorder="1" applyAlignment="1">
      <alignment horizontal="center"/>
    </xf>
    <xf numFmtId="3" fontId="17" fillId="0" borderId="31" xfId="1" applyNumberFormat="1" applyFont="1" applyBorder="1" applyAlignment="1">
      <alignment horizontal="center"/>
    </xf>
    <xf numFmtId="165" fontId="18" fillId="0" borderId="16" xfId="1" applyFont="1" applyBorder="1"/>
    <xf numFmtId="165" fontId="18" fillId="0" borderId="17" xfId="1" applyFont="1" applyBorder="1" applyAlignment="1">
      <alignment horizontal="right"/>
    </xf>
    <xf numFmtId="0" fontId="11" fillId="0" borderId="18" xfId="0" applyFont="1" applyBorder="1"/>
    <xf numFmtId="0" fontId="1" fillId="2" borderId="0" xfId="0" applyFont="1" applyFill="1" applyAlignment="1">
      <alignment wrapText="1"/>
    </xf>
    <xf numFmtId="14" fontId="18" fillId="0" borderId="0" xfId="0" applyNumberFormat="1" applyFont="1"/>
    <xf numFmtId="170" fontId="0" fillId="0" borderId="8" xfId="5" applyNumberFormat="1" applyFont="1" applyBorder="1"/>
    <xf numFmtId="0" fontId="0" fillId="0" borderId="20" xfId="0" applyBorder="1"/>
    <xf numFmtId="0" fontId="0" fillId="0" borderId="21" xfId="0" applyBorder="1"/>
    <xf numFmtId="167" fontId="7" fillId="0" borderId="38" xfId="3" applyNumberFormat="1" applyFont="1" applyBorder="1"/>
    <xf numFmtId="167" fontId="7" fillId="0" borderId="32" xfId="3" applyNumberFormat="1" applyFont="1" applyBorder="1"/>
    <xf numFmtId="165" fontId="7" fillId="0" borderId="47" xfId="1" applyFont="1" applyBorder="1" applyAlignment="1">
      <alignment horizontal="right"/>
    </xf>
    <xf numFmtId="165" fontId="7" fillId="0" borderId="44" xfId="1" applyFont="1" applyBorder="1"/>
    <xf numFmtId="0" fontId="0" fillId="0" borderId="19" xfId="0" applyBorder="1"/>
    <xf numFmtId="0" fontId="0" fillId="0" borderId="2" xfId="0" applyBorder="1"/>
    <xf numFmtId="0" fontId="1" fillId="2" borderId="45" xfId="0" applyFont="1" applyFill="1" applyBorder="1"/>
    <xf numFmtId="0" fontId="0" fillId="2" borderId="25" xfId="0" applyFill="1" applyBorder="1"/>
    <xf numFmtId="0" fontId="1" fillId="2" borderId="4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5" fontId="5" fillId="2" borderId="0" xfId="1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39" xfId="0" applyBorder="1"/>
    <xf numFmtId="0" fontId="0" fillId="0" borderId="48" xfId="0" applyBorder="1"/>
    <xf numFmtId="170" fontId="0" fillId="0" borderId="39" xfId="5" applyNumberFormat="1" applyFont="1" applyBorder="1"/>
    <xf numFmtId="170" fontId="0" fillId="0" borderId="49" xfId="5" applyNumberFormat="1" applyFont="1" applyBorder="1"/>
    <xf numFmtId="0" fontId="11" fillId="0" borderId="45" xfId="0" applyFont="1" applyBorder="1"/>
    <xf numFmtId="0" fontId="0" fillId="0" borderId="25" xfId="0" applyBorder="1"/>
    <xf numFmtId="170" fontId="0" fillId="0" borderId="45" xfId="5" applyNumberFormat="1" applyFont="1" applyBorder="1"/>
    <xf numFmtId="170" fontId="0" fillId="0" borderId="10" xfId="5" applyNumberFormat="1" applyFont="1" applyBorder="1"/>
    <xf numFmtId="0" fontId="0" fillId="0" borderId="1" xfId="0" applyBorder="1"/>
    <xf numFmtId="170" fontId="0" fillId="0" borderId="0" xfId="5" applyNumberFormat="1" applyFont="1" applyBorder="1"/>
    <xf numFmtId="170" fontId="0" fillId="0" borderId="9" xfId="5" applyNumberFormat="1" applyFont="1" applyBorder="1"/>
    <xf numFmtId="0" fontId="0" fillId="0" borderId="45" xfId="0" applyBorder="1"/>
    <xf numFmtId="170" fontId="10" fillId="0" borderId="45" xfId="5" applyNumberFormat="1" applyFont="1" applyBorder="1"/>
    <xf numFmtId="170" fontId="10" fillId="0" borderId="10" xfId="5" applyNumberFormat="1" applyFont="1" applyBorder="1"/>
    <xf numFmtId="170" fontId="10" fillId="0" borderId="1" xfId="5" applyNumberFormat="1" applyFont="1" applyBorder="1"/>
    <xf numFmtId="170" fontId="10" fillId="0" borderId="9" xfId="5" applyNumberFormat="1" applyFont="1" applyBorder="1"/>
    <xf numFmtId="0" fontId="11" fillId="0" borderId="39" xfId="0" applyFont="1" applyBorder="1"/>
    <xf numFmtId="0" fontId="11" fillId="0" borderId="48" xfId="0" applyFont="1" applyBorder="1"/>
    <xf numFmtId="170" fontId="11" fillId="0" borderId="39" xfId="5" applyNumberFormat="1" applyFont="1" applyBorder="1"/>
    <xf numFmtId="170" fontId="11" fillId="0" borderId="49" xfId="5" applyNumberFormat="1" applyFont="1" applyBorder="1"/>
    <xf numFmtId="177" fontId="10" fillId="0" borderId="1" xfId="5" applyNumberFormat="1" applyFont="1" applyBorder="1"/>
    <xf numFmtId="177" fontId="10" fillId="0" borderId="9" xfId="5" applyNumberFormat="1" applyFont="1" applyBorder="1"/>
    <xf numFmtId="9" fontId="0" fillId="0" borderId="0" xfId="3" applyFont="1"/>
    <xf numFmtId="170" fontId="0" fillId="0" borderId="0" xfId="0" applyNumberFormat="1"/>
    <xf numFmtId="170" fontId="0" fillId="0" borderId="8" xfId="0" applyNumberFormat="1" applyBorder="1"/>
    <xf numFmtId="170" fontId="0" fillId="0" borderId="21" xfId="0" applyNumberFormat="1" applyBorder="1"/>
    <xf numFmtId="170" fontId="0" fillId="0" borderId="38" xfId="0" applyNumberFormat="1" applyBorder="1"/>
    <xf numFmtId="173" fontId="4" fillId="0" borderId="19" xfId="1" applyNumberFormat="1" applyFont="1" applyBorder="1"/>
    <xf numFmtId="40" fontId="2" fillId="0" borderId="0" xfId="0" applyNumberFormat="1" applyFont="1"/>
    <xf numFmtId="40" fontId="2" fillId="0" borderId="8" xfId="0" applyNumberFormat="1" applyFont="1" applyBorder="1"/>
    <xf numFmtId="3" fontId="4" fillId="0" borderId="33" xfId="1" applyNumberFormat="1" applyFont="1" applyBorder="1"/>
    <xf numFmtId="166" fontId="4" fillId="0" borderId="33" xfId="1" applyNumberFormat="1" applyFont="1" applyBorder="1"/>
    <xf numFmtId="173" fontId="4" fillId="0" borderId="33" xfId="1" applyNumberFormat="1" applyFont="1" applyBorder="1"/>
    <xf numFmtId="3" fontId="4" fillId="0" borderId="43" xfId="6" applyNumberFormat="1" applyFont="1" applyBorder="1"/>
    <xf numFmtId="1" fontId="4" fillId="0" borderId="9" xfId="6" applyNumberFormat="1" applyFont="1" applyBorder="1"/>
    <xf numFmtId="3" fontId="4" fillId="0" borderId="9" xfId="6" applyNumberFormat="1" applyFont="1" applyBorder="1"/>
    <xf numFmtId="3" fontId="4" fillId="0" borderId="43" xfId="1" applyNumberFormat="1" applyFont="1" applyBorder="1"/>
    <xf numFmtId="166" fontId="4" fillId="0" borderId="9" xfId="1" applyNumberFormat="1" applyFont="1" applyBorder="1"/>
    <xf numFmtId="2" fontId="4" fillId="0" borderId="9" xfId="1" applyNumberFormat="1" applyFont="1" applyBorder="1"/>
    <xf numFmtId="166" fontId="7" fillId="0" borderId="41" xfId="0" applyNumberFormat="1" applyFont="1" applyBorder="1"/>
    <xf numFmtId="3" fontId="4" fillId="0" borderId="35" xfId="6" applyNumberFormat="1" applyFont="1" applyBorder="1"/>
    <xf numFmtId="170" fontId="0" fillId="0" borderId="14" xfId="5" applyNumberFormat="1" applyFont="1" applyBorder="1"/>
    <xf numFmtId="165" fontId="5" fillId="2" borderId="45" xfId="1" applyFont="1" applyFill="1" applyBorder="1"/>
    <xf numFmtId="165" fontId="5" fillId="2" borderId="46" xfId="1" applyFont="1" applyFill="1" applyBorder="1" applyAlignment="1">
      <alignment horizontal="right"/>
    </xf>
    <xf numFmtId="0" fontId="6" fillId="2" borderId="50" xfId="0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7" fillId="5" borderId="0" xfId="0" applyFont="1" applyFill="1"/>
    <xf numFmtId="167" fontId="0" fillId="5" borderId="0" xfId="3" applyNumberFormat="1" applyFont="1" applyFill="1" applyBorder="1"/>
    <xf numFmtId="176" fontId="0" fillId="5" borderId="0" xfId="3" applyNumberFormat="1" applyFont="1" applyFill="1" applyBorder="1"/>
    <xf numFmtId="0" fontId="0" fillId="5" borderId="0" xfId="0" applyFill="1"/>
    <xf numFmtId="178" fontId="0" fillId="5" borderId="0" xfId="0" applyNumberFormat="1" applyFill="1"/>
    <xf numFmtId="1" fontId="0" fillId="5" borderId="0" xfId="0" applyNumberFormat="1" applyFill="1"/>
    <xf numFmtId="170" fontId="4" fillId="0" borderId="2" xfId="5" applyNumberFormat="1" applyFont="1" applyFill="1" applyBorder="1"/>
    <xf numFmtId="170" fontId="4" fillId="0" borderId="31" xfId="5" applyNumberFormat="1" applyFont="1" applyFill="1" applyBorder="1"/>
    <xf numFmtId="170" fontId="4" fillId="0" borderId="8" xfId="5" applyNumberFormat="1" applyFont="1" applyBorder="1"/>
    <xf numFmtId="170" fontId="4" fillId="0" borderId="9" xfId="5" applyNumberFormat="1" applyFont="1" applyBorder="1"/>
    <xf numFmtId="170" fontId="0" fillId="5" borderId="0" xfId="5" applyNumberFormat="1" applyFont="1" applyFill="1"/>
    <xf numFmtId="2" fontId="0" fillId="5" borderId="0" xfId="0" applyNumberFormat="1" applyFill="1"/>
    <xf numFmtId="1" fontId="1" fillId="2" borderId="1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center"/>
    </xf>
    <xf numFmtId="0" fontId="4" fillId="5" borderId="0" xfId="0" applyFont="1" applyFill="1"/>
    <xf numFmtId="167" fontId="2" fillId="5" borderId="0" xfId="3" applyNumberFormat="1" applyFont="1" applyFill="1" applyBorder="1"/>
    <xf numFmtId="167" fontId="4" fillId="5" borderId="0" xfId="3" applyNumberFormat="1" applyFont="1" applyFill="1" applyBorder="1"/>
    <xf numFmtId="9" fontId="2" fillId="5" borderId="0" xfId="0" applyNumberFormat="1" applyFont="1" applyFill="1"/>
    <xf numFmtId="1" fontId="4" fillId="5" borderId="0" xfId="0" applyNumberFormat="1" applyFont="1" applyFill="1"/>
    <xf numFmtId="170" fontId="11" fillId="0" borderId="17" xfId="5" applyNumberFormat="1" applyFont="1" applyBorder="1"/>
    <xf numFmtId="170" fontId="11" fillId="0" borderId="24" xfId="5" applyNumberFormat="1" applyFont="1" applyBorder="1"/>
    <xf numFmtId="3" fontId="18" fillId="0" borderId="24" xfId="0" applyNumberFormat="1" applyFont="1" applyBorder="1" applyAlignment="1">
      <alignment horizontal="center"/>
    </xf>
    <xf numFmtId="170" fontId="11" fillId="0" borderId="39" xfId="0" applyNumberFormat="1" applyFont="1" applyBorder="1"/>
    <xf numFmtId="170" fontId="11" fillId="0" borderId="49" xfId="0" applyNumberFormat="1" applyFont="1" applyBorder="1"/>
    <xf numFmtId="3" fontId="4" fillId="0" borderId="0" xfId="1" applyNumberFormat="1" applyFont="1"/>
    <xf numFmtId="0" fontId="2" fillId="5" borderId="0" xfId="0" applyFont="1" applyFill="1"/>
    <xf numFmtId="9" fontId="2" fillId="5" borderId="0" xfId="3" applyFont="1" applyFill="1" applyBorder="1"/>
    <xf numFmtId="167" fontId="4" fillId="5" borderId="0" xfId="3" applyNumberFormat="1" applyFont="1" applyFill="1"/>
    <xf numFmtId="2" fontId="4" fillId="5" borderId="0" xfId="0" applyNumberFormat="1" applyFont="1" applyFill="1"/>
    <xf numFmtId="1" fontId="7" fillId="0" borderId="27" xfId="0" applyNumberFormat="1" applyFont="1" applyBorder="1"/>
    <xf numFmtId="1" fontId="7" fillId="0" borderId="28" xfId="0" applyNumberFormat="1" applyFont="1" applyBorder="1"/>
    <xf numFmtId="2" fontId="2" fillId="5" borderId="0" xfId="0" applyNumberFormat="1" applyFont="1" applyFill="1"/>
    <xf numFmtId="166" fontId="2" fillId="5" borderId="0" xfId="0" applyNumberFormat="1" applyFont="1" applyFill="1"/>
    <xf numFmtId="167" fontId="2" fillId="5" borderId="0" xfId="3" applyNumberFormat="1" applyFont="1" applyFill="1"/>
    <xf numFmtId="168" fontId="2" fillId="5" borderId="0" xfId="0" applyNumberFormat="1" applyFont="1" applyFill="1"/>
    <xf numFmtId="168" fontId="5" fillId="2" borderId="8" xfId="1" applyNumberFormat="1" applyFont="1" applyFill="1" applyBorder="1" applyAlignment="1">
      <alignment horizontal="right"/>
    </xf>
    <xf numFmtId="0" fontId="17" fillId="0" borderId="1" xfId="0" applyFont="1" applyBorder="1"/>
    <xf numFmtId="170" fontId="17" fillId="0" borderId="14" xfId="5" applyNumberFormat="1" applyFont="1" applyBorder="1"/>
    <xf numFmtId="170" fontId="17" fillId="0" borderId="9" xfId="5" applyNumberFormat="1" applyFont="1" applyBorder="1"/>
    <xf numFmtId="0" fontId="17" fillId="0" borderId="26" xfId="0" applyFont="1" applyBorder="1"/>
    <xf numFmtId="0" fontId="17" fillId="0" borderId="27" xfId="0" applyFont="1" applyBorder="1"/>
    <xf numFmtId="170" fontId="17" fillId="0" borderId="26" xfId="5" applyNumberFormat="1" applyFont="1" applyBorder="1"/>
    <xf numFmtId="170" fontId="17" fillId="0" borderId="28" xfId="5" applyNumberFormat="1" applyFont="1" applyBorder="1"/>
    <xf numFmtId="0" fontId="18" fillId="0" borderId="1" xfId="0" applyFont="1" applyBorder="1"/>
    <xf numFmtId="170" fontId="17" fillId="0" borderId="1" xfId="5" applyNumberFormat="1" applyFont="1" applyBorder="1"/>
    <xf numFmtId="167" fontId="0" fillId="0" borderId="0" xfId="3" applyNumberFormat="1" applyFont="1" applyFill="1" applyBorder="1"/>
    <xf numFmtId="170" fontId="4" fillId="0" borderId="0" xfId="5" applyNumberFormat="1" applyFont="1"/>
    <xf numFmtId="43" fontId="0" fillId="0" borderId="38" xfId="5" applyFont="1" applyBorder="1"/>
    <xf numFmtId="0" fontId="1" fillId="2" borderId="45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</cellXfs>
  <cellStyles count="7">
    <cellStyle name="Comma" xfId="5" builtinId="3"/>
    <cellStyle name="Comma 2" xfId="4" xr:uid="{00000000-0005-0000-0000-000000000000}"/>
    <cellStyle name="Normal" xfId="0" builtinId="0"/>
    <cellStyle name="Normal 2 2" xfId="6" xr:uid="{8E91A234-CF1B-4065-A82E-EF446867A8FD}"/>
    <cellStyle name="Normal_Ark1" xfId="1" xr:uid="{00000000-0005-0000-0000-000003000000}"/>
    <cellStyle name="Percent" xfId="3" builtinId="5"/>
    <cellStyle name="Tusenskille_Ark1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veazure.sharepoint.com/sites/ORG-EK-/Delte%20dokumenter/General/L&#248;pende%20fellesoppgaver/LCOE/Havvind/Tabell-kostnader_LCOE.xlsx" TargetMode="External"/><Relationship Id="rId1" Type="http://schemas.openxmlformats.org/officeDocument/2006/relationships/externalLinkPath" Target="https://nveazure.sharepoint.com/sites/ORG-EK-/Delte%20dokumenter/General/L&#248;pende%20fellesoppgaver/LCOE/Havvind/Tabell-kostnader_LCO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KFMD0ZEJbkW-w9ig818Nr-98XbLhtEZGrLT3nW8ClHJwj_lu2-uMTa4OW8dKUQd0" itemId="01RSG7HRXHFHJ7CUDVW5DLRSJS3TJCON6I">
      <xxl21:absoluteUrl r:id="rId2"/>
    </xxl21:alternateUrls>
    <sheetNames>
      <sheetName val="LCOE"/>
      <sheetName val="2024-15MW"/>
      <sheetName val="2030-22MW"/>
      <sheetName val="Kostnader NOK"/>
      <sheetName val="Kostnader EUR"/>
      <sheetName val="EUR-NOK"/>
      <sheetName val="Internkabel 66 kV"/>
    </sheetNames>
    <sheetDataSet>
      <sheetData sheetId="0"/>
      <sheetData sheetId="1"/>
      <sheetData sheetId="2"/>
      <sheetData sheetId="3">
        <row r="22">
          <cell r="F22">
            <v>25540688.972096652</v>
          </cell>
          <cell r="G22">
            <v>8194479.4112086138</v>
          </cell>
        </row>
        <row r="23">
          <cell r="F23">
            <v>2768931.36</v>
          </cell>
          <cell r="G23">
            <v>1312997.3774999999</v>
          </cell>
        </row>
        <row r="24">
          <cell r="F24">
            <v>12293264.865409719</v>
          </cell>
          <cell r="G24">
            <v>11618107.845105514</v>
          </cell>
        </row>
        <row r="25">
          <cell r="F25">
            <v>2030144.2598753185</v>
          </cell>
          <cell r="G25">
            <v>1056279.2316907062</v>
          </cell>
        </row>
        <row r="26">
          <cell r="F26">
            <v>4263302.9457381694</v>
          </cell>
          <cell r="G26">
            <v>2218186.3865504838</v>
          </cell>
        </row>
        <row r="30">
          <cell r="F30">
            <v>3807506.25</v>
          </cell>
          <cell r="G30">
            <v>619862.01749999996</v>
          </cell>
        </row>
        <row r="31">
          <cell r="F31">
            <v>10046175.75</v>
          </cell>
          <cell r="G31">
            <v>0</v>
          </cell>
        </row>
        <row r="32">
          <cell r="F32">
            <v>6430455</v>
          </cell>
          <cell r="G32">
            <v>1060461</v>
          </cell>
        </row>
        <row r="33">
          <cell r="F33">
            <v>4286970</v>
          </cell>
          <cell r="G33">
            <v>700957.2</v>
          </cell>
        </row>
        <row r="34">
          <cell r="F34">
            <v>0</v>
          </cell>
          <cell r="G34">
            <v>902520</v>
          </cell>
        </row>
        <row r="35">
          <cell r="F35">
            <v>2501559.81</v>
          </cell>
          <cell r="G35">
            <v>337914.01740000001</v>
          </cell>
        </row>
        <row r="36">
          <cell r="F36">
            <v>2707266.6809999999</v>
          </cell>
          <cell r="G36">
            <v>362171.42349000007</v>
          </cell>
        </row>
        <row r="42">
          <cell r="F42">
            <v>836968.84424999997</v>
          </cell>
        </row>
        <row r="44">
          <cell r="G44">
            <v>726823.58302124997</v>
          </cell>
        </row>
        <row r="49">
          <cell r="F49">
            <v>393095.12208120001</v>
          </cell>
          <cell r="G49">
            <v>76689.798924007511</v>
          </cell>
        </row>
        <row r="54">
          <cell r="F54">
            <v>2142204.7289931392</v>
          </cell>
          <cell r="G54">
            <v>679576.92388787714</v>
          </cell>
        </row>
        <row r="55">
          <cell r="F55">
            <v>9054.0480598060349</v>
          </cell>
          <cell r="G55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ema">
  <a:themeElements>
    <a:clrScheme name="Skriv NVE_2018_nye_farger">
      <a:dk1>
        <a:srgbClr val="000000"/>
      </a:dk1>
      <a:lt1>
        <a:srgbClr val="FFFFFF"/>
      </a:lt1>
      <a:dk2>
        <a:srgbClr val="4C4D4F"/>
      </a:dk2>
      <a:lt2>
        <a:srgbClr val="E6E7E7"/>
      </a:lt2>
      <a:accent1>
        <a:srgbClr val="CD1232"/>
      </a:accent1>
      <a:accent2>
        <a:srgbClr val="00667E"/>
      </a:accent2>
      <a:accent3>
        <a:srgbClr val="0096A7"/>
      </a:accent3>
      <a:accent4>
        <a:srgbClr val="A3D0CA"/>
      </a:accent4>
      <a:accent5>
        <a:srgbClr val="ACC282"/>
      </a:accent5>
      <a:accent6>
        <a:srgbClr val="E96956"/>
      </a:accent6>
      <a:hlink>
        <a:srgbClr val="00667E"/>
      </a:hlink>
      <a:folHlink>
        <a:srgbClr val="838487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8A9A-9239-4FEE-A05F-116D8BCA0AE1}">
  <dimension ref="A1:J23"/>
  <sheetViews>
    <sheetView zoomScaleNormal="100" workbookViewId="0">
      <selection activeCell="B16" sqref="B16"/>
    </sheetView>
  </sheetViews>
  <sheetFormatPr defaultColWidth="11.453125" defaultRowHeight="14.5" x14ac:dyDescent="0.35"/>
  <cols>
    <col min="1" max="1" width="28.1796875" bestFit="1" customWidth="1"/>
    <col min="2" max="2" width="16.1796875" bestFit="1" customWidth="1"/>
    <col min="3" max="3" width="12" bestFit="1" customWidth="1"/>
    <col min="5" max="5" width="35.1796875" bestFit="1" customWidth="1"/>
    <col min="6" max="6" width="8.1796875" bestFit="1" customWidth="1"/>
    <col min="7" max="7" width="14.7265625" bestFit="1" customWidth="1"/>
    <col min="8" max="8" width="15.6328125" bestFit="1" customWidth="1"/>
  </cols>
  <sheetData>
    <row r="1" spans="1:10" ht="15" thickBot="1" x14ac:dyDescent="0.4">
      <c r="G1" s="31"/>
      <c r="H1" s="31"/>
    </row>
    <row r="2" spans="1:10" ht="15" thickBot="1" x14ac:dyDescent="0.4">
      <c r="A2" s="21"/>
      <c r="B2" s="49" t="s">
        <v>0</v>
      </c>
      <c r="C2" s="52"/>
      <c r="D2" s="28"/>
      <c r="E2" s="278" t="s">
        <v>1</v>
      </c>
      <c r="F2" s="279"/>
      <c r="G2" s="279"/>
      <c r="H2" s="280"/>
    </row>
    <row r="3" spans="1:10" x14ac:dyDescent="0.35">
      <c r="A3" s="49" t="s">
        <v>2</v>
      </c>
      <c r="B3" s="20" t="s">
        <v>3</v>
      </c>
      <c r="C3" s="233">
        <v>40</v>
      </c>
      <c r="E3" s="225"/>
      <c r="F3" s="226" t="s">
        <v>4</v>
      </c>
      <c r="G3" s="227" t="s">
        <v>5</v>
      </c>
      <c r="H3" s="228" t="s">
        <v>6</v>
      </c>
    </row>
    <row r="4" spans="1:10" x14ac:dyDescent="0.35">
      <c r="A4" s="49" t="s">
        <v>7</v>
      </c>
      <c r="B4" s="20" t="s">
        <v>8</v>
      </c>
      <c r="C4" s="275">
        <v>0.06</v>
      </c>
      <c r="E4" s="128" t="s">
        <v>9</v>
      </c>
      <c r="F4" s="129" t="s">
        <v>10</v>
      </c>
      <c r="G4" s="130">
        <f>C8</f>
        <v>3</v>
      </c>
      <c r="H4" s="131">
        <f>C9</f>
        <v>30</v>
      </c>
    </row>
    <row r="5" spans="1:10" x14ac:dyDescent="0.35">
      <c r="A5" s="49" t="s">
        <v>11</v>
      </c>
      <c r="B5" s="20" t="s">
        <v>3</v>
      </c>
      <c r="C5" s="233">
        <v>3</v>
      </c>
      <c r="E5" s="2" t="s">
        <v>12</v>
      </c>
      <c r="F5" s="5" t="s">
        <v>13</v>
      </c>
      <c r="G5" s="100">
        <f>C10</f>
        <v>3300</v>
      </c>
      <c r="H5" s="29">
        <f>C11</f>
        <v>3300</v>
      </c>
    </row>
    <row r="6" spans="1:10" x14ac:dyDescent="0.35">
      <c r="A6" s="49" t="s">
        <v>14</v>
      </c>
      <c r="B6" t="s">
        <v>15</v>
      </c>
      <c r="C6" s="240">
        <v>18371.528480131899</v>
      </c>
      <c r="E6" s="37" t="s">
        <v>16</v>
      </c>
      <c r="F6" s="98"/>
      <c r="G6" s="170">
        <f>G5/8760</f>
        <v>0.37671232876712329</v>
      </c>
      <c r="H6" s="171">
        <f>H5/8760</f>
        <v>0.37671232876712329</v>
      </c>
    </row>
    <row r="7" spans="1:10" x14ac:dyDescent="0.35">
      <c r="A7" s="49" t="s">
        <v>17</v>
      </c>
      <c r="B7" t="s">
        <v>18</v>
      </c>
      <c r="C7" s="241">
        <v>6</v>
      </c>
      <c r="D7" s="10"/>
      <c r="E7" s="37" t="s">
        <v>19</v>
      </c>
      <c r="F7" s="98"/>
      <c r="G7" s="99"/>
      <c r="H7" s="119"/>
    </row>
    <row r="8" spans="1:10" x14ac:dyDescent="0.35">
      <c r="A8" s="49" t="s">
        <v>20</v>
      </c>
      <c r="B8" t="s">
        <v>10</v>
      </c>
      <c r="C8" s="230">
        <v>3</v>
      </c>
      <c r="E8" s="4" t="s">
        <v>21</v>
      </c>
      <c r="F8" s="5" t="s">
        <v>15</v>
      </c>
      <c r="G8" s="100">
        <f>C6</f>
        <v>18371.528480131899</v>
      </c>
      <c r="H8" s="29">
        <f>C6</f>
        <v>18371.528480131899</v>
      </c>
    </row>
    <row r="9" spans="1:10" x14ac:dyDescent="0.35">
      <c r="A9" s="49" t="s">
        <v>22</v>
      </c>
      <c r="B9" t="s">
        <v>10</v>
      </c>
      <c r="C9" s="230">
        <v>30</v>
      </c>
      <c r="E9" s="4" t="s">
        <v>23</v>
      </c>
      <c r="F9" s="5" t="s">
        <v>15</v>
      </c>
      <c r="G9" s="100"/>
      <c r="H9" s="29"/>
    </row>
    <row r="10" spans="1:10" x14ac:dyDescent="0.35">
      <c r="A10" s="49" t="s">
        <v>24</v>
      </c>
      <c r="B10" t="s">
        <v>25</v>
      </c>
      <c r="C10" s="230">
        <v>3300</v>
      </c>
      <c r="D10" s="10"/>
      <c r="E10" s="4" t="s">
        <v>26</v>
      </c>
      <c r="F10" s="5" t="s">
        <v>15</v>
      </c>
      <c r="G10" s="100"/>
      <c r="H10" s="29"/>
      <c r="J10" s="33"/>
    </row>
    <row r="11" spans="1:10" x14ac:dyDescent="0.35">
      <c r="A11" s="49" t="s">
        <v>27</v>
      </c>
      <c r="B11" t="s">
        <v>25</v>
      </c>
      <c r="C11" s="233">
        <v>3300</v>
      </c>
      <c r="E11" s="6" t="s">
        <v>28</v>
      </c>
      <c r="F11" s="5" t="s">
        <v>15</v>
      </c>
      <c r="G11" s="100"/>
      <c r="H11" s="29"/>
      <c r="I11" t="s">
        <v>29</v>
      </c>
    </row>
    <row r="12" spans="1:10" x14ac:dyDescent="0.35">
      <c r="D12" s="19"/>
      <c r="E12" s="1" t="s">
        <v>30</v>
      </c>
      <c r="F12" s="7" t="s">
        <v>15</v>
      </c>
      <c r="G12" s="236">
        <f>G8</f>
        <v>18371.528480131899</v>
      </c>
      <c r="H12" s="237">
        <f>H8</f>
        <v>18371.528480131899</v>
      </c>
    </row>
    <row r="13" spans="1:10" x14ac:dyDescent="0.35">
      <c r="D13" s="19"/>
      <c r="E13" s="1" t="s">
        <v>31</v>
      </c>
      <c r="F13" s="7" t="s">
        <v>18</v>
      </c>
      <c r="G13" s="238">
        <f>C7</f>
        <v>6</v>
      </c>
      <c r="H13" s="239">
        <f>C7</f>
        <v>6</v>
      </c>
    </row>
    <row r="14" spans="1:10" ht="15" thickBot="1" x14ac:dyDescent="0.4">
      <c r="E14" s="8" t="s">
        <v>32</v>
      </c>
      <c r="F14" s="172" t="s">
        <v>18</v>
      </c>
      <c r="G14" s="249">
        <f>(G18+G19)/G20</f>
        <v>42.999999999999972</v>
      </c>
      <c r="H14" s="250">
        <f>(H18+H19)/H20</f>
        <v>42.999999999999964</v>
      </c>
    </row>
    <row r="16" spans="1:10" x14ac:dyDescent="0.35">
      <c r="E16" s="173" t="s">
        <v>33</v>
      </c>
      <c r="F16" s="174"/>
      <c r="G16" s="174" t="s">
        <v>34</v>
      </c>
      <c r="H16" s="175" t="s">
        <v>35</v>
      </c>
    </row>
    <row r="17" spans="1:8" x14ac:dyDescent="0.35">
      <c r="E17" s="14" t="s">
        <v>36</v>
      </c>
      <c r="F17" s="15"/>
      <c r="G17" s="77"/>
      <c r="H17" s="63"/>
    </row>
    <row r="18" spans="1:8" x14ac:dyDescent="0.35">
      <c r="E18" s="16" t="str">
        <f>E7</f>
        <v>Investeringskostnader</v>
      </c>
      <c r="F18" s="64" t="s">
        <v>37</v>
      </c>
      <c r="G18" s="276">
        <f>G12*100*1000*G4</f>
        <v>5511458544.0395699</v>
      </c>
      <c r="H18" s="238">
        <f>H12*100*1000*H4</f>
        <v>55114585440.395691</v>
      </c>
    </row>
    <row r="19" spans="1:8" x14ac:dyDescent="0.35">
      <c r="E19" s="16" t="str">
        <f>E13</f>
        <v>Variable drifts- og vedlikeholdskostnader</v>
      </c>
      <c r="F19" s="64" t="s">
        <v>37</v>
      </c>
      <c r="G19" s="276">
        <f>-PV($C$4,$C$3,G13*1000000*G22)</f>
        <v>893750034.16857946</v>
      </c>
      <c r="H19" s="238">
        <f>-PV($C$4,$C$3,H13*1000000*H22)</f>
        <v>8937500341.6857948</v>
      </c>
    </row>
    <row r="20" spans="1:8" x14ac:dyDescent="0.35">
      <c r="E20" s="16" t="s">
        <v>38</v>
      </c>
      <c r="F20" s="64" t="s">
        <v>39</v>
      </c>
      <c r="G20" s="276">
        <f>-PV($C$4,$C$3,G22*1000000)</f>
        <v>148958339.02809659</v>
      </c>
      <c r="H20" s="238">
        <f>-PV($C$4,$C$3,H22*1000000)</f>
        <v>1489583390.2809658</v>
      </c>
    </row>
    <row r="21" spans="1:8" x14ac:dyDescent="0.35">
      <c r="E21" s="76"/>
      <c r="H21" s="79"/>
    </row>
    <row r="22" spans="1:8" x14ac:dyDescent="0.35">
      <c r="E22" s="80" t="s">
        <v>40</v>
      </c>
      <c r="F22" s="68" t="s">
        <v>41</v>
      </c>
      <c r="G22" s="81">
        <f>G5*G4/1000</f>
        <v>9.9</v>
      </c>
      <c r="H22" s="82">
        <f>H5*H4/1000</f>
        <v>99</v>
      </c>
    </row>
    <row r="23" spans="1:8" ht="26.5" x14ac:dyDescent="0.35">
      <c r="A23" s="101" t="s">
        <v>42</v>
      </c>
      <c r="B23" s="10"/>
      <c r="C23" s="90">
        <v>45561</v>
      </c>
      <c r="F23" s="64"/>
      <c r="G23" s="89"/>
      <c r="H23" s="89"/>
    </row>
  </sheetData>
  <mergeCells count="1">
    <mergeCell ref="E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0BFEB-ACBD-417C-8D31-97A9AD33BEE4}">
  <dimension ref="A1:G24"/>
  <sheetViews>
    <sheetView zoomScaleNormal="100" workbookViewId="0">
      <selection activeCell="C8" sqref="C8"/>
    </sheetView>
  </sheetViews>
  <sheetFormatPr defaultColWidth="11.453125" defaultRowHeight="13" x14ac:dyDescent="0.3"/>
  <cols>
    <col min="1" max="1" width="24.26953125" style="20" customWidth="1"/>
    <col min="2" max="2" width="12.453125" style="20" bestFit="1" customWidth="1"/>
    <col min="3" max="3" width="12" style="20" bestFit="1" customWidth="1"/>
    <col min="4" max="4" width="11.453125" style="20"/>
    <col min="5" max="5" width="38.26953125" style="20" bestFit="1" customWidth="1"/>
    <col min="6" max="6" width="9" style="20" bestFit="1" customWidth="1"/>
    <col min="7" max="7" width="15.453125" style="20" bestFit="1" customWidth="1"/>
    <col min="8" max="16384" width="11.453125" style="20"/>
  </cols>
  <sheetData>
    <row r="1" spans="1:7" ht="13.5" thickBot="1" x14ac:dyDescent="0.35"/>
    <row r="2" spans="1:7" ht="14.5" x14ac:dyDescent="0.35">
      <c r="A2" s="138"/>
      <c r="B2" s="138" t="s">
        <v>0</v>
      </c>
      <c r="C2" s="139"/>
      <c r="D2"/>
      <c r="E2" s="34" t="s">
        <v>43</v>
      </c>
      <c r="F2" s="140"/>
      <c r="G2" s="141"/>
    </row>
    <row r="3" spans="1:7" ht="14.5" x14ac:dyDescent="0.35">
      <c r="A3" s="54" t="s">
        <v>2</v>
      </c>
      <c r="B3" t="s">
        <v>3</v>
      </c>
      <c r="C3" s="230">
        <v>25</v>
      </c>
      <c r="D3"/>
      <c r="E3" s="143"/>
      <c r="F3" s="144" t="s">
        <v>4</v>
      </c>
      <c r="G3" s="145"/>
    </row>
    <row r="4" spans="1:7" ht="15" thickBot="1" x14ac:dyDescent="0.4">
      <c r="A4" s="54" t="s">
        <v>7</v>
      </c>
      <c r="B4" t="s">
        <v>8</v>
      </c>
      <c r="C4" s="231">
        <v>0.06</v>
      </c>
      <c r="D4"/>
      <c r="E4" s="146" t="s">
        <v>44</v>
      </c>
      <c r="F4" s="147" t="s">
        <v>10</v>
      </c>
      <c r="G4" s="148">
        <f>C9</f>
        <v>90</v>
      </c>
    </row>
    <row r="5" spans="1:7" ht="14.5" x14ac:dyDescent="0.35">
      <c r="A5" s="54" t="s">
        <v>45</v>
      </c>
      <c r="B5" s="142" t="s">
        <v>46</v>
      </c>
      <c r="C5" s="232">
        <v>1E-3</v>
      </c>
      <c r="D5"/>
      <c r="E5" s="149" t="s">
        <v>47</v>
      </c>
      <c r="F5" s="150" t="s">
        <v>13</v>
      </c>
      <c r="G5" s="151">
        <f>C10</f>
        <v>3501.3097147231865</v>
      </c>
    </row>
    <row r="6" spans="1:7" ht="14.5" customHeight="1" x14ac:dyDescent="0.35">
      <c r="A6" s="54" t="s">
        <v>11</v>
      </c>
      <c r="B6" t="s">
        <v>3</v>
      </c>
      <c r="C6" s="233">
        <v>1</v>
      </c>
      <c r="D6"/>
      <c r="E6" s="152" t="s">
        <v>48</v>
      </c>
      <c r="F6" s="153"/>
      <c r="G6" s="154">
        <f>C7</f>
        <v>13621.58</v>
      </c>
    </row>
    <row r="7" spans="1:7" ht="14.5" x14ac:dyDescent="0.35">
      <c r="A7" s="54" t="s">
        <v>14</v>
      </c>
      <c r="B7" t="s">
        <v>15</v>
      </c>
      <c r="C7" s="234">
        <v>13621.58</v>
      </c>
      <c r="D7"/>
      <c r="E7" s="155" t="s">
        <v>49</v>
      </c>
      <c r="F7" s="156" t="s">
        <v>15</v>
      </c>
      <c r="G7" s="157"/>
    </row>
    <row r="8" spans="1:7" ht="14.5" x14ac:dyDescent="0.35">
      <c r="A8" s="54" t="s">
        <v>17</v>
      </c>
      <c r="B8" t="s">
        <v>50</v>
      </c>
      <c r="C8" s="233">
        <v>0.112</v>
      </c>
      <c r="D8"/>
      <c r="E8" s="155" t="s">
        <v>51</v>
      </c>
      <c r="F8" s="156" t="s">
        <v>15</v>
      </c>
      <c r="G8" s="157"/>
    </row>
    <row r="9" spans="1:7" ht="14.5" x14ac:dyDescent="0.35">
      <c r="A9" s="54" t="s">
        <v>44</v>
      </c>
      <c r="B9" t="s">
        <v>10</v>
      </c>
      <c r="C9" s="233">
        <v>90</v>
      </c>
      <c r="D9"/>
      <c r="E9" s="155" t="s">
        <v>52</v>
      </c>
      <c r="F9" s="156" t="s">
        <v>15</v>
      </c>
      <c r="G9" s="157"/>
    </row>
    <row r="10" spans="1:7" ht="14.5" x14ac:dyDescent="0.35">
      <c r="A10" s="54" t="s">
        <v>53</v>
      </c>
      <c r="B10" t="s">
        <v>25</v>
      </c>
      <c r="C10" s="235">
        <v>3501.3097147231865</v>
      </c>
      <c r="D10"/>
      <c r="E10" s="155" t="s">
        <v>54</v>
      </c>
      <c r="F10" s="156" t="s">
        <v>15</v>
      </c>
      <c r="G10" s="157"/>
    </row>
    <row r="11" spans="1:7" ht="14.5" x14ac:dyDescent="0.35">
      <c r="D11"/>
      <c r="E11" s="155" t="s">
        <v>55</v>
      </c>
      <c r="F11" s="156" t="s">
        <v>15</v>
      </c>
      <c r="G11" s="157"/>
    </row>
    <row r="12" spans="1:7" ht="14.5" x14ac:dyDescent="0.35">
      <c r="D12"/>
      <c r="E12" s="155" t="s">
        <v>56</v>
      </c>
      <c r="F12" s="156" t="s">
        <v>15</v>
      </c>
      <c r="G12" s="157"/>
    </row>
    <row r="13" spans="1:7" ht="14.5" x14ac:dyDescent="0.35">
      <c r="A13"/>
      <c r="B13"/>
      <c r="C13"/>
      <c r="D13"/>
      <c r="E13" s="155" t="s">
        <v>57</v>
      </c>
      <c r="F13" s="156" t="s">
        <v>15</v>
      </c>
      <c r="G13" s="157"/>
    </row>
    <row r="14" spans="1:7" ht="14.5" x14ac:dyDescent="0.35">
      <c r="A14"/>
      <c r="B14"/>
      <c r="C14"/>
      <c r="D14"/>
      <c r="E14" s="158" t="s">
        <v>30</v>
      </c>
      <c r="F14" s="159" t="s">
        <v>15</v>
      </c>
      <c r="G14" s="160">
        <f>G6</f>
        <v>13621.58</v>
      </c>
    </row>
    <row r="15" spans="1:7" ht="14.5" x14ac:dyDescent="0.35">
      <c r="A15"/>
      <c r="B15"/>
      <c r="C15"/>
      <c r="D15"/>
      <c r="E15" s="158" t="s">
        <v>31</v>
      </c>
      <c r="F15" s="159" t="s">
        <v>18</v>
      </c>
      <c r="G15" s="161">
        <v>11.2</v>
      </c>
    </row>
    <row r="16" spans="1:7" ht="15" thickBot="1" x14ac:dyDescent="0.4">
      <c r="A16"/>
      <c r="B16"/>
      <c r="C16"/>
      <c r="D16"/>
      <c r="E16" s="162" t="s">
        <v>58</v>
      </c>
      <c r="F16" s="163" t="s">
        <v>18</v>
      </c>
      <c r="G16" s="251">
        <f>(G19+G21+G20)/G22</f>
        <v>43.768992514264951</v>
      </c>
    </row>
    <row r="17" spans="1:7" ht="14.5" x14ac:dyDescent="0.35">
      <c r="A17"/>
      <c r="B17"/>
      <c r="C17"/>
      <c r="D17"/>
      <c r="E17"/>
      <c r="F17"/>
      <c r="G17"/>
    </row>
    <row r="18" spans="1:7" ht="14.5" x14ac:dyDescent="0.35">
      <c r="A18"/>
      <c r="B18"/>
      <c r="C18"/>
      <c r="D18"/>
      <c r="E18" s="164" t="s">
        <v>36</v>
      </c>
      <c r="F18" s="61"/>
      <c r="G18" s="75"/>
    </row>
    <row r="19" spans="1:7" ht="14.5" x14ac:dyDescent="0.35">
      <c r="D19"/>
      <c r="E19" s="76" t="s">
        <v>19</v>
      </c>
      <c r="F19" t="s">
        <v>37</v>
      </c>
      <c r="G19" s="167">
        <f>G4*G6*100*1000</f>
        <v>122594220000</v>
      </c>
    </row>
    <row r="20" spans="1:7" ht="14.5" x14ac:dyDescent="0.35">
      <c r="A20" s="229"/>
      <c r="B20" s="142"/>
      <c r="C20" s="166"/>
      <c r="D20"/>
      <c r="E20" s="76" t="s">
        <v>59</v>
      </c>
      <c r="F20" t="s">
        <v>37</v>
      </c>
      <c r="G20" s="167">
        <f>-PV(C4,C6,G19*C4)</f>
        <v>6939295471.6981192</v>
      </c>
    </row>
    <row r="21" spans="1:7" ht="14.5" x14ac:dyDescent="0.35">
      <c r="A21"/>
      <c r="B21"/>
      <c r="C21"/>
      <c r="D21"/>
      <c r="E21" s="76" t="s">
        <v>31</v>
      </c>
      <c r="F21" t="s">
        <v>37</v>
      </c>
      <c r="G21" s="167">
        <f>-PV($C$4,$C$3,$G$15*1000*$G$4*$G$5)</f>
        <v>45116557016.541359</v>
      </c>
    </row>
    <row r="22" spans="1:7" ht="14.5" x14ac:dyDescent="0.35">
      <c r="A22"/>
      <c r="B22"/>
      <c r="C22"/>
      <c r="D22"/>
      <c r="E22" s="76" t="s">
        <v>38</v>
      </c>
      <c r="F22" t="s">
        <v>39</v>
      </c>
      <c r="G22" s="167">
        <f>-PV($C$4+$C$5,$C$3,$G$23*1000000)</f>
        <v>3990269422.6127887</v>
      </c>
    </row>
    <row r="23" spans="1:7" ht="14.5" x14ac:dyDescent="0.35">
      <c r="A23"/>
      <c r="B23"/>
      <c r="C23"/>
      <c r="D23"/>
      <c r="E23" s="168" t="s">
        <v>60</v>
      </c>
      <c r="F23" s="169" t="s">
        <v>41</v>
      </c>
      <c r="G23" s="277">
        <f>G4*G5/1000</f>
        <v>315.11787432508675</v>
      </c>
    </row>
    <row r="24" spans="1:7" ht="29" x14ac:dyDescent="0.35">
      <c r="A24" s="165" t="s">
        <v>42</v>
      </c>
      <c r="B24" s="142"/>
      <c r="C24" s="166">
        <v>45540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D459-198D-4F65-9A59-B08394A06554}">
  <dimension ref="A1:I46"/>
  <sheetViews>
    <sheetView zoomScaleNormal="100" workbookViewId="0">
      <selection activeCell="D8" sqref="D8"/>
    </sheetView>
  </sheetViews>
  <sheetFormatPr defaultColWidth="11.453125" defaultRowHeight="13" x14ac:dyDescent="0.3"/>
  <cols>
    <col min="1" max="1" width="28.26953125" style="20" bestFit="1" customWidth="1"/>
    <col min="2" max="2" width="12.453125" style="20" bestFit="1" customWidth="1"/>
    <col min="3" max="3" width="14.26953125" style="20" bestFit="1" customWidth="1"/>
    <col min="4" max="4" width="13.453125" style="20" customWidth="1"/>
    <col min="5" max="5" width="11.453125" style="20"/>
    <col min="6" max="6" width="42" style="20" bestFit="1" customWidth="1"/>
    <col min="7" max="7" width="11.453125" style="20" bestFit="1" customWidth="1"/>
    <col min="8" max="9" width="19" style="20" bestFit="1" customWidth="1"/>
    <col min="10" max="16384" width="11.453125" style="20"/>
  </cols>
  <sheetData>
    <row r="1" spans="1:9" ht="13.5" thickBot="1" x14ac:dyDescent="0.35"/>
    <row r="2" spans="1:9" ht="14.5" x14ac:dyDescent="0.35">
      <c r="A2" s="49"/>
      <c r="B2" s="49" t="s">
        <v>0</v>
      </c>
      <c r="C2" s="52" t="s">
        <v>61</v>
      </c>
      <c r="D2" s="54" t="s">
        <v>62</v>
      </c>
      <c r="F2" s="176" t="s">
        <v>63</v>
      </c>
      <c r="G2" s="177"/>
      <c r="H2" s="178" t="s">
        <v>61</v>
      </c>
      <c r="I2" s="179" t="s">
        <v>62</v>
      </c>
    </row>
    <row r="3" spans="1:9" ht="14.5" x14ac:dyDescent="0.35">
      <c r="A3" s="49" t="s">
        <v>2</v>
      </c>
      <c r="B3" s="20" t="s">
        <v>3</v>
      </c>
      <c r="C3" s="244">
        <v>30</v>
      </c>
      <c r="D3" s="244">
        <v>30</v>
      </c>
      <c r="F3" s="22"/>
      <c r="G3" s="180"/>
      <c r="H3" s="181"/>
      <c r="I3" s="182"/>
    </row>
    <row r="4" spans="1:9" ht="15" thickBot="1" x14ac:dyDescent="0.4">
      <c r="A4" s="62" t="s">
        <v>7</v>
      </c>
      <c r="B4" s="20" t="s">
        <v>46</v>
      </c>
      <c r="C4" s="245">
        <v>0.06</v>
      </c>
      <c r="D4" s="245">
        <v>0.06</v>
      </c>
      <c r="F4" s="22" t="s">
        <v>44</v>
      </c>
      <c r="G4" s="180" t="s">
        <v>10</v>
      </c>
      <c r="H4" s="242">
        <f>C8</f>
        <v>1500</v>
      </c>
      <c r="I4" s="243">
        <f>D8</f>
        <v>495</v>
      </c>
    </row>
    <row r="5" spans="1:9" ht="15" thickBot="1" x14ac:dyDescent="0.4">
      <c r="A5" s="49" t="s">
        <v>45</v>
      </c>
      <c r="B5" s="20" t="s">
        <v>46</v>
      </c>
      <c r="C5" s="246">
        <v>3.0701773171943661E-3</v>
      </c>
      <c r="D5" s="246">
        <v>3.2400567816559915E-3</v>
      </c>
      <c r="F5" s="183" t="s">
        <v>64</v>
      </c>
      <c r="G5" s="184" t="s">
        <v>13</v>
      </c>
      <c r="H5" s="185">
        <f>C9</f>
        <v>4466.666666666667</v>
      </c>
      <c r="I5" s="186">
        <f>D9</f>
        <v>4242.424242424242</v>
      </c>
    </row>
    <row r="6" spans="1:9" ht="14.5" x14ac:dyDescent="0.35">
      <c r="A6" s="49" t="s">
        <v>16</v>
      </c>
      <c r="B6" s="20" t="s">
        <v>46</v>
      </c>
      <c r="C6" s="247">
        <v>0.50989345509893458</v>
      </c>
      <c r="D6" s="247">
        <v>0.48429500484295002</v>
      </c>
      <c r="F6" s="187" t="s">
        <v>65</v>
      </c>
      <c r="G6" s="188"/>
      <c r="H6" s="189"/>
      <c r="I6" s="190"/>
    </row>
    <row r="7" spans="1:9" ht="14.5" x14ac:dyDescent="0.35">
      <c r="A7" s="54" t="s">
        <v>11</v>
      </c>
      <c r="B7" s="20" t="s">
        <v>3</v>
      </c>
      <c r="C7" s="248">
        <v>3</v>
      </c>
      <c r="D7" s="248">
        <v>3</v>
      </c>
      <c r="F7" s="191" t="s">
        <v>66</v>
      </c>
      <c r="G7" t="s">
        <v>67</v>
      </c>
      <c r="H7" s="224">
        <f>'[1]Kostnader NOK'!F22/$H$4</f>
        <v>17027.125981397767</v>
      </c>
      <c r="I7" s="193">
        <f>'[1]Kostnader NOK'!G22/$I$4</f>
        <v>16554.503861027504</v>
      </c>
    </row>
    <row r="8" spans="1:9" ht="14.5" x14ac:dyDescent="0.35">
      <c r="A8" s="54" t="s">
        <v>68</v>
      </c>
      <c r="B8" s="20" t="s">
        <v>10</v>
      </c>
      <c r="C8" s="248">
        <v>1500</v>
      </c>
      <c r="D8" s="248">
        <v>495</v>
      </c>
      <c r="F8" s="191" t="s">
        <v>69</v>
      </c>
      <c r="G8" t="s">
        <v>67</v>
      </c>
      <c r="H8" s="224">
        <f>'[1]Kostnader NOK'!F23/$H$4</f>
        <v>1845.9542399999998</v>
      </c>
      <c r="I8" s="193">
        <f>'[1]Kostnader NOK'!G23/$I$4</f>
        <v>2652.5199545454543</v>
      </c>
    </row>
    <row r="9" spans="1:9" ht="14.5" x14ac:dyDescent="0.35">
      <c r="A9" s="54" t="s">
        <v>70</v>
      </c>
      <c r="B9" s="20" t="s">
        <v>25</v>
      </c>
      <c r="C9" s="248">
        <v>4466.666666666667</v>
      </c>
      <c r="D9" s="248">
        <v>4242.424242424242</v>
      </c>
      <c r="F9" s="191" t="s">
        <v>71</v>
      </c>
      <c r="G9" t="s">
        <v>67</v>
      </c>
      <c r="H9" s="224">
        <f>'[1]Kostnader NOK'!F24/$H$4</f>
        <v>8195.5099102731456</v>
      </c>
      <c r="I9" s="193">
        <f>'[1]Kostnader NOK'!G24/$I$4</f>
        <v>23470.924939607099</v>
      </c>
    </row>
    <row r="10" spans="1:9" ht="14.5" x14ac:dyDescent="0.35">
      <c r="D10"/>
      <c r="F10" s="191" t="s">
        <v>72</v>
      </c>
      <c r="G10" t="s">
        <v>67</v>
      </c>
      <c r="H10" s="224">
        <f>'[1]Kostnader NOK'!F25/$H$4</f>
        <v>1353.4295065835456</v>
      </c>
      <c r="I10" s="193">
        <f>'[1]Kostnader NOK'!G25/$I$4</f>
        <v>2133.8974377590025</v>
      </c>
    </row>
    <row r="11" spans="1:9" ht="14.5" x14ac:dyDescent="0.35">
      <c r="D11"/>
      <c r="F11" s="266" t="s">
        <v>73</v>
      </c>
      <c r="G11" s="142" t="s">
        <v>67</v>
      </c>
      <c r="H11" s="267">
        <f>'[1]Kostnader NOK'!F26/$H$4</f>
        <v>2842.2019638254465</v>
      </c>
      <c r="I11" s="268">
        <f>'[1]Kostnader NOK'!G26/$I$4</f>
        <v>4481.1846192939065</v>
      </c>
    </row>
    <row r="12" spans="1:9" ht="15" thickBot="1" x14ac:dyDescent="0.4">
      <c r="F12" s="269" t="s">
        <v>74</v>
      </c>
      <c r="G12" s="270" t="s">
        <v>67</v>
      </c>
      <c r="H12" s="271">
        <f>SUM(H7:H11)*(((1+($C$4))*((1+$C$4)^($C$7)-1))/($C$4*$C$7))-SUM(H7:H11)</f>
        <v>3904.0258798949835</v>
      </c>
      <c r="I12" s="272">
        <f>SUM(I7:I11)*(((1+($D$4))*((1+$D$4)^($D$7)-1))/($D$4*$D$7))-SUM(I7:I11)</f>
        <v>6155.3193435852445</v>
      </c>
    </row>
    <row r="13" spans="1:9" ht="14.5" x14ac:dyDescent="0.35">
      <c r="F13" s="273" t="s">
        <v>75</v>
      </c>
      <c r="G13" s="142"/>
      <c r="H13" s="274"/>
      <c r="I13" s="268"/>
    </row>
    <row r="14" spans="1:9" ht="14.5" x14ac:dyDescent="0.35">
      <c r="F14" s="266" t="s">
        <v>76</v>
      </c>
      <c r="G14" s="142" t="s">
        <v>67</v>
      </c>
      <c r="H14" s="274">
        <f>'[1]Kostnader NOK'!F30/$H$4</f>
        <v>2538.3375000000001</v>
      </c>
      <c r="I14" s="268">
        <f>'[1]Kostnader NOK'!G30/$I$4</f>
        <v>1252.2465</v>
      </c>
    </row>
    <row r="15" spans="1:9" ht="14.5" x14ac:dyDescent="0.35">
      <c r="F15" s="266" t="s">
        <v>77</v>
      </c>
      <c r="G15" s="142" t="s">
        <v>67</v>
      </c>
      <c r="H15" s="274">
        <f>'[1]Kostnader NOK'!F31/$H$4</f>
        <v>6697.4504999999999</v>
      </c>
      <c r="I15" s="268">
        <f>'[1]Kostnader NOK'!G31/$I$4</f>
        <v>0</v>
      </c>
    </row>
    <row r="16" spans="1:9" ht="14.5" x14ac:dyDescent="0.35">
      <c r="F16" s="266" t="s">
        <v>78</v>
      </c>
      <c r="G16" s="142" t="s">
        <v>67</v>
      </c>
      <c r="H16" s="274">
        <f>'[1]Kostnader NOK'!F32/$H$4</f>
        <v>4286.97</v>
      </c>
      <c r="I16" s="268">
        <f>'[1]Kostnader NOK'!G32/$I$4</f>
        <v>2142.3454545454547</v>
      </c>
    </row>
    <row r="17" spans="6:9" ht="14.5" x14ac:dyDescent="0.35">
      <c r="F17" s="266" t="s">
        <v>79</v>
      </c>
      <c r="G17" s="142" t="s">
        <v>67</v>
      </c>
      <c r="H17" s="274">
        <f>'[1]Kostnader NOK'!F33/$H$4</f>
        <v>2857.98</v>
      </c>
      <c r="I17" s="268">
        <f>'[1]Kostnader NOK'!G33/$I$4</f>
        <v>1416.0751515151514</v>
      </c>
    </row>
    <row r="18" spans="6:9" ht="14.5" x14ac:dyDescent="0.35">
      <c r="F18" s="266" t="s">
        <v>80</v>
      </c>
      <c r="G18" s="142" t="s">
        <v>67</v>
      </c>
      <c r="H18" s="274">
        <f>'[1]Kostnader NOK'!F34/$H$4</f>
        <v>0</v>
      </c>
      <c r="I18" s="268">
        <f>'[1]Kostnader NOK'!G34/$I$4</f>
        <v>1823.2727272727273</v>
      </c>
    </row>
    <row r="19" spans="6:9" ht="14.5" x14ac:dyDescent="0.35">
      <c r="F19" s="266" t="s">
        <v>72</v>
      </c>
      <c r="G19" s="142" t="s">
        <v>67</v>
      </c>
      <c r="H19" s="274">
        <f>'[1]Kostnader NOK'!F35/$H$4</f>
        <v>1667.7065400000001</v>
      </c>
      <c r="I19" s="268">
        <f>'[1]Kostnader NOK'!G35/$I$4</f>
        <v>682.65458060606068</v>
      </c>
    </row>
    <row r="20" spans="6:9" ht="14.5" x14ac:dyDescent="0.35">
      <c r="F20" s="266" t="s">
        <v>73</v>
      </c>
      <c r="G20" s="142" t="s">
        <v>67</v>
      </c>
      <c r="H20" s="274">
        <f>'[1]Kostnader NOK'!F36/$H$4</f>
        <v>1804.8444539999998</v>
      </c>
      <c r="I20" s="268">
        <f>'[1]Kostnader NOK'!G36/$I$4</f>
        <v>731.65944139393957</v>
      </c>
    </row>
    <row r="21" spans="6:9" ht="15" thickBot="1" x14ac:dyDescent="0.4">
      <c r="F21" s="266" t="s">
        <v>74</v>
      </c>
      <c r="G21" s="142" t="s">
        <v>67</v>
      </c>
      <c r="H21" s="274">
        <f>SUM(H14:H20)*(((1+($C$4))*((1+$C$4)^($C$7)-1))/($C$4*$C$7))-SUM(H14:H20)</f>
        <v>2479.1199032588047</v>
      </c>
      <c r="I21" s="268">
        <f>SUM(I14:I20)*(((1+($D$4))*((1+$D$4)^($D$7)-1))/($D$4*$D$7))-SUM(I14:I20)</f>
        <v>1005.0015554231995</v>
      </c>
    </row>
    <row r="22" spans="6:9" ht="14.5" x14ac:dyDescent="0.35">
      <c r="F22" s="194" t="s">
        <v>65</v>
      </c>
      <c r="G22" s="188" t="s">
        <v>67</v>
      </c>
      <c r="H22" s="195">
        <f t="shared" ref="H22:I22" si="0">SUM(H7:H12)</f>
        <v>35168.24748197489</v>
      </c>
      <c r="I22" s="196">
        <f t="shared" si="0"/>
        <v>55448.350155818211</v>
      </c>
    </row>
    <row r="23" spans="6:9" ht="15" thickBot="1" x14ac:dyDescent="0.4">
      <c r="F23" s="191" t="s">
        <v>75</v>
      </c>
      <c r="G23" t="s">
        <v>67</v>
      </c>
      <c r="H23" s="197">
        <f t="shared" ref="H23:I23" si="1">SUM(H14:H21)</f>
        <v>22332.408897258803</v>
      </c>
      <c r="I23" s="198">
        <f t="shared" si="1"/>
        <v>9053.255410756532</v>
      </c>
    </row>
    <row r="24" spans="6:9" ht="71.150000000000006" customHeight="1" thickBot="1" x14ac:dyDescent="0.4">
      <c r="F24" s="199" t="s">
        <v>19</v>
      </c>
      <c r="G24" s="200" t="s">
        <v>67</v>
      </c>
      <c r="H24" s="201">
        <f t="shared" ref="H24:I24" si="2">SUM(H22:H23)</f>
        <v>57500.656379233696</v>
      </c>
      <c r="I24" s="202">
        <f t="shared" si="2"/>
        <v>64501.605566574741</v>
      </c>
    </row>
    <row r="25" spans="6:9" ht="14.5" x14ac:dyDescent="0.35">
      <c r="F25" s="191" t="s">
        <v>81</v>
      </c>
      <c r="G25" t="s">
        <v>82</v>
      </c>
      <c r="H25" s="197">
        <f>'[1]Kostnader NOK'!F42/$H$4</f>
        <v>557.97922949999997</v>
      </c>
      <c r="I25" s="198">
        <f>'[1]Kostnader NOK'!G44/$I$4</f>
        <v>1468.3304707499999</v>
      </c>
    </row>
    <row r="26" spans="6:9" ht="15" thickBot="1" x14ac:dyDescent="0.4">
      <c r="F26" s="191" t="s">
        <v>83</v>
      </c>
      <c r="G26" t="s">
        <v>82</v>
      </c>
      <c r="H26" s="197">
        <f>'[1]Kostnader NOK'!F49/$H$4</f>
        <v>262.06341472079998</v>
      </c>
      <c r="I26" s="198">
        <f>'[1]Kostnader NOK'!G49/$I$4</f>
        <v>154.9288867151667</v>
      </c>
    </row>
    <row r="27" spans="6:9" ht="15" thickBot="1" x14ac:dyDescent="0.4">
      <c r="F27" s="199" t="s">
        <v>84</v>
      </c>
      <c r="G27" s="200" t="s">
        <v>82</v>
      </c>
      <c r="H27" s="201">
        <f t="shared" ref="H27:I27" si="3">SUM(H25:H26)</f>
        <v>820.04264422079996</v>
      </c>
      <c r="I27" s="202">
        <f t="shared" si="3"/>
        <v>1623.2593574651667</v>
      </c>
    </row>
    <row r="28" spans="6:9" ht="14.5" x14ac:dyDescent="0.35">
      <c r="F28" s="191" t="s">
        <v>85</v>
      </c>
      <c r="G28" t="s">
        <v>67</v>
      </c>
      <c r="H28" s="197">
        <f>'[1]Kostnader NOK'!F54/$H$4</f>
        <v>1428.1364859954263</v>
      </c>
      <c r="I28" s="198">
        <f>'[1]Kostnader NOK'!G54/$I$4</f>
        <v>1372.882674520964</v>
      </c>
    </row>
    <row r="29" spans="6:9" ht="15" thickBot="1" x14ac:dyDescent="0.4">
      <c r="F29" s="191" t="s">
        <v>86</v>
      </c>
      <c r="G29" t="s">
        <v>67</v>
      </c>
      <c r="H29" s="197">
        <f>'[1]Kostnader NOK'!F55/$H$4</f>
        <v>6.0360320398706895</v>
      </c>
      <c r="I29" s="198">
        <f>'[1]Kostnader NOK'!G55/$I$4</f>
        <v>0</v>
      </c>
    </row>
    <row r="30" spans="6:9" ht="15" thickBot="1" x14ac:dyDescent="0.4">
      <c r="F30" s="199" t="s">
        <v>87</v>
      </c>
      <c r="G30" s="200" t="s">
        <v>67</v>
      </c>
      <c r="H30" s="201">
        <f t="shared" ref="H30:I30" si="4">SUM(H28:H29)</f>
        <v>1434.1725180352969</v>
      </c>
      <c r="I30" s="202">
        <f t="shared" si="4"/>
        <v>1372.882674520964</v>
      </c>
    </row>
    <row r="31" spans="6:9" ht="14.5" x14ac:dyDescent="0.35">
      <c r="F31" s="191" t="s">
        <v>88</v>
      </c>
      <c r="G31" t="str">
        <f>G32</f>
        <v>øre/kWh</v>
      </c>
      <c r="H31" s="203">
        <f t="shared" ref="H31:I31" si="5">(H40+H42)/H44</f>
        <v>71.996802531070742</v>
      </c>
      <c r="I31" s="204">
        <f t="shared" si="5"/>
        <v>134.08584107897147</v>
      </c>
    </row>
    <row r="32" spans="6:9" ht="14.5" x14ac:dyDescent="0.35">
      <c r="F32" s="191" t="s">
        <v>89</v>
      </c>
      <c r="G32" t="s">
        <v>18</v>
      </c>
      <c r="H32" s="203">
        <f t="shared" ref="H32:I32" si="6">(H41+H43)/H44</f>
        <v>43.585254488889049</v>
      </c>
      <c r="I32" s="204">
        <f t="shared" si="6"/>
        <v>19.823781690036604</v>
      </c>
    </row>
    <row r="33" spans="1:9" ht="14.5" x14ac:dyDescent="0.35">
      <c r="F33" s="191" t="s">
        <v>90</v>
      </c>
      <c r="G33" t="s">
        <v>18</v>
      </c>
      <c r="H33" s="203">
        <f t="shared" ref="H33:I33" si="7">(H40+H41)/H44</f>
        <v>96.615761807867329</v>
      </c>
      <c r="I33" s="204">
        <f t="shared" si="7"/>
        <v>114.31125592677444</v>
      </c>
    </row>
    <row r="34" spans="1:9" ht="15" thickBot="1" x14ac:dyDescent="0.4">
      <c r="F34" s="191" t="s">
        <v>91</v>
      </c>
      <c r="G34" t="s">
        <v>18</v>
      </c>
      <c r="H34" s="203">
        <f t="shared" ref="H34:I34" si="8">(H42+H43)/H44</f>
        <v>18.966295212092454</v>
      </c>
      <c r="I34" s="204">
        <f t="shared" si="8"/>
        <v>39.598366842233624</v>
      </c>
    </row>
    <row r="35" spans="1:9" ht="15" thickBot="1" x14ac:dyDescent="0.4">
      <c r="F35" s="199" t="s">
        <v>92</v>
      </c>
      <c r="G35" s="200" t="s">
        <v>18</v>
      </c>
      <c r="H35" s="252">
        <f t="shared" ref="H35:I35" si="9">SUM(H31:H32)</f>
        <v>115.58205701995979</v>
      </c>
      <c r="I35" s="253">
        <f t="shared" si="9"/>
        <v>153.90962276900808</v>
      </c>
    </row>
    <row r="36" spans="1:9" ht="14.5" x14ac:dyDescent="0.35">
      <c r="F36"/>
      <c r="G36"/>
      <c r="H36"/>
      <c r="I36"/>
    </row>
    <row r="37" spans="1:9" ht="14.5" x14ac:dyDescent="0.35">
      <c r="F37"/>
      <c r="G37"/>
      <c r="H37"/>
      <c r="I37"/>
    </row>
    <row r="38" spans="1:9" ht="14.5" x14ac:dyDescent="0.35">
      <c r="F38"/>
      <c r="G38"/>
      <c r="H38" s="205"/>
      <c r="I38" s="205"/>
    </row>
    <row r="39" spans="1:9" ht="14.5" x14ac:dyDescent="0.35">
      <c r="F39" s="164" t="s">
        <v>36</v>
      </c>
      <c r="G39" s="61"/>
      <c r="H39" s="61"/>
      <c r="I39" s="75"/>
    </row>
    <row r="40" spans="1:9" ht="14.5" x14ac:dyDescent="0.35">
      <c r="F40" s="76" t="s">
        <v>93</v>
      </c>
      <c r="G40" t="s">
        <v>37</v>
      </c>
      <c r="H40" s="206">
        <f t="shared" ref="H40:H41" si="10">H22*$H$4*100*1000</f>
        <v>5275237122296.2334</v>
      </c>
      <c r="I40" s="207">
        <f t="shared" ref="I40:I41" si="11">I22*$I$4*100*1000</f>
        <v>2744693332713.002</v>
      </c>
    </row>
    <row r="41" spans="1:9" ht="14.5" x14ac:dyDescent="0.35">
      <c r="F41" s="76" t="s">
        <v>94</v>
      </c>
      <c r="G41" t="s">
        <v>37</v>
      </c>
      <c r="H41" s="206">
        <f t="shared" si="10"/>
        <v>3349861334588.8203</v>
      </c>
      <c r="I41" s="207">
        <f t="shared" si="11"/>
        <v>448136142832.44836</v>
      </c>
    </row>
    <row r="42" spans="1:9" ht="14.5" x14ac:dyDescent="0.35">
      <c r="F42" s="76" t="s">
        <v>81</v>
      </c>
      <c r="G42" t="s">
        <v>37</v>
      </c>
      <c r="H42" s="192">
        <f t="shared" ref="H42:H43" si="12">-PV($C$4,$C$3,H25*1000*100*$H$4)</f>
        <v>1152073482015.8506</v>
      </c>
      <c r="I42" s="167">
        <f>-PV($D$4,$D$3,I25*1000*100*$I$4)</f>
        <v>1000460389720.8066</v>
      </c>
    </row>
    <row r="43" spans="1:9" ht="14.5" x14ac:dyDescent="0.35">
      <c r="F43" s="76" t="s">
        <v>83</v>
      </c>
      <c r="G43" t="s">
        <v>37</v>
      </c>
      <c r="H43" s="192">
        <f t="shared" si="12"/>
        <v>541088798192.18414</v>
      </c>
      <c r="I43" s="167">
        <f>-PV($D$4,$D$3,I26*1000*100*$I$4)</f>
        <v>105562213323.06392</v>
      </c>
    </row>
    <row r="44" spans="1:9" ht="14.5" x14ac:dyDescent="0.35">
      <c r="F44" s="76" t="s">
        <v>38</v>
      </c>
      <c r="G44" t="s">
        <v>95</v>
      </c>
      <c r="H44" s="192">
        <f>-PV($C$4+$C$5,$C$3,$H$45*1000000)</f>
        <v>89272167351.297745</v>
      </c>
      <c r="I44" s="167">
        <f>-PV($D$4+$D$5,$D$3,$I$45*1000000)</f>
        <v>27931015626.236446</v>
      </c>
    </row>
    <row r="45" spans="1:9" ht="14.5" x14ac:dyDescent="0.35">
      <c r="F45" s="168" t="s">
        <v>96</v>
      </c>
      <c r="G45" s="169" t="s">
        <v>41</v>
      </c>
      <c r="H45" s="208">
        <v>6700</v>
      </c>
      <c r="I45" s="209">
        <f>I4*I5/1000</f>
        <v>2100</v>
      </c>
    </row>
    <row r="46" spans="1:9" ht="26" x14ac:dyDescent="0.3">
      <c r="A46" s="101" t="s">
        <v>42</v>
      </c>
      <c r="B46" s="10"/>
      <c r="C46" s="90">
        <v>45538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Normal="100" workbookViewId="0">
      <selection activeCell="D10" sqref="D10"/>
    </sheetView>
  </sheetViews>
  <sheetFormatPr defaultColWidth="11.453125" defaultRowHeight="13" x14ac:dyDescent="0.3"/>
  <cols>
    <col min="1" max="1" width="27.81640625" style="20" bestFit="1" customWidth="1"/>
    <col min="2" max="2" width="9" style="20" bestFit="1" customWidth="1"/>
    <col min="3" max="3" width="8.7265625" style="20" customWidth="1"/>
    <col min="4" max="4" width="12.26953125" style="20" bestFit="1" customWidth="1"/>
    <col min="5" max="5" width="12.453125" style="20" bestFit="1" customWidth="1"/>
    <col min="6" max="6" width="11.453125" style="20"/>
    <col min="7" max="7" width="22" style="20" bestFit="1" customWidth="1"/>
    <col min="8" max="8" width="12" style="20" bestFit="1" customWidth="1"/>
    <col min="9" max="9" width="13.81640625" style="20" bestFit="1" customWidth="1"/>
    <col min="10" max="10" width="22" style="20" customWidth="1"/>
    <col min="11" max="11" width="13.26953125" style="20" bestFit="1" customWidth="1"/>
    <col min="12" max="16384" width="11.453125" style="20"/>
  </cols>
  <sheetData>
    <row r="1" spans="1:11" ht="13.5" thickBot="1" x14ac:dyDescent="0.35">
      <c r="I1" s="48"/>
      <c r="J1" s="48"/>
      <c r="K1" s="48"/>
    </row>
    <row r="2" spans="1:11" x14ac:dyDescent="0.3">
      <c r="A2" s="49"/>
      <c r="B2" s="49" t="s">
        <v>0</v>
      </c>
      <c r="C2" s="52" t="s">
        <v>97</v>
      </c>
      <c r="D2" s="52" t="s">
        <v>98</v>
      </c>
      <c r="E2" s="52" t="s">
        <v>99</v>
      </c>
      <c r="F2" s="28"/>
      <c r="G2" s="281" t="s">
        <v>100</v>
      </c>
      <c r="H2" s="282"/>
      <c r="I2" s="282"/>
      <c r="J2" s="282"/>
      <c r="K2" s="283"/>
    </row>
    <row r="3" spans="1:11" x14ac:dyDescent="0.3">
      <c r="A3" s="49" t="s">
        <v>2</v>
      </c>
      <c r="B3" s="20" t="s">
        <v>3</v>
      </c>
      <c r="C3" s="255">
        <v>30</v>
      </c>
      <c r="D3" s="255">
        <v>30</v>
      </c>
      <c r="E3" s="255">
        <v>30</v>
      </c>
      <c r="G3" s="22"/>
      <c r="H3" s="23" t="s">
        <v>101</v>
      </c>
      <c r="I3" s="24" t="s">
        <v>102</v>
      </c>
      <c r="J3" s="24" t="s">
        <v>103</v>
      </c>
      <c r="K3" s="25" t="s">
        <v>99</v>
      </c>
    </row>
    <row r="4" spans="1:11" x14ac:dyDescent="0.3">
      <c r="A4" s="49" t="s">
        <v>104</v>
      </c>
      <c r="B4" s="20" t="s">
        <v>8</v>
      </c>
      <c r="C4" s="256">
        <v>0.06</v>
      </c>
      <c r="D4" s="256">
        <v>0.06</v>
      </c>
      <c r="E4" s="256">
        <v>0.06</v>
      </c>
      <c r="G4" s="22" t="s">
        <v>9</v>
      </c>
      <c r="H4" s="36" t="s">
        <v>105</v>
      </c>
      <c r="I4" s="265">
        <f t="shared" ref="I4:K5" si="0">C10</f>
        <v>1.1759539874510999E-2</v>
      </c>
      <c r="J4" s="26">
        <f t="shared" si="0"/>
        <v>6.06</v>
      </c>
      <c r="K4" s="27">
        <f t="shared" si="0"/>
        <v>0.3</v>
      </c>
    </row>
    <row r="5" spans="1:11" x14ac:dyDescent="0.3">
      <c r="A5" s="101" t="s">
        <v>45</v>
      </c>
      <c r="B5" s="10" t="s">
        <v>46</v>
      </c>
      <c r="C5" s="257">
        <v>2E-3</v>
      </c>
      <c r="D5" s="257">
        <v>2E-3</v>
      </c>
      <c r="E5" s="257">
        <v>2E-3</v>
      </c>
      <c r="G5" s="47" t="s">
        <v>12</v>
      </c>
      <c r="H5" s="106" t="s">
        <v>13</v>
      </c>
      <c r="I5" s="107">
        <f t="shared" si="0"/>
        <v>900</v>
      </c>
      <c r="J5" s="107">
        <f t="shared" si="0"/>
        <v>1000</v>
      </c>
      <c r="K5" s="121">
        <f t="shared" si="0"/>
        <v>750</v>
      </c>
    </row>
    <row r="6" spans="1:11" x14ac:dyDescent="0.3">
      <c r="A6" s="49" t="s">
        <v>106</v>
      </c>
      <c r="B6" s="10" t="s">
        <v>3</v>
      </c>
      <c r="C6" s="244">
        <v>0</v>
      </c>
      <c r="D6" s="244">
        <v>1</v>
      </c>
      <c r="E6" s="248">
        <v>0</v>
      </c>
      <c r="G6" s="37" t="s">
        <v>19</v>
      </c>
      <c r="H6" s="108"/>
      <c r="I6" s="109"/>
      <c r="J6" s="109"/>
      <c r="K6" s="122"/>
    </row>
    <row r="7" spans="1:11" x14ac:dyDescent="0.3">
      <c r="A7" s="49" t="s">
        <v>14</v>
      </c>
      <c r="B7" s="10" t="s">
        <v>107</v>
      </c>
      <c r="C7" s="248">
        <v>14628.490354689131</v>
      </c>
      <c r="D7" s="248">
        <v>6631.5460626549375</v>
      </c>
      <c r="E7" s="248">
        <v>6250</v>
      </c>
      <c r="F7" s="10"/>
      <c r="G7" s="123" t="s">
        <v>21</v>
      </c>
      <c r="H7" s="106" t="s">
        <v>107</v>
      </c>
      <c r="I7" s="107"/>
      <c r="J7" s="107"/>
      <c r="K7" s="121"/>
    </row>
    <row r="8" spans="1:11" x14ac:dyDescent="0.3">
      <c r="A8" s="101" t="s">
        <v>108</v>
      </c>
      <c r="B8" s="10"/>
      <c r="C8" s="244">
        <v>0.25</v>
      </c>
      <c r="D8" s="244"/>
      <c r="E8" s="244"/>
      <c r="G8" s="4" t="s">
        <v>23</v>
      </c>
      <c r="H8" s="86" t="s">
        <v>107</v>
      </c>
      <c r="I8" s="254"/>
      <c r="J8" s="254"/>
      <c r="K8" s="29"/>
    </row>
    <row r="9" spans="1:11" x14ac:dyDescent="0.3">
      <c r="A9" s="101" t="s">
        <v>109</v>
      </c>
      <c r="B9" s="20" t="s">
        <v>15</v>
      </c>
      <c r="C9" s="255">
        <v>5.0000000000000001E-3</v>
      </c>
      <c r="D9" s="244">
        <v>0.02</v>
      </c>
      <c r="E9" s="244">
        <v>5.0000000000000001E-3</v>
      </c>
      <c r="G9" s="4" t="s">
        <v>26</v>
      </c>
      <c r="H9" s="86" t="s">
        <v>107</v>
      </c>
      <c r="I9" s="254"/>
      <c r="J9" s="254"/>
      <c r="K9" s="29"/>
    </row>
    <row r="10" spans="1:11" x14ac:dyDescent="0.3">
      <c r="A10" s="54" t="s">
        <v>68</v>
      </c>
      <c r="B10" s="20" t="s">
        <v>105</v>
      </c>
      <c r="C10" s="264">
        <v>1.1759539874510999E-2</v>
      </c>
      <c r="D10" s="244">
        <v>6.06</v>
      </c>
      <c r="E10" s="244">
        <v>0.3</v>
      </c>
      <c r="F10" s="10"/>
      <c r="G10" s="124" t="s">
        <v>28</v>
      </c>
      <c r="H10" s="110" t="s">
        <v>107</v>
      </c>
      <c r="I10" s="111"/>
      <c r="J10" s="111"/>
      <c r="K10" s="125"/>
    </row>
    <row r="11" spans="1:11" x14ac:dyDescent="0.3">
      <c r="A11" s="54" t="s">
        <v>70</v>
      </c>
      <c r="B11" s="20" t="s">
        <v>25</v>
      </c>
      <c r="C11" s="255">
        <v>900</v>
      </c>
      <c r="D11" s="244">
        <v>1000</v>
      </c>
      <c r="E11" s="244">
        <v>750</v>
      </c>
      <c r="G11" s="1" t="s">
        <v>30</v>
      </c>
      <c r="H11" s="112" t="s">
        <v>107</v>
      </c>
      <c r="I11" s="113">
        <f>C7</f>
        <v>14628.490354689131</v>
      </c>
      <c r="J11" s="113">
        <f>D7</f>
        <v>6631.5460626549375</v>
      </c>
      <c r="K11" s="120">
        <f>E7</f>
        <v>6250</v>
      </c>
    </row>
    <row r="12" spans="1:11" x14ac:dyDescent="0.3">
      <c r="F12" s="19"/>
      <c r="G12" s="1" t="s">
        <v>110</v>
      </c>
      <c r="H12" s="112" t="s">
        <v>111</v>
      </c>
      <c r="I12" s="210">
        <v>73.142451773445657</v>
      </c>
      <c r="J12" s="114">
        <v>132.63092125309876</v>
      </c>
      <c r="K12" s="38">
        <v>31.25</v>
      </c>
    </row>
    <row r="13" spans="1:11" ht="13.5" thickBot="1" x14ac:dyDescent="0.35">
      <c r="F13" s="19"/>
      <c r="G13" s="126" t="s">
        <v>58</v>
      </c>
      <c r="H13" s="127" t="s">
        <v>18</v>
      </c>
      <c r="I13" s="259">
        <f>(I20+I21)/I23</f>
        <v>128.9222602298621</v>
      </c>
      <c r="J13" s="259">
        <f>(J20+J21+J22)/J23</f>
        <v>65.627889040849922</v>
      </c>
      <c r="K13" s="260">
        <f>(K20+K21)/K23</f>
        <v>66.098204823577206</v>
      </c>
    </row>
    <row r="14" spans="1:11" x14ac:dyDescent="0.3">
      <c r="G14" s="91"/>
      <c r="H14" s="92"/>
      <c r="I14" s="93"/>
      <c r="J14" s="93"/>
      <c r="K14" s="93"/>
    </row>
    <row r="15" spans="1:11" x14ac:dyDescent="0.3">
      <c r="G15" s="91"/>
      <c r="H15" s="92"/>
      <c r="I15" s="94"/>
      <c r="J15" s="94"/>
      <c r="K15" s="94"/>
    </row>
    <row r="16" spans="1:11" x14ac:dyDescent="0.3">
      <c r="J16" s="13"/>
      <c r="K16" s="13"/>
    </row>
    <row r="17" spans="1:13" x14ac:dyDescent="0.3">
      <c r="G17" s="11"/>
      <c r="H17" s="12"/>
      <c r="I17" s="13"/>
      <c r="J17" s="13"/>
      <c r="K17" s="13"/>
    </row>
    <row r="18" spans="1:13" x14ac:dyDescent="0.3">
      <c r="G18" s="10"/>
      <c r="H18" s="10"/>
      <c r="I18" s="10"/>
      <c r="J18" s="10"/>
      <c r="K18" s="10"/>
    </row>
    <row r="19" spans="1:13" x14ac:dyDescent="0.3">
      <c r="G19" s="14" t="s">
        <v>36</v>
      </c>
      <c r="H19" s="15" t="s">
        <v>112</v>
      </c>
      <c r="I19" s="77"/>
      <c r="J19" s="77"/>
      <c r="K19" s="63"/>
    </row>
    <row r="20" spans="1:13" x14ac:dyDescent="0.3">
      <c r="G20" s="16" t="str">
        <f>G6</f>
        <v>Investeringskostnader</v>
      </c>
      <c r="H20" s="64" t="s">
        <v>37</v>
      </c>
      <c r="I20" s="211">
        <f>I11*100*1000*I4</f>
        <v>17202431.562986638</v>
      </c>
      <c r="J20" s="211">
        <f>$J$11*100*1000*$J$4</f>
        <v>4018716913.9688921</v>
      </c>
      <c r="K20" s="212">
        <f>$K$11*100*1000*$K$4</f>
        <v>187500000</v>
      </c>
    </row>
    <row r="21" spans="1:13" x14ac:dyDescent="0.3">
      <c r="G21" s="16" t="str">
        <f>G12</f>
        <v>Faste driftskostnader</v>
      </c>
      <c r="H21" s="64" t="s">
        <v>37</v>
      </c>
      <c r="I21" s="211">
        <f>-PV($E$4,$E$3,I12*100*1000*I4)</f>
        <v>1183942.8292978173</v>
      </c>
      <c r="J21" s="211">
        <f>-PV($E$4,$E$3,J12*100*1000*J4)</f>
        <v>1106339195.3283296</v>
      </c>
      <c r="K21" s="212">
        <f>-PV($E$4,$E$3,K12*100*1000*K4)</f>
        <v>12904529.204521339</v>
      </c>
    </row>
    <row r="22" spans="1:13" x14ac:dyDescent="0.3">
      <c r="G22" s="16" t="s">
        <v>113</v>
      </c>
      <c r="H22" s="86" t="s">
        <v>37</v>
      </c>
      <c r="I22" s="211">
        <v>0</v>
      </c>
      <c r="J22" s="211">
        <f>-PV($D$4/2,$D$6,J20*$D$4)</f>
        <v>234100014.40595508</v>
      </c>
      <c r="K22" s="212">
        <v>0</v>
      </c>
    </row>
    <row r="23" spans="1:13" x14ac:dyDescent="0.3">
      <c r="G23" s="16" t="s">
        <v>38</v>
      </c>
      <c r="H23" s="64" t="s">
        <v>39</v>
      </c>
      <c r="I23" s="211">
        <f>-PV($E$4+$E$5,$E$3,I24*10^6)</f>
        <v>142615.97926923129</v>
      </c>
      <c r="J23" s="211">
        <f>-PV($E$4+$E$5,$E$3,J24*10^6)</f>
        <v>81659736.463066548</v>
      </c>
      <c r="K23" s="212">
        <f>-PV($E$4+$E$5,$E$3,K24*10^6)</f>
        <v>3031920.9082821733</v>
      </c>
    </row>
    <row r="24" spans="1:13" x14ac:dyDescent="0.3">
      <c r="G24" s="80" t="s">
        <v>114</v>
      </c>
      <c r="H24" s="68" t="s">
        <v>41</v>
      </c>
      <c r="I24" s="87">
        <f>I5*I4/1000</f>
        <v>1.0583585887059899E-2</v>
      </c>
      <c r="J24" s="87">
        <f>J5*J4/1000</f>
        <v>6.06</v>
      </c>
      <c r="K24" s="88">
        <f t="shared" ref="K24" si="1">K5*K4/1000</f>
        <v>0.22500000000000001</v>
      </c>
    </row>
    <row r="25" spans="1:13" ht="26" x14ac:dyDescent="0.3">
      <c r="A25" s="101" t="s">
        <v>42</v>
      </c>
      <c r="B25" s="10"/>
      <c r="C25" s="10"/>
      <c r="D25" s="10"/>
      <c r="E25" s="90">
        <v>45538</v>
      </c>
      <c r="G25" s="11"/>
      <c r="H25" s="64"/>
      <c r="I25" s="13"/>
      <c r="J25" s="13"/>
      <c r="K25" s="13"/>
    </row>
    <row r="26" spans="1:13" x14ac:dyDescent="0.3">
      <c r="G26" s="10"/>
      <c r="H26" s="64"/>
      <c r="I26" s="18"/>
      <c r="J26" s="18"/>
      <c r="K26" s="18"/>
    </row>
    <row r="27" spans="1:13" x14ac:dyDescent="0.3">
      <c r="G27" s="10"/>
      <c r="H27" s="64"/>
      <c r="I27" s="18"/>
      <c r="J27" s="18"/>
      <c r="K27" s="32"/>
    </row>
    <row r="28" spans="1:13" x14ac:dyDescent="0.3">
      <c r="G28" s="103"/>
    </row>
    <row r="30" spans="1:13" x14ac:dyDescent="0.3">
      <c r="H30" s="48"/>
    </row>
    <row r="32" spans="1:13" x14ac:dyDescent="0.3">
      <c r="H32" s="104"/>
      <c r="I32" s="104"/>
      <c r="J32" s="104"/>
      <c r="K32" s="104"/>
      <c r="L32" s="104"/>
      <c r="M32" s="48"/>
    </row>
    <row r="33" spans="8:13" x14ac:dyDescent="0.3">
      <c r="H33" s="105"/>
      <c r="I33" s="105"/>
      <c r="J33" s="105"/>
      <c r="K33" s="105"/>
      <c r="L33" s="105"/>
      <c r="M33" s="41"/>
    </row>
  </sheetData>
  <mergeCells count="1">
    <mergeCell ref="G2:K2"/>
  </mergeCells>
  <pageMargins left="0.7" right="0.7" top="0.75" bottom="0.75" header="0.3" footer="0.3"/>
  <pageSetup paperSize="9" orientation="portrait" r:id="rId1"/>
  <ignoredErrors>
    <ignoredError sqref="J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8CC39-6673-4E32-995D-BF575A3DC08D}">
  <dimension ref="A1:G34"/>
  <sheetViews>
    <sheetView zoomScaleNormal="100" workbookViewId="0">
      <selection activeCell="A38" sqref="A38"/>
    </sheetView>
  </sheetViews>
  <sheetFormatPr defaultColWidth="11.453125" defaultRowHeight="14.5" x14ac:dyDescent="0.35"/>
  <cols>
    <col min="1" max="1" width="25.54296875" bestFit="1" customWidth="1"/>
    <col min="2" max="2" width="16.7265625" bestFit="1" customWidth="1"/>
    <col min="3" max="3" width="10.453125" customWidth="1"/>
    <col min="4" max="4" width="12.453125" bestFit="1" customWidth="1"/>
    <col min="5" max="5" width="34.453125" bestFit="1" customWidth="1"/>
    <col min="6" max="6" width="16.453125" bestFit="1" customWidth="1"/>
    <col min="7" max="7" width="16.54296875" bestFit="1" customWidth="1"/>
    <col min="9" max="9" width="11.453125" bestFit="1" customWidth="1"/>
  </cols>
  <sheetData>
    <row r="1" spans="1:7" ht="15" thickBot="1" x14ac:dyDescent="0.4"/>
    <row r="2" spans="1:7" x14ac:dyDescent="0.35">
      <c r="A2" s="49"/>
      <c r="B2" s="49" t="s">
        <v>0</v>
      </c>
      <c r="C2" s="52"/>
      <c r="E2" s="34" t="s">
        <v>115</v>
      </c>
      <c r="F2" s="35"/>
      <c r="G2" s="43"/>
    </row>
    <row r="3" spans="1:7" x14ac:dyDescent="0.35">
      <c r="A3" s="49" t="s">
        <v>2</v>
      </c>
      <c r="B3" t="s">
        <v>3</v>
      </c>
      <c r="C3" s="233">
        <v>25</v>
      </c>
      <c r="E3" s="22"/>
      <c r="F3" s="23" t="s">
        <v>4</v>
      </c>
      <c r="G3" s="25"/>
    </row>
    <row r="4" spans="1:7" x14ac:dyDescent="0.35">
      <c r="A4" s="49" t="s">
        <v>11</v>
      </c>
      <c r="B4" t="s">
        <v>3</v>
      </c>
      <c r="C4" s="233">
        <v>4</v>
      </c>
      <c r="E4" s="22" t="s">
        <v>9</v>
      </c>
      <c r="F4" s="36" t="s">
        <v>116</v>
      </c>
      <c r="G4" s="27">
        <f>C27</f>
        <v>740</v>
      </c>
    </row>
    <row r="5" spans="1:7" x14ac:dyDescent="0.35">
      <c r="A5" s="49" t="s">
        <v>7</v>
      </c>
      <c r="B5" t="s">
        <v>8</v>
      </c>
      <c r="C5" s="245">
        <v>0.06</v>
      </c>
      <c r="E5" s="1" t="s">
        <v>12</v>
      </c>
      <c r="F5" s="7" t="s">
        <v>13</v>
      </c>
      <c r="G5" s="38">
        <f>C28</f>
        <v>8000</v>
      </c>
    </row>
    <row r="6" spans="1:7" x14ac:dyDescent="0.35">
      <c r="A6" s="49" t="s">
        <v>45</v>
      </c>
      <c r="B6" s="10" t="s">
        <v>46</v>
      </c>
      <c r="C6" s="245">
        <v>1E-3</v>
      </c>
      <c r="E6" s="1" t="s">
        <v>117</v>
      </c>
      <c r="F6" s="7" t="s">
        <v>118</v>
      </c>
      <c r="G6" s="56">
        <v>0.46</v>
      </c>
    </row>
    <row r="7" spans="1:7" x14ac:dyDescent="0.35">
      <c r="A7" s="49" t="s">
        <v>119</v>
      </c>
      <c r="B7" s="10" t="s">
        <v>120</v>
      </c>
      <c r="C7" s="258">
        <v>7.8</v>
      </c>
      <c r="E7" s="1" t="s">
        <v>121</v>
      </c>
      <c r="F7" s="7" t="s">
        <v>118</v>
      </c>
      <c r="G7" s="57">
        <f>G6/$C$8*$C$7</f>
        <v>0.42765196662693683</v>
      </c>
    </row>
    <row r="8" spans="1:7" x14ac:dyDescent="0.35">
      <c r="A8" s="49" t="s">
        <v>122</v>
      </c>
      <c r="B8" s="10" t="s">
        <v>120</v>
      </c>
      <c r="C8" s="258">
        <v>8.39</v>
      </c>
      <c r="E8" s="2" t="s">
        <v>19</v>
      </c>
      <c r="F8" s="3"/>
      <c r="G8" s="45"/>
    </row>
    <row r="9" spans="1:7" x14ac:dyDescent="0.35">
      <c r="A9" s="49" t="s">
        <v>123</v>
      </c>
      <c r="B9" s="10" t="s">
        <v>124</v>
      </c>
      <c r="C9" s="19">
        <f>C14*C16/10</f>
        <v>11.281499999999999</v>
      </c>
      <c r="D9" s="19"/>
      <c r="E9" s="4" t="s">
        <v>125</v>
      </c>
      <c r="F9" s="5" t="s">
        <v>126</v>
      </c>
      <c r="G9" s="218">
        <f>(2297.55*C15)</f>
        <v>23658.102105000002</v>
      </c>
    </row>
    <row r="10" spans="1:7" x14ac:dyDescent="0.35">
      <c r="A10" s="50" t="s">
        <v>127</v>
      </c>
      <c r="B10" s="10" t="s">
        <v>124</v>
      </c>
      <c r="C10" s="19">
        <f>C20</f>
        <v>41.238221538461545</v>
      </c>
      <c r="E10" s="4" t="s">
        <v>128</v>
      </c>
      <c r="F10" s="5" t="s">
        <v>126</v>
      </c>
      <c r="G10" s="29"/>
    </row>
    <row r="11" spans="1:7" x14ac:dyDescent="0.35">
      <c r="A11" s="50" t="s">
        <v>129</v>
      </c>
      <c r="B11" s="10" t="s">
        <v>124</v>
      </c>
      <c r="C11" s="41">
        <f>C25/10*C24</f>
        <v>0.28223076923076917</v>
      </c>
      <c r="E11" s="4" t="s">
        <v>130</v>
      </c>
      <c r="F11" s="5" t="s">
        <v>126</v>
      </c>
      <c r="G11" s="217"/>
    </row>
    <row r="12" spans="1:7" x14ac:dyDescent="0.35">
      <c r="A12" s="49" t="s">
        <v>131</v>
      </c>
      <c r="B12" s="10" t="s">
        <v>132</v>
      </c>
      <c r="C12" s="41">
        <f>126.1/94.5</f>
        <v>1.3343915343915342</v>
      </c>
      <c r="E12" s="4" t="s">
        <v>133</v>
      </c>
      <c r="F12" s="5" t="s">
        <v>126</v>
      </c>
      <c r="G12" s="217"/>
    </row>
    <row r="13" spans="1:7" x14ac:dyDescent="0.35">
      <c r="A13" s="31"/>
      <c r="E13" s="6" t="s">
        <v>28</v>
      </c>
      <c r="F13" s="5" t="s">
        <v>126</v>
      </c>
      <c r="G13" s="223">
        <f>(G9+G10+G11+G12)*(((1+($C$5))*((1+$C$5)^($C$4)-1))/($C$5*$C$4))-(G9+G10+G11+G12)</f>
        <v>3768.1025745142033</v>
      </c>
    </row>
    <row r="14" spans="1:7" x14ac:dyDescent="0.35">
      <c r="A14" s="49" t="s">
        <v>134</v>
      </c>
      <c r="B14" s="10" t="s">
        <v>135</v>
      </c>
      <c r="C14" s="244">
        <v>10</v>
      </c>
      <c r="E14" s="37" t="s">
        <v>30</v>
      </c>
      <c r="F14" s="5" t="s">
        <v>126</v>
      </c>
      <c r="G14" s="46">
        <f>SUM(G9:G13)</f>
        <v>27426.204679514205</v>
      </c>
    </row>
    <row r="15" spans="1:7" x14ac:dyDescent="0.35">
      <c r="A15" s="55" t="s">
        <v>136</v>
      </c>
      <c r="B15" s="10" t="s">
        <v>137</v>
      </c>
      <c r="C15" s="258">
        <v>10.2971</v>
      </c>
      <c r="E15" s="1" t="s">
        <v>110</v>
      </c>
      <c r="F15" s="7" t="s">
        <v>138</v>
      </c>
      <c r="G15" s="38">
        <f>(52.6*C15)</f>
        <v>541.62746000000004</v>
      </c>
    </row>
    <row r="16" spans="1:7" x14ac:dyDescent="0.35">
      <c r="A16" s="55" t="s">
        <v>139</v>
      </c>
      <c r="B16" s="20" t="s">
        <v>140</v>
      </c>
      <c r="C16" s="261">
        <v>11.281499999999999</v>
      </c>
      <c r="E16" s="2" t="s">
        <v>141</v>
      </c>
      <c r="F16" s="5"/>
      <c r="G16" s="29"/>
    </row>
    <row r="17" spans="1:7" x14ac:dyDescent="0.35">
      <c r="A17" s="55" t="s">
        <v>142</v>
      </c>
      <c r="B17" s="20" t="s">
        <v>143</v>
      </c>
      <c r="C17" s="244">
        <v>108</v>
      </c>
      <c r="E17" s="6" t="s">
        <v>144</v>
      </c>
      <c r="F17" s="5" t="s">
        <v>145</v>
      </c>
      <c r="G17" s="58">
        <f>1/G6</f>
        <v>2.1739130434782608</v>
      </c>
    </row>
    <row r="18" spans="1:7" x14ac:dyDescent="0.35">
      <c r="A18" s="51" t="s">
        <v>146</v>
      </c>
      <c r="B18" s="10" t="s">
        <v>147</v>
      </c>
      <c r="C18" s="262">
        <v>2.64</v>
      </c>
      <c r="E18" s="6" t="s">
        <v>148</v>
      </c>
      <c r="F18" s="17" t="s">
        <v>124</v>
      </c>
      <c r="G18" s="220">
        <f>$C$9</f>
        <v>11.281499999999999</v>
      </c>
    </row>
    <row r="19" spans="1:7" x14ac:dyDescent="0.35">
      <c r="A19" s="51"/>
      <c r="B19" s="10" t="s">
        <v>149</v>
      </c>
      <c r="C19" s="41">
        <f>C18/C7</f>
        <v>0.33846153846153848</v>
      </c>
      <c r="E19" s="6" t="s">
        <v>129</v>
      </c>
      <c r="F19" s="17" t="s">
        <v>124</v>
      </c>
      <c r="G19" s="221">
        <f>$C$11</f>
        <v>0.28223076923076917</v>
      </c>
    </row>
    <row r="20" spans="1:7" x14ac:dyDescent="0.35">
      <c r="A20" s="55" t="s">
        <v>150</v>
      </c>
      <c r="B20" s="10" t="s">
        <v>151</v>
      </c>
      <c r="C20" s="41">
        <f>C17*C16*100/1000*C19</f>
        <v>41.238221538461545</v>
      </c>
      <c r="E20" s="6" t="s">
        <v>127</v>
      </c>
      <c r="F20" s="17" t="s">
        <v>124</v>
      </c>
      <c r="G20" s="221">
        <f>$C$10</f>
        <v>41.238221538461545</v>
      </c>
    </row>
    <row r="21" spans="1:7" x14ac:dyDescent="0.35">
      <c r="E21" s="2" t="s">
        <v>152</v>
      </c>
      <c r="F21" s="39" t="s">
        <v>153</v>
      </c>
      <c r="G21" s="59">
        <f>SUM(G18:G20)*G17</f>
        <v>114.78685284280938</v>
      </c>
    </row>
    <row r="22" spans="1:7" ht="15" thickBot="1" x14ac:dyDescent="0.4">
      <c r="A22" s="55" t="s">
        <v>154</v>
      </c>
      <c r="B22" s="10" t="s">
        <v>155</v>
      </c>
      <c r="C22" s="255">
        <v>4.5</v>
      </c>
      <c r="E22" s="47" t="s">
        <v>156</v>
      </c>
      <c r="F22" s="95" t="s">
        <v>153</v>
      </c>
      <c r="G22" s="40">
        <f>1.1*C12</f>
        <v>1.4678306878306877</v>
      </c>
    </row>
    <row r="23" spans="1:7" ht="15" thickBot="1" x14ac:dyDescent="0.4">
      <c r="A23" s="55" t="s">
        <v>157</v>
      </c>
      <c r="B23" s="10" t="s">
        <v>132</v>
      </c>
      <c r="C23" s="255">
        <v>0.8</v>
      </c>
      <c r="E23" s="96" t="s">
        <v>58</v>
      </c>
      <c r="F23" s="97" t="s">
        <v>153</v>
      </c>
      <c r="G23" s="222">
        <f>SUM(G28:G32)/G33</f>
        <v>151.27008139602998</v>
      </c>
    </row>
    <row r="24" spans="1:7" x14ac:dyDescent="0.35">
      <c r="A24" s="55" t="s">
        <v>158</v>
      </c>
      <c r="B24" s="20" t="s">
        <v>159</v>
      </c>
      <c r="C24" s="42">
        <f>C22*(1-C23)/C7</f>
        <v>0.11538461538461536</v>
      </c>
      <c r="E24" s="91"/>
      <c r="F24" s="92"/>
      <c r="G24" s="93"/>
    </row>
    <row r="25" spans="1:7" x14ac:dyDescent="0.35">
      <c r="A25" s="55" t="s">
        <v>160</v>
      </c>
      <c r="B25" s="10" t="s">
        <v>161</v>
      </c>
      <c r="C25" s="255">
        <v>24.46</v>
      </c>
      <c r="E25" s="91"/>
      <c r="F25" s="92"/>
      <c r="G25" s="94"/>
    </row>
    <row r="26" spans="1:7" x14ac:dyDescent="0.35">
      <c r="A26" s="54"/>
      <c r="G26" s="13"/>
    </row>
    <row r="27" spans="1:7" x14ac:dyDescent="0.35">
      <c r="A27" s="54" t="s">
        <v>44</v>
      </c>
      <c r="B27" t="s">
        <v>116</v>
      </c>
      <c r="C27" s="233">
        <v>740</v>
      </c>
      <c r="E27" s="14" t="s">
        <v>36</v>
      </c>
      <c r="F27" s="15"/>
      <c r="G27" s="63"/>
    </row>
    <row r="28" spans="1:7" x14ac:dyDescent="0.35">
      <c r="A28" s="54" t="s">
        <v>53</v>
      </c>
      <c r="B28" t="s">
        <v>25</v>
      </c>
      <c r="C28" s="233">
        <v>8000</v>
      </c>
      <c r="E28" s="16" t="str">
        <f>E8</f>
        <v>Investeringskostnader</v>
      </c>
      <c r="F28" s="64" t="s">
        <v>37</v>
      </c>
      <c r="G28" s="65">
        <f>G14*100*1000*G4</f>
        <v>2029539146284.0513</v>
      </c>
    </row>
    <row r="29" spans="1:7" x14ac:dyDescent="0.35">
      <c r="E29" s="16" t="str">
        <f>E15</f>
        <v>Faste driftskostnader</v>
      </c>
      <c r="F29" s="64" t="s">
        <v>37</v>
      </c>
      <c r="G29" s="65">
        <f>-PV($C$5,$C$3,G15*100*1000*G4)</f>
        <v>512362437744.59265</v>
      </c>
    </row>
    <row r="30" spans="1:7" x14ac:dyDescent="0.35">
      <c r="A30" s="20"/>
      <c r="E30" s="16" t="str">
        <f>E22</f>
        <v>Variable kostnader eks brensel</v>
      </c>
      <c r="F30" s="64" t="s">
        <v>37</v>
      </c>
      <c r="G30" s="65">
        <f>-PV($C$5,$C$3,G22*1000*G4*G5)</f>
        <v>111081710578.44864</v>
      </c>
    </row>
    <row r="31" spans="1:7" x14ac:dyDescent="0.35">
      <c r="E31" s="16" t="s">
        <v>162</v>
      </c>
      <c r="F31" s="64" t="s">
        <v>37</v>
      </c>
      <c r="G31" s="65">
        <f>-PV($C$5,$C$3,G4*G18*G17*1000*G5)</f>
        <v>1855989913906.6738</v>
      </c>
    </row>
    <row r="32" spans="1:7" x14ac:dyDescent="0.35">
      <c r="E32" s="66" t="s">
        <v>163</v>
      </c>
      <c r="F32" s="64" t="s">
        <v>37</v>
      </c>
      <c r="G32" s="65">
        <f>-PV($C$5,$C$3,G4*(G19+G20)*G17*1000*G5)</f>
        <v>6830788521377.4785</v>
      </c>
    </row>
    <row r="33" spans="1:7" x14ac:dyDescent="0.35">
      <c r="E33" s="67" t="s">
        <v>38</v>
      </c>
      <c r="F33" s="68" t="s">
        <v>39</v>
      </c>
      <c r="G33" s="69">
        <f>-PV($C$5+$C$6,$C$3,G4*G5*1000)</f>
        <v>74963678377.374451</v>
      </c>
    </row>
    <row r="34" spans="1:7" ht="26.5" x14ac:dyDescent="0.35">
      <c r="A34" s="101" t="s">
        <v>42</v>
      </c>
      <c r="B34" s="10"/>
      <c r="C34" s="90">
        <v>45538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7D70D-372F-4EB9-8BE1-8B071682DAAE}">
  <dimension ref="A1:K35"/>
  <sheetViews>
    <sheetView topLeftCell="A33" zoomScaleNormal="100" workbookViewId="0">
      <selection activeCell="D7" sqref="D7"/>
    </sheetView>
  </sheetViews>
  <sheetFormatPr defaultColWidth="11.453125" defaultRowHeight="14.5" x14ac:dyDescent="0.35"/>
  <cols>
    <col min="1" max="1" width="35.26953125" customWidth="1"/>
    <col min="2" max="2" width="16.54296875" hidden="1" customWidth="1"/>
    <col min="3" max="3" width="16.7265625" bestFit="1" customWidth="1"/>
    <col min="5" max="5" width="7.453125" customWidth="1"/>
    <col min="6" max="6" width="16.453125" bestFit="1" customWidth="1"/>
    <col min="7" max="7" width="18.453125" bestFit="1" customWidth="1"/>
    <col min="8" max="8" width="18.26953125" bestFit="1" customWidth="1"/>
  </cols>
  <sheetData>
    <row r="1" spans="1:8" ht="15" thickBot="1" x14ac:dyDescent="0.4"/>
    <row r="2" spans="1:8" x14ac:dyDescent="0.35">
      <c r="A2" s="53"/>
      <c r="B2" s="53"/>
      <c r="C2" s="55" t="s">
        <v>0</v>
      </c>
      <c r="D2" s="21"/>
      <c r="F2" s="34" t="s">
        <v>164</v>
      </c>
      <c r="G2" s="35"/>
      <c r="H2" s="43"/>
    </row>
    <row r="3" spans="1:8" x14ac:dyDescent="0.35">
      <c r="A3" s="55" t="s">
        <v>2</v>
      </c>
      <c r="B3" s="55"/>
      <c r="C3" s="20" t="s">
        <v>3</v>
      </c>
      <c r="D3" s="255">
        <v>20</v>
      </c>
      <c r="F3" s="22"/>
      <c r="G3" s="23" t="s">
        <v>4</v>
      </c>
      <c r="H3" s="25"/>
    </row>
    <row r="4" spans="1:8" x14ac:dyDescent="0.35">
      <c r="A4" s="55" t="s">
        <v>11</v>
      </c>
      <c r="B4" s="55"/>
      <c r="C4" s="20" t="s">
        <v>3</v>
      </c>
      <c r="D4" s="255">
        <v>2.5</v>
      </c>
      <c r="F4" s="22" t="s">
        <v>9</v>
      </c>
      <c r="G4" s="36" t="s">
        <v>116</v>
      </c>
      <c r="H4" s="27">
        <f>D29</f>
        <v>450</v>
      </c>
    </row>
    <row r="5" spans="1:8" x14ac:dyDescent="0.35">
      <c r="A5" s="55" t="s">
        <v>7</v>
      </c>
      <c r="B5" s="55"/>
      <c r="C5" s="20" t="s">
        <v>8</v>
      </c>
      <c r="D5" s="263">
        <v>0.06</v>
      </c>
      <c r="F5" s="1" t="s">
        <v>12</v>
      </c>
      <c r="G5" s="7" t="s">
        <v>13</v>
      </c>
      <c r="H5" s="38">
        <f>D30</f>
        <v>7500</v>
      </c>
    </row>
    <row r="6" spans="1:8" x14ac:dyDescent="0.35">
      <c r="A6" s="55" t="s">
        <v>45</v>
      </c>
      <c r="B6" s="55"/>
      <c r="C6" s="20" t="s">
        <v>46</v>
      </c>
      <c r="D6" s="263">
        <v>1E-3</v>
      </c>
      <c r="F6" s="1" t="s">
        <v>117</v>
      </c>
      <c r="G6" s="7" t="s">
        <v>118</v>
      </c>
      <c r="H6" s="44">
        <v>0.56999999999999995</v>
      </c>
    </row>
    <row r="7" spans="1:8" x14ac:dyDescent="0.35">
      <c r="A7" s="55" t="s">
        <v>165</v>
      </c>
      <c r="B7" s="55"/>
      <c r="C7" s="20" t="s">
        <v>166</v>
      </c>
      <c r="D7" s="255">
        <v>10.48</v>
      </c>
      <c r="F7" s="1" t="s">
        <v>121</v>
      </c>
      <c r="G7" s="7" t="s">
        <v>118</v>
      </c>
      <c r="H7" s="60">
        <f>H6/$D$8*$D$7</f>
        <v>0.5145219638242895</v>
      </c>
    </row>
    <row r="8" spans="1:8" ht="15" thickBot="1" x14ac:dyDescent="0.4">
      <c r="A8" s="55" t="s">
        <v>167</v>
      </c>
      <c r="B8" s="55"/>
      <c r="C8" s="20" t="s">
        <v>166</v>
      </c>
      <c r="D8" s="255">
        <v>11.61</v>
      </c>
      <c r="F8" s="2" t="s">
        <v>19</v>
      </c>
      <c r="G8" s="3"/>
      <c r="H8" s="45"/>
    </row>
    <row r="9" spans="1:8" ht="15" thickBot="1" x14ac:dyDescent="0.4">
      <c r="A9" s="55" t="s">
        <v>168</v>
      </c>
      <c r="B9" s="55"/>
      <c r="C9" s="20" t="s">
        <v>124</v>
      </c>
      <c r="D9" s="41">
        <f>D15*D17*(D8/D7)/10</f>
        <v>37.493763835877857</v>
      </c>
      <c r="F9" s="4" t="s">
        <v>125</v>
      </c>
      <c r="G9" s="135" t="s">
        <v>126</v>
      </c>
      <c r="H9" s="216">
        <f>(909.7*D16)</f>
        <v>9367.2718700000005</v>
      </c>
    </row>
    <row r="10" spans="1:8" x14ac:dyDescent="0.35">
      <c r="A10" s="55" t="s">
        <v>169</v>
      </c>
      <c r="B10" s="55"/>
      <c r="C10" s="20" t="s">
        <v>124</v>
      </c>
      <c r="D10" s="41">
        <f>D18*100/D7</f>
        <v>0.62977099236641221</v>
      </c>
      <c r="F10" s="4" t="s">
        <v>128</v>
      </c>
      <c r="G10" s="5" t="s">
        <v>126</v>
      </c>
      <c r="H10" s="29"/>
    </row>
    <row r="11" spans="1:8" x14ac:dyDescent="0.35">
      <c r="A11" s="55" t="s">
        <v>129</v>
      </c>
      <c r="B11" s="55"/>
      <c r="C11" s="20" t="s">
        <v>124</v>
      </c>
      <c r="D11" s="41">
        <f>D19/10*D24</f>
        <v>0.37343511450381672</v>
      </c>
      <c r="F11" s="4" t="s">
        <v>130</v>
      </c>
      <c r="G11" s="5" t="s">
        <v>126</v>
      </c>
      <c r="H11" s="217"/>
    </row>
    <row r="12" spans="1:8" x14ac:dyDescent="0.35">
      <c r="A12" s="55" t="s">
        <v>127</v>
      </c>
      <c r="B12" s="55"/>
      <c r="C12" s="20" t="s">
        <v>124</v>
      </c>
      <c r="D12" s="41">
        <f>D20*D17*100/1000*D27</f>
        <v>23.135686832061069</v>
      </c>
      <c r="F12" s="4" t="s">
        <v>133</v>
      </c>
      <c r="G12" s="5" t="s">
        <v>126</v>
      </c>
      <c r="H12" s="217"/>
    </row>
    <row r="13" spans="1:8" x14ac:dyDescent="0.35">
      <c r="A13" s="55" t="s">
        <v>131</v>
      </c>
      <c r="B13" s="55"/>
      <c r="C13" s="20" t="s">
        <v>132</v>
      </c>
      <c r="D13" s="41">
        <f>126.1/94.5</f>
        <v>1.3343915343915342</v>
      </c>
      <c r="F13" s="6" t="s">
        <v>28</v>
      </c>
      <c r="G13" s="5" t="s">
        <v>126</v>
      </c>
      <c r="H13" s="218">
        <f>(H9+H10+H11+H12)*(((1+($D$5))*((1+$D$5)^($D$4)-1))/($D$5*$D$4))-(H9+H10+H11+H12)</f>
        <v>1013.2904462289043</v>
      </c>
    </row>
    <row r="14" spans="1:8" ht="15" thickBot="1" x14ac:dyDescent="0.4">
      <c r="A14" s="54"/>
      <c r="F14" s="37" t="s">
        <v>30</v>
      </c>
      <c r="G14" s="5" t="s">
        <v>126</v>
      </c>
      <c r="H14" s="136">
        <f>SUM(H9:H13)</f>
        <v>10380.562316228905</v>
      </c>
    </row>
    <row r="15" spans="1:8" ht="15" thickBot="1" x14ac:dyDescent="0.4">
      <c r="A15" s="55" t="s">
        <v>170</v>
      </c>
      <c r="B15" s="55"/>
      <c r="C15" s="20" t="s">
        <v>135</v>
      </c>
      <c r="D15" s="244">
        <v>30</v>
      </c>
      <c r="F15" s="1" t="s">
        <v>110</v>
      </c>
      <c r="G15" s="137" t="s">
        <v>138</v>
      </c>
      <c r="H15" s="219">
        <f>(18.6*D16)</f>
        <v>191.52606000000003</v>
      </c>
    </row>
    <row r="16" spans="1:8" x14ac:dyDescent="0.35">
      <c r="A16" s="55" t="s">
        <v>136</v>
      </c>
      <c r="B16" s="55"/>
      <c r="C16" s="10" t="s">
        <v>137</v>
      </c>
      <c r="D16" s="258">
        <v>10.2971</v>
      </c>
      <c r="F16" s="2" t="s">
        <v>141</v>
      </c>
      <c r="G16" s="5"/>
      <c r="H16" s="29"/>
    </row>
    <row r="17" spans="1:10" x14ac:dyDescent="0.35">
      <c r="A17" s="55" t="s">
        <v>139</v>
      </c>
      <c r="B17" s="55"/>
      <c r="C17" s="20" t="s">
        <v>140</v>
      </c>
      <c r="D17" s="261">
        <v>11.281499999999999</v>
      </c>
      <c r="F17" s="6" t="s">
        <v>144</v>
      </c>
      <c r="G17" s="5" t="s">
        <v>145</v>
      </c>
      <c r="H17" s="134">
        <f>1/H6</f>
        <v>1.7543859649122808</v>
      </c>
    </row>
    <row r="18" spans="1:10" x14ac:dyDescent="0.35">
      <c r="A18" s="55" t="s">
        <v>171</v>
      </c>
      <c r="B18" s="55"/>
      <c r="C18" s="20" t="s">
        <v>172</v>
      </c>
      <c r="D18" s="244">
        <v>6.6000000000000003E-2</v>
      </c>
      <c r="F18" s="6" t="s">
        <v>148</v>
      </c>
      <c r="G18" s="17" t="s">
        <v>124</v>
      </c>
      <c r="H18" s="220">
        <f>$D$9</f>
        <v>37.493763835877857</v>
      </c>
    </row>
    <row r="19" spans="1:10" x14ac:dyDescent="0.35">
      <c r="A19" s="55" t="s">
        <v>160</v>
      </c>
      <c r="B19" s="55"/>
      <c r="C19" s="20" t="s">
        <v>161</v>
      </c>
      <c r="D19" s="244">
        <v>24.46</v>
      </c>
      <c r="F19" s="6" t="s">
        <v>169</v>
      </c>
      <c r="G19" s="17" t="s">
        <v>124</v>
      </c>
      <c r="H19" s="221">
        <f>$D$10</f>
        <v>0.62977099236641221</v>
      </c>
    </row>
    <row r="20" spans="1:10" x14ac:dyDescent="0.35">
      <c r="A20" s="55" t="s">
        <v>142</v>
      </c>
      <c r="B20" s="55"/>
      <c r="C20" s="20" t="s">
        <v>143</v>
      </c>
      <c r="D20" s="244">
        <v>108</v>
      </c>
      <c r="F20" s="6" t="s">
        <v>129</v>
      </c>
      <c r="G20" s="17" t="s">
        <v>124</v>
      </c>
      <c r="H20" s="221">
        <f>$D$11</f>
        <v>0.37343511450381672</v>
      </c>
    </row>
    <row r="21" spans="1:10" x14ac:dyDescent="0.35">
      <c r="A21" s="54"/>
      <c r="B21" s="31"/>
      <c r="C21" s="20"/>
      <c r="D21" s="20"/>
      <c r="F21" s="6" t="s">
        <v>127</v>
      </c>
      <c r="G21" s="17" t="s">
        <v>124</v>
      </c>
      <c r="H21" s="221">
        <f>$D$12</f>
        <v>23.135686832061069</v>
      </c>
    </row>
    <row r="22" spans="1:10" x14ac:dyDescent="0.35">
      <c r="A22" s="55" t="s">
        <v>154</v>
      </c>
      <c r="B22" s="55"/>
      <c r="C22" s="20" t="s">
        <v>173</v>
      </c>
      <c r="D22" s="255">
        <v>16</v>
      </c>
      <c r="F22" s="2" t="s">
        <v>152</v>
      </c>
      <c r="G22" s="39" t="s">
        <v>153</v>
      </c>
      <c r="H22" s="59">
        <f>SUM(H18:H21)*H17</f>
        <v>108.12746802598097</v>
      </c>
    </row>
    <row r="23" spans="1:10" ht="15" thickBot="1" x14ac:dyDescent="0.4">
      <c r="A23" s="55" t="s">
        <v>157</v>
      </c>
      <c r="B23" s="55"/>
      <c r="C23" s="20" t="s">
        <v>132</v>
      </c>
      <c r="D23" s="255">
        <v>0.9</v>
      </c>
      <c r="F23" s="47" t="s">
        <v>156</v>
      </c>
      <c r="G23" s="95" t="s">
        <v>153</v>
      </c>
      <c r="H23" s="40">
        <f>1.9*$D$13</f>
        <v>2.535343915343915</v>
      </c>
    </row>
    <row r="24" spans="1:10" ht="15" thickBot="1" x14ac:dyDescent="0.4">
      <c r="A24" s="55" t="s">
        <v>158</v>
      </c>
      <c r="B24" s="55"/>
      <c r="C24" s="20" t="s">
        <v>159</v>
      </c>
      <c r="D24" s="41">
        <f>D22*(1-D23)/D7</f>
        <v>0.15267175572519079</v>
      </c>
      <c r="F24" s="96" t="s">
        <v>58</v>
      </c>
      <c r="G24" s="97" t="s">
        <v>153</v>
      </c>
      <c r="H24" s="222">
        <f>SUM(H29:H33)/H34</f>
        <v>126.30245933228161</v>
      </c>
    </row>
    <row r="25" spans="1:10" x14ac:dyDescent="0.35">
      <c r="A25" s="54"/>
      <c r="B25" s="48"/>
      <c r="C25" s="20"/>
      <c r="D25" s="20"/>
      <c r="F25" s="91"/>
      <c r="G25" s="92"/>
      <c r="H25" s="93"/>
    </row>
    <row r="26" spans="1:10" x14ac:dyDescent="0.35">
      <c r="A26" s="55" t="s">
        <v>174</v>
      </c>
      <c r="B26" s="55"/>
      <c r="C26" s="20" t="s">
        <v>175</v>
      </c>
      <c r="D26" s="255">
        <v>1.99</v>
      </c>
      <c r="F26" s="91"/>
      <c r="G26" s="92"/>
      <c r="H26" s="94"/>
    </row>
    <row r="27" spans="1:10" x14ac:dyDescent="0.35">
      <c r="A27" s="55" t="s">
        <v>174</v>
      </c>
      <c r="B27" s="55"/>
      <c r="C27" s="20" t="s">
        <v>176</v>
      </c>
      <c r="D27" s="41">
        <f>D26/D7</f>
        <v>0.1898854961832061</v>
      </c>
      <c r="H27" s="89"/>
    </row>
    <row r="28" spans="1:10" x14ac:dyDescent="0.35">
      <c r="A28" s="54"/>
      <c r="F28" s="14" t="s">
        <v>36</v>
      </c>
      <c r="G28" s="61"/>
      <c r="H28" s="75"/>
    </row>
    <row r="29" spans="1:10" x14ac:dyDescent="0.35">
      <c r="A29" s="54" t="s">
        <v>44</v>
      </c>
      <c r="B29" t="s">
        <v>10</v>
      </c>
      <c r="C29" t="s">
        <v>116</v>
      </c>
      <c r="D29" s="233">
        <v>450</v>
      </c>
      <c r="F29" s="16" t="str">
        <f>F8</f>
        <v>Investeringskostnader</v>
      </c>
      <c r="G29" s="64" t="s">
        <v>37</v>
      </c>
      <c r="H29" s="78">
        <f>H14*100*1000*H4</f>
        <v>467125304230.30072</v>
      </c>
      <c r="I29" s="133"/>
      <c r="J29" s="133"/>
    </row>
    <row r="30" spans="1:10" x14ac:dyDescent="0.35">
      <c r="A30" s="54" t="s">
        <v>53</v>
      </c>
      <c r="B30" t="s">
        <v>25</v>
      </c>
      <c r="C30" t="s">
        <v>25</v>
      </c>
      <c r="D30" s="233">
        <v>7500</v>
      </c>
      <c r="F30" s="16" t="str">
        <f>F15</f>
        <v>Faste driftskostnader</v>
      </c>
      <c r="G30" s="64" t="s">
        <v>37</v>
      </c>
      <c r="H30" s="84">
        <f>-PV($D$5,$D$3,H15*100*1000*H4)</f>
        <v>98855496877.599182</v>
      </c>
    </row>
    <row r="31" spans="1:10" x14ac:dyDescent="0.35">
      <c r="A31" s="20"/>
      <c r="B31" s="20"/>
      <c r="F31" s="16" t="str">
        <f>F23</f>
        <v>Variable kostnader eks brensel</v>
      </c>
      <c r="G31" s="64" t="s">
        <v>37</v>
      </c>
      <c r="H31" s="84">
        <f>-PV($D$5,$D$3,H23*1000*H4*H5)</f>
        <v>98145658027.001816</v>
      </c>
      <c r="J31" s="132"/>
    </row>
    <row r="32" spans="1:10" x14ac:dyDescent="0.35">
      <c r="F32" s="16" t="s">
        <v>162</v>
      </c>
      <c r="G32" s="64" t="s">
        <v>37</v>
      </c>
      <c r="H32" s="84">
        <f>-PV($D$5,$D$3,H4*H18*H17*1000*H5)</f>
        <v>2546351747674.4033</v>
      </c>
      <c r="I32" s="132"/>
    </row>
    <row r="33" spans="1:11" x14ac:dyDescent="0.35">
      <c r="F33" s="66" t="s">
        <v>163</v>
      </c>
      <c r="G33" s="64" t="s">
        <v>37</v>
      </c>
      <c r="H33" s="84">
        <f>-PV($D$5,$D$3,H4*(H19+H20+H21)*H17*1000*H5)</f>
        <v>1639368949221.2566</v>
      </c>
      <c r="J33" s="89"/>
      <c r="K33" s="133"/>
    </row>
    <row r="34" spans="1:11" x14ac:dyDescent="0.35">
      <c r="F34" s="67" t="s">
        <v>38</v>
      </c>
      <c r="G34" s="68" t="s">
        <v>39</v>
      </c>
      <c r="H34" s="85">
        <f>-PV($D$5+$D$6,$D$3,H4*H5*1000)</f>
        <v>38398675541.791214</v>
      </c>
      <c r="I34" s="133"/>
    </row>
    <row r="35" spans="1:11" x14ac:dyDescent="0.35">
      <c r="A35" s="101" t="s">
        <v>42</v>
      </c>
      <c r="B35" s="101"/>
      <c r="C35" s="10"/>
      <c r="D35" s="90">
        <v>45538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0A883-B436-488F-AB18-7A0AA4D2ED8E}">
  <dimension ref="A1:G28"/>
  <sheetViews>
    <sheetView topLeftCell="A17" zoomScale="115" zoomScaleNormal="115" workbookViewId="0">
      <selection activeCell="D22" sqref="D22"/>
    </sheetView>
  </sheetViews>
  <sheetFormatPr defaultColWidth="11.453125" defaultRowHeight="13" x14ac:dyDescent="0.3"/>
  <cols>
    <col min="1" max="1" width="23.81640625" style="20" bestFit="1" customWidth="1"/>
    <col min="2" max="2" width="10.54296875" style="20" bestFit="1" customWidth="1"/>
    <col min="3" max="3" width="12" style="20" bestFit="1" customWidth="1"/>
    <col min="4" max="4" width="11.453125" style="20"/>
    <col min="5" max="5" width="42.81640625" style="20" bestFit="1" customWidth="1"/>
    <col min="6" max="6" width="10.7265625" style="20" customWidth="1"/>
    <col min="7" max="7" width="17.7265625" style="20" bestFit="1" customWidth="1"/>
    <col min="8" max="16384" width="11.453125" style="20"/>
  </cols>
  <sheetData>
    <row r="1" spans="1:7" ht="13.5" thickBot="1" x14ac:dyDescent="0.35"/>
    <row r="2" spans="1:7" x14ac:dyDescent="0.3">
      <c r="A2" s="49"/>
      <c r="B2" s="49" t="s">
        <v>0</v>
      </c>
      <c r="C2" s="52"/>
      <c r="E2" s="102" t="s">
        <v>177</v>
      </c>
      <c r="F2" s="115"/>
      <c r="G2" s="116"/>
    </row>
    <row r="3" spans="1:7" x14ac:dyDescent="0.3">
      <c r="A3" s="49" t="s">
        <v>2</v>
      </c>
      <c r="B3" s="20" t="s">
        <v>3</v>
      </c>
      <c r="C3" s="255">
        <v>40</v>
      </c>
      <c r="E3" s="22"/>
      <c r="F3" s="23" t="s">
        <v>4</v>
      </c>
      <c r="G3" s="25"/>
    </row>
    <row r="4" spans="1:7" ht="15" x14ac:dyDescent="0.4">
      <c r="A4" s="49" t="s">
        <v>11</v>
      </c>
      <c r="B4" s="20" t="s">
        <v>3</v>
      </c>
      <c r="C4" s="255">
        <v>7</v>
      </c>
      <c r="E4" s="22" t="s">
        <v>9</v>
      </c>
      <c r="F4" s="36" t="s">
        <v>178</v>
      </c>
      <c r="G4" s="27">
        <f>C19</f>
        <v>1600</v>
      </c>
    </row>
    <row r="5" spans="1:7" x14ac:dyDescent="0.3">
      <c r="A5" s="50" t="s">
        <v>179</v>
      </c>
      <c r="B5" s="10" t="s">
        <v>3</v>
      </c>
      <c r="C5" s="244">
        <v>60</v>
      </c>
      <c r="E5" s="1" t="s">
        <v>12</v>
      </c>
      <c r="F5" s="7" t="s">
        <v>13</v>
      </c>
      <c r="G5" s="38">
        <f>C20</f>
        <v>7800</v>
      </c>
    </row>
    <row r="6" spans="1:7" x14ac:dyDescent="0.3">
      <c r="A6" s="49" t="s">
        <v>7</v>
      </c>
      <c r="B6" s="10" t="s">
        <v>8</v>
      </c>
      <c r="C6" s="245">
        <v>0.06</v>
      </c>
      <c r="E6" s="1" t="s">
        <v>180</v>
      </c>
      <c r="F6" s="7" t="s">
        <v>118</v>
      </c>
      <c r="G6" s="44">
        <v>0.34</v>
      </c>
    </row>
    <row r="7" spans="1:7" x14ac:dyDescent="0.3">
      <c r="A7" s="49" t="s">
        <v>45</v>
      </c>
      <c r="B7" s="10" t="s">
        <v>46</v>
      </c>
      <c r="C7" s="245">
        <v>1E-3</v>
      </c>
      <c r="E7" s="2" t="s">
        <v>19</v>
      </c>
      <c r="F7" s="3"/>
      <c r="G7" s="45"/>
    </row>
    <row r="8" spans="1:7" ht="15" x14ac:dyDescent="0.4">
      <c r="A8" s="49" t="s">
        <v>123</v>
      </c>
      <c r="B8" s="10" t="s">
        <v>153</v>
      </c>
      <c r="C8" s="19">
        <f>C13*C16</f>
        <v>7.7840405502833354</v>
      </c>
      <c r="E8" s="4" t="s">
        <v>125</v>
      </c>
      <c r="F8" s="5" t="s">
        <v>181</v>
      </c>
      <c r="G8" s="29">
        <f>10375.6*C16</f>
        <v>106838.59076000001</v>
      </c>
    </row>
    <row r="9" spans="1:7" ht="15" x14ac:dyDescent="0.4">
      <c r="A9" s="49" t="s">
        <v>131</v>
      </c>
      <c r="B9" s="10" t="s">
        <v>132</v>
      </c>
      <c r="C9" s="261">
        <f>126.1/94.5</f>
        <v>1.3343915343915342</v>
      </c>
      <c r="E9" s="4" t="s">
        <v>128</v>
      </c>
      <c r="F9" s="5" t="s">
        <v>181</v>
      </c>
      <c r="G9" s="29"/>
    </row>
    <row r="10" spans="1:7" ht="15" x14ac:dyDescent="0.4">
      <c r="A10" s="55" t="s">
        <v>182</v>
      </c>
      <c r="B10" s="10"/>
      <c r="C10" s="41">
        <f>1/G6</f>
        <v>2.9411764705882351</v>
      </c>
      <c r="E10" s="4" t="s">
        <v>130</v>
      </c>
      <c r="F10" s="5" t="s">
        <v>181</v>
      </c>
      <c r="G10" s="29"/>
    </row>
    <row r="11" spans="1:7" ht="15" x14ac:dyDescent="0.4">
      <c r="A11" s="284" t="s">
        <v>183</v>
      </c>
      <c r="B11" s="10" t="s">
        <v>184</v>
      </c>
      <c r="C11" s="261">
        <v>40</v>
      </c>
      <c r="E11" s="4" t="s">
        <v>133</v>
      </c>
      <c r="F11" s="5" t="s">
        <v>181</v>
      </c>
      <c r="G11" s="29"/>
    </row>
    <row r="12" spans="1:7" ht="15" x14ac:dyDescent="0.4">
      <c r="A12" s="284"/>
      <c r="B12" s="10" t="s">
        <v>185</v>
      </c>
      <c r="C12" s="41">
        <f>C11/2.204543364</f>
        <v>18.144347102985812</v>
      </c>
      <c r="E12" s="6" t="s">
        <v>28</v>
      </c>
      <c r="F12" s="5" t="s">
        <v>181</v>
      </c>
      <c r="G12" s="29">
        <f>SUM(G8:G11)*(((1+(C6))*((1+C6)^(C4)-1))/(C6*C4))-SUM(G8:G11)</f>
        <v>28960.399627653955</v>
      </c>
    </row>
    <row r="13" spans="1:7" ht="15" x14ac:dyDescent="0.4">
      <c r="A13" s="284"/>
      <c r="B13" s="10" t="s">
        <v>186</v>
      </c>
      <c r="C13" s="41">
        <f>C12/24.00220751</f>
        <v>0.75594493112462102</v>
      </c>
      <c r="E13" s="37" t="s">
        <v>30</v>
      </c>
      <c r="F13" s="39" t="s">
        <v>181</v>
      </c>
      <c r="G13" s="46">
        <f>SUM(G8:G12)</f>
        <v>135798.99038765396</v>
      </c>
    </row>
    <row r="14" spans="1:7" ht="15" x14ac:dyDescent="0.4">
      <c r="A14" s="117"/>
      <c r="B14" s="10" t="s">
        <v>187</v>
      </c>
      <c r="C14" s="41">
        <f>C12*C17/C16</f>
        <v>18.501873787896688</v>
      </c>
      <c r="E14" s="1" t="s">
        <v>110</v>
      </c>
      <c r="F14" s="7" t="s">
        <v>188</v>
      </c>
      <c r="G14" s="213">
        <f>(151.1*C16)</f>
        <v>1555.8918100000001</v>
      </c>
    </row>
    <row r="15" spans="1:7" x14ac:dyDescent="0.3">
      <c r="A15" s="117"/>
      <c r="B15" s="10" t="s">
        <v>189</v>
      </c>
      <c r="C15" s="41">
        <f>C14/24.00220751</f>
        <v>0.7708405062404482</v>
      </c>
      <c r="E15" s="6" t="s">
        <v>148</v>
      </c>
      <c r="F15" s="5" t="s">
        <v>153</v>
      </c>
      <c r="G15" s="214">
        <v>4</v>
      </c>
    </row>
    <row r="16" spans="1:7" x14ac:dyDescent="0.3">
      <c r="A16" s="51" t="s">
        <v>190</v>
      </c>
      <c r="B16" s="10" t="s">
        <v>137</v>
      </c>
      <c r="C16" s="258">
        <v>10.2971</v>
      </c>
      <c r="E16" s="47" t="s">
        <v>191</v>
      </c>
      <c r="F16" s="7" t="s">
        <v>18</v>
      </c>
      <c r="G16" s="215">
        <v>6</v>
      </c>
    </row>
    <row r="17" spans="1:7" x14ac:dyDescent="0.3">
      <c r="A17" s="117"/>
      <c r="B17" s="10" t="s">
        <v>192</v>
      </c>
      <c r="C17" s="255">
        <v>10.5</v>
      </c>
      <c r="E17" s="1" t="s">
        <v>193</v>
      </c>
      <c r="F17" s="7" t="s">
        <v>18</v>
      </c>
      <c r="G17" s="40">
        <f>0.6*C9</f>
        <v>0.80063492063492048</v>
      </c>
    </row>
    <row r="18" spans="1:7" ht="15" thickBot="1" x14ac:dyDescent="0.4">
      <c r="A18" s="54"/>
      <c r="B18" s="10"/>
      <c r="C18"/>
      <c r="E18" s="8" t="s">
        <v>58</v>
      </c>
      <c r="F18" s="9" t="s">
        <v>18</v>
      </c>
      <c r="G18" s="30">
        <f>SUM(G21:G25)/G26</f>
        <v>148.3081165023971</v>
      </c>
    </row>
    <row r="19" spans="1:7" ht="14.5" x14ac:dyDescent="0.35">
      <c r="A19" s="54" t="s">
        <v>44</v>
      </c>
      <c r="B19" s="10" t="s">
        <v>116</v>
      </c>
      <c r="C19" s="233">
        <v>1600</v>
      </c>
    </row>
    <row r="20" spans="1:7" ht="14.5" x14ac:dyDescent="0.35">
      <c r="A20" s="54" t="s">
        <v>53</v>
      </c>
      <c r="B20" s="10" t="s">
        <v>25</v>
      </c>
      <c r="C20" s="233">
        <v>7800</v>
      </c>
      <c r="E20" s="70" t="s">
        <v>36</v>
      </c>
      <c r="F20" s="71"/>
      <c r="G20" s="72"/>
    </row>
    <row r="21" spans="1:7" x14ac:dyDescent="0.3">
      <c r="E21" s="66" t="s">
        <v>19</v>
      </c>
      <c r="F21" s="20" t="s">
        <v>37</v>
      </c>
      <c r="G21" s="65">
        <f>G13*100*1000*G4</f>
        <v>21727838462024.633</v>
      </c>
    </row>
    <row r="22" spans="1:7" x14ac:dyDescent="0.3">
      <c r="E22" s="66" t="s">
        <v>110</v>
      </c>
      <c r="F22" s="20" t="s">
        <v>37</v>
      </c>
      <c r="G22" s="65">
        <f>-PV($C$6,$C$3,G14*100*1000*G4)</f>
        <v>3745665611717.4766</v>
      </c>
    </row>
    <row r="23" spans="1:7" x14ac:dyDescent="0.3">
      <c r="E23" s="66" t="s">
        <v>193</v>
      </c>
      <c r="F23" s="20" t="s">
        <v>37</v>
      </c>
      <c r="G23" s="65">
        <f>-PV($C$6,$C$3,G17*1000*G4*G5)</f>
        <v>150341451955.7533</v>
      </c>
    </row>
    <row r="24" spans="1:7" x14ac:dyDescent="0.3">
      <c r="E24" s="66" t="s">
        <v>148</v>
      </c>
      <c r="F24" s="20" t="s">
        <v>37</v>
      </c>
      <c r="G24" s="65">
        <f>-PV($C$6,$C$3,G15*1000*G4*G5)</f>
        <v>751111139826.52344</v>
      </c>
    </row>
    <row r="25" spans="1:7" x14ac:dyDescent="0.3">
      <c r="E25" s="66" t="s">
        <v>191</v>
      </c>
      <c r="F25" s="20" t="s">
        <v>37</v>
      </c>
      <c r="G25" s="83">
        <f>-PV($C$6,$C$3,G16*1000*G4*G5)</f>
        <v>1126666709739.7852</v>
      </c>
    </row>
    <row r="26" spans="1:7" x14ac:dyDescent="0.3">
      <c r="E26" s="73" t="s">
        <v>38</v>
      </c>
      <c r="F26" s="74" t="s">
        <v>39</v>
      </c>
      <c r="G26" s="69">
        <f>-PV($C$6+C7,$C$3,G5*G4*1000)</f>
        <v>185435726808.78638</v>
      </c>
    </row>
    <row r="27" spans="1:7" ht="26" x14ac:dyDescent="0.3">
      <c r="A27" s="101" t="s">
        <v>42</v>
      </c>
      <c r="B27" s="10"/>
      <c r="C27" s="90">
        <v>45538</v>
      </c>
    </row>
    <row r="28" spans="1:7" x14ac:dyDescent="0.3">
      <c r="G28" s="118"/>
    </row>
  </sheetData>
  <mergeCells count="1">
    <mergeCell ref="A11:A13"/>
  </mergeCells>
  <pageMargins left="0.7" right="0.7" top="0.75" bottom="0.75" header="0.3" footer="0.3"/>
  <pageSetup paperSize="9" orientation="portrait" r:id="rId1"/>
  <ignoredErrors>
    <ignoredError sqref="C1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B97DBDE7D2D50A479E6FD94AD3A32CE2" ma:contentTypeVersion="34" ma:contentTypeDescription="Opprett et nytt dokument." ma:contentTypeScope="" ma:versionID="8f1137f39ba97e182f27690ce2887eb1">
  <xsd:schema xmlns:xsd="http://www.w3.org/2001/XMLSchema" xmlns:xs="http://www.w3.org/2001/XMLSchema" xmlns:p="http://schemas.microsoft.com/office/2006/metadata/properties" xmlns:ns2="08670d86-fc33-4f61-bf51-96e019343c8b" xmlns:ns3="6ef98f70-ebdb-4d8c-ae0e-5bc74a510774" xmlns:ns4="b25d7cef-b4e1-4646-acb4-f79d6f029472" targetNamespace="http://schemas.microsoft.com/office/2006/metadata/properties" ma:root="true" ma:fieldsID="77c02d849c1f9a10d09d0549f6416605" ns2:_="" ns3:_="" ns4:_="">
    <xsd:import namespace="08670d86-fc33-4f61-bf51-96e019343c8b"/>
    <xsd:import namespace="6ef98f70-ebdb-4d8c-ae0e-5bc74a510774"/>
    <xsd:import namespace="b25d7cef-b4e1-4646-acb4-f79d6f02947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n3e020d9d98c48dbb65f924b9bc22a2a" minOccurs="0"/>
                <xsd:element ref="ns2:g98ade60b1a5493f9b7127fdb0eec544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Person" minOccurs="0"/>
                <xsd:element ref="ns3:Typekontaktperson2" minOccurs="0"/>
                <xsd:element ref="ns3:Godkjent_x0020_av_x0020_seksjonsleder" minOccurs="0"/>
                <xsd:element ref="ns3:_Flow_SignoffStatus" minOccurs="0"/>
                <xsd:element ref="ns3:Uke" minOccurs="0"/>
                <xsd:element ref="ns3:Type" minOccurs="0"/>
                <xsd:element ref="ns3:Internt_x002f_eksternt" minOccurs="0"/>
                <xsd:element ref="ns3:Typekontaktperson" minOccurs="0"/>
                <xsd:element ref="ns3:_x0050_360" minOccurs="0"/>
                <xsd:element ref="ns3:lcf76f155ced4ddcb4097134ff3c332f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Stikkord" minOccurs="0"/>
                <xsd:element ref="ns3:MediaServiceAutoTag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c8f61711-8435-427f-aeea-a25a99399fa6}" ma:internalName="TaxCatchAll" ma:showField="CatchAllData" ma:web="b25d7cef-b4e1-4646-acb4-f79d6f029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c8f61711-8435-427f-aeea-a25a99399fa6}" ma:internalName="TaxCatchAllLabel" ma:readOnly="true" ma:showField="CatchAllDataLabel" ma:web="b25d7cef-b4e1-4646-acb4-f79d6f029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98f70-ebdb-4d8c-ae0e-5bc74a510774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Person" ma:index="22" nillable="true" ma:displayName="Personer involvert" ma:format="Dropdown" ma:list="UserInfo" ma:SharePointGroup="0" ma:internalName="Pers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ypekontaktperson2" ma:index="23" nillable="true" ma:displayName="Type kontaktperson 2" ma:format="Dropdown" ma:internalName="Typekontaktperson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Statnett"/>
                        <xsd:enumeration value="OED"/>
                        <xsd:enumeration value="DSB"/>
                        <xsd:enumeration value="NRK"/>
                        <xsd:enumeration value="Europower"/>
                        <xsd:enumeration value="EnergiTeknikk"/>
                        <xsd:enumeration value="Montel"/>
                        <xsd:enumeration value="Teknisk Ukeblad"/>
                        <xsd:enumeration value="Faktisk.no"/>
                        <xsd:enumeration value="Privatpers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Godkjent_x0020_av_x0020_seksjonsleder" ma:index="24" nillable="true" ma:displayName="Godkjent av seksjonsleder" ma:default="Ikke behov" ma:format="Dropdown" ma:internalName="Godkjent_x0020_av_x0020_seksjonsleder">
      <xsd:simpleType>
        <xsd:restriction base="dms:Choice">
          <xsd:enumeration value="Ja"/>
          <xsd:enumeration value="Nei"/>
          <xsd:enumeration value="Ikke behov"/>
        </xsd:restriction>
      </xsd:simpleType>
    </xsd:element>
    <xsd:element name="_Flow_SignoffStatus" ma:index="25" nillable="true" ma:displayName="Godkjenningsstatus" ma:internalName="Godkjenningsstatus">
      <xsd:simpleType>
        <xsd:restriction base="dms:Text"/>
      </xsd:simpleType>
    </xsd:element>
    <xsd:element name="Uke" ma:index="26" nillable="true" ma:displayName="Uke" ma:format="Dropdown" ma:internalName="Uke" ma:percentage="FALSE">
      <xsd:simpleType>
        <xsd:restriction base="dms:Number"/>
      </xsd:simpleType>
    </xsd:element>
    <xsd:element name="Type" ma:index="27" nillable="true" ma:displayName="Type " ma:format="Dropdown" ma:internalName="Type">
      <xsd:simpleType>
        <xsd:union memberTypes="dms:Text">
          <xsd:simpleType>
            <xsd:restriction base="dms:Choice">
              <xsd:enumeration value="Kurs"/>
              <xsd:enumeration value="Valg 2"/>
              <xsd:enumeration value="Valg 3"/>
            </xsd:restriction>
          </xsd:simpleType>
        </xsd:union>
      </xsd:simpleType>
    </xsd:element>
    <xsd:element name="Internt_x002f_eksternt" ma:index="28" nillable="true" ma:displayName="Internt/eksternt" ma:format="Dropdown" ma:internalName="Internt_x002f_eksternt">
      <xsd:simpleType>
        <xsd:restriction base="dms:Choice">
          <xsd:enumeration value="Internt"/>
          <xsd:enumeration value="Eksternt"/>
        </xsd:restriction>
      </xsd:simpleType>
    </xsd:element>
    <xsd:element name="Typekontaktperson" ma:index="29" nillable="true" ma:displayName="Type kontaktperson" ma:format="Dropdown" ma:internalName="Typekontaktperson">
      <xsd:simpleType>
        <xsd:union memberTypes="dms:Text">
          <xsd:simpleType>
            <xsd:restriction base="dms:Choice">
              <xsd:enumeration value="Media"/>
              <xsd:enumeration value="Myndighet"/>
              <xsd:enumeration value="Privatperson"/>
              <xsd:enumeration value="Privat selskap"/>
            </xsd:restriction>
          </xsd:simpleType>
        </xsd:union>
      </xsd:simpleType>
    </xsd:element>
    <xsd:element name="_x0050_360" ma:index="30" nillable="true" ma:displayName="P360" ma:format="Hyperlink" ma:internalName="_x0050_36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Stikkord" ma:index="37" nillable="true" ma:displayName="Stikkord" ma:default="Presentasjon" ma:format="Dropdown" ma:internalName="Stikkord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Markedsdesign"/>
                        <xsd:enumeration value="Forbrukerfleksibilitet"/>
                        <xsd:enumeration value="Anleggsbidrag"/>
                        <xsd:enumeration value="Tariffer"/>
                        <xsd:enumeration value="Kraftmarkedsanalyse"/>
                        <xsd:enumeration value="Samfunnsøkonomi - metode"/>
                        <xsd:enumeration value="Ikke-prissatte virkninger"/>
                        <xsd:enumeration value="Modell - metode"/>
                        <xsd:enumeration value="Prognose"/>
                        <xsd:enumeration value="Presentasjon"/>
                        <xsd:enumeration value="Kraftmarkedet"/>
                        <xsd:enumeration value="Havvind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AutoTags" ma:index="38" nillable="true" ma:displayName="Tags" ma:internalName="MediaServiceAutoTags" ma:readOnly="true">
      <xsd:simpleType>
        <xsd:restriction base="dms:Text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d7cef-b4e1-4646-acb4-f79d6f029472" elementFormDefault="qualified">
    <xsd:import namespace="http://schemas.microsoft.com/office/2006/documentManagement/types"/>
    <xsd:import namespace="http://schemas.microsoft.com/office/infopath/2007/PartnerControls"/>
    <xsd:element name="SharedWithUsers" ma:index="3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64152832-9f03-4628-8f8a-984f7e09cd82" ContentTypeId="0x01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25d7cef-b4e1-4646-acb4-f79d6f029472">
      <UserInfo>
        <DisplayName>PROSJ-SVANE - Stortingsmelding om VerdiskAping fra Norske Energiressurser-medlemmer</DisplayName>
        <AccountId>8</AccountId>
        <AccountType/>
      </UserInfo>
    </SharedWithUsers>
    <_x0050_360 xmlns="6ef98f70-ebdb-4d8c-ae0e-5bc74a510774">
      <Url xsi:nil="true"/>
      <Description xsi:nil="true"/>
    </_x0050_360>
    <Stikkord xmlns="6ef98f70-ebdb-4d8c-ae0e-5bc74a510774">
      <Value>Presentasjon</Value>
    </Stikkord>
    <_Flow_SignoffStatus xmlns="6ef98f70-ebdb-4d8c-ae0e-5bc74a510774" xsi:nil="true"/>
    <Person xmlns="6ef98f70-ebdb-4d8c-ae0e-5bc74a510774">
      <UserInfo>
        <DisplayName/>
        <AccountId xsi:nil="true"/>
        <AccountType/>
      </UserInfo>
    </Person>
    <Typekontaktperson2 xmlns="6ef98f70-ebdb-4d8c-ae0e-5bc74a510774" xsi:nil="true"/>
    <TaxCatchAll xmlns="08670d86-fc33-4f61-bf51-96e019343c8b" xsi:nil="true"/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  <lcf76f155ced4ddcb4097134ff3c332f xmlns="6ef98f70-ebdb-4d8c-ae0e-5bc74a510774">
      <Terms xmlns="http://schemas.microsoft.com/office/infopath/2007/PartnerControls"/>
    </lcf76f155ced4ddcb4097134ff3c332f>
    <Godkjent_x0020_av_x0020_seksjonsleder xmlns="6ef98f70-ebdb-4d8c-ae0e-5bc74a510774">Ikke behov</Godkjent_x0020_av_x0020_seksjonsleder>
    <Uke xmlns="6ef98f70-ebdb-4d8c-ae0e-5bc74a510774" xsi:nil="true"/>
    <Type xmlns="6ef98f70-ebdb-4d8c-ae0e-5bc74a510774" xsi:nil="true"/>
    <Internt_x002f_eksternt xmlns="6ef98f70-ebdb-4d8c-ae0e-5bc74a510774" xsi:nil="true"/>
    <Typekontaktperson xmlns="6ef98f70-ebdb-4d8c-ae0e-5bc74a51077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142E1E-E907-4873-84CD-AAF60A000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70d86-fc33-4f61-bf51-96e019343c8b"/>
    <ds:schemaRef ds:uri="6ef98f70-ebdb-4d8c-ae0e-5bc74a510774"/>
    <ds:schemaRef ds:uri="b25d7cef-b4e1-4646-acb4-f79d6f029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40E8C2-C399-4315-8830-5EF01B73D2B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C6EEBEA-0FB9-42DD-93BD-0AD52B894649}">
  <ds:schemaRefs>
    <ds:schemaRef ds:uri="08670d86-fc33-4f61-bf51-96e019343c8b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25d7cef-b4e1-4646-acb4-f79d6f029472"/>
    <ds:schemaRef ds:uri="http://purl.org/dc/dcmitype/"/>
    <ds:schemaRef ds:uri="http://schemas.microsoft.com/office/2006/documentManagement/types"/>
    <ds:schemaRef ds:uri="6ef98f70-ebdb-4d8c-ae0e-5bc74a510774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EBDD217E-0768-43F3-84EC-1CFF6449EF0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c8d840d-60c9-410b-b4fb-11b86806780c}" enabled="0" method="" siteId="{bc8d840d-60c9-410b-b4fb-11b86806780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Vannkraft</vt:lpstr>
      <vt:lpstr>Landbasert vindkraft</vt:lpstr>
      <vt:lpstr>Havvind</vt:lpstr>
      <vt:lpstr>Solkraft</vt:lpstr>
      <vt:lpstr>Kullkraft</vt:lpstr>
      <vt:lpstr>Gasskraft</vt:lpstr>
      <vt:lpstr>Kjernekraft</vt:lpstr>
    </vt:vector>
  </TitlesOfParts>
  <Manager/>
  <Company>NVE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Olav Karstad Isachsen</dc:creator>
  <cp:keywords/>
  <dc:description/>
  <cp:lastModifiedBy>Amaresh Neguse Eyob</cp:lastModifiedBy>
  <cp:revision/>
  <dcterms:created xsi:type="dcterms:W3CDTF">2016-11-15T12:54:30Z</dcterms:created>
  <dcterms:modified xsi:type="dcterms:W3CDTF">2025-04-07T10:11:15Z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3501534461975</vt:r8>
  </property>
  <property fmtid="{D5CDD505-2E9C-101B-9397-08002B2CF9AE}" pid="3" name="ContentTypeId">
    <vt:lpwstr>0x010100B97DBDE7D2D50A479E6FD94AD3A32CE2</vt:lpwstr>
  </property>
  <property fmtid="{D5CDD505-2E9C-101B-9397-08002B2CF9AE}" pid="4" name="NVE_Tema">
    <vt:lpwstr/>
  </property>
  <property fmtid="{D5CDD505-2E9C-101B-9397-08002B2CF9AE}" pid="5" name="MediaServiceImageTags">
    <vt:lpwstr/>
  </property>
  <property fmtid="{D5CDD505-2E9C-101B-9397-08002B2CF9AE}" pid="6" name="NVE_Dokumenttype">
    <vt:lpwstr/>
  </property>
</Properties>
</file>