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nveazure-my.sharepoint.com/personal/sihm_nve_no/Documents/Dokumenter/"/>
    </mc:Choice>
  </mc:AlternateContent>
  <xr:revisionPtr revIDLastSave="19803" documentId="8_{736EF2B9-D494-4EB0-B506-2E188240789B}" xr6:coauthVersionLast="47" xr6:coauthVersionMax="47" xr10:uidLastSave="{E19E9D9D-8F3A-4953-B3AB-537901AE891D}"/>
  <bookViews>
    <workbookView xWindow="-120" yWindow="-120" windowWidth="29040" windowHeight="15720" xr2:uid="{F9142696-3C4D-4D4F-AABA-C0522B52001D}"/>
  </bookViews>
  <sheets>
    <sheet name="Introduksjon" sheetId="27" r:id="rId1"/>
    <sheet name="Forutsetninger" sheetId="2" r:id="rId2"/>
    <sheet name="Nettleie 2024-2030" sheetId="28" r:id="rId3"/>
    <sheet name="Investeringer" sheetId="1" r:id="rId4"/>
    <sheet name="Nettap" sheetId="4" r:id="rId5"/>
    <sheet name="IR 2023-2024" sheetId="3" r:id="rId6"/>
    <sheet name="Østlandet IR 2023-2030" sheetId="17" r:id="rId7"/>
    <sheet name="Sørlandet IR 2023-2030" sheetId="18" r:id="rId8"/>
    <sheet name="Midt-Norge IR 2023-2030" sheetId="19" r:id="rId9"/>
    <sheet name="Nord-Norge IR 2023-2030" sheetId="20" r:id="rId10"/>
    <sheet name="Vestlandet IR 2023-2030" sheetId="21" r:id="rId11"/>
    <sheet name="IR T-nett 2024-2030" sheetId="22" r:id="rId12"/>
    <sheet name="Tidsetterslep" sheetId="9" r:id="rId13"/>
    <sheet name="FoU" sheetId="8" r:id="rId14"/>
    <sheet name="Skatt" sheetId="7" r:id="rId15"/>
    <sheet name="KON" sheetId="10" r:id="rId16"/>
    <sheet name="Elhub&amp;Elbits" sheetId="14" r:id="rId17"/>
    <sheet name="TI 2024-2030" sheetId="6" r:id="rId18"/>
    <sheet name="TI T-nett 2024-2030" sheetId="23" r:id="rId19"/>
    <sheet name="Forbruk MWh" sheetId="13" r:id="rId20"/>
    <sheet name="Fordelingsnøkler" sheetId="26" r:id="rId21"/>
    <sheet name="Skaleringsfaktor" sheetId="25" state="hidden"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 i="28" l="1"/>
  <c r="J7" i="10" l="1"/>
  <c r="C21" i="26" l="1"/>
  <c r="D21" i="26"/>
  <c r="E21" i="26"/>
  <c r="F21" i="26"/>
  <c r="B21" i="26"/>
  <c r="B10" i="26"/>
  <c r="C5" i="1" l="1"/>
  <c r="C6" i="1"/>
  <c r="L8" i="13"/>
  <c r="F11" i="10" l="1"/>
  <c r="J11" i="10" s="1"/>
  <c r="B19" i="22" l="1"/>
  <c r="V29" i="4" l="1"/>
  <c r="Q29" i="4"/>
  <c r="L29" i="4"/>
  <c r="G29" i="4"/>
  <c r="B29" i="4"/>
  <c r="F7" i="10"/>
  <c r="F8" i="10"/>
  <c r="F9" i="10"/>
  <c r="F10" i="10"/>
  <c r="B63" i="14" l="1"/>
  <c r="B30" i="10"/>
  <c r="H26" i="10"/>
  <c r="B9" i="14"/>
  <c r="C41" i="4"/>
  <c r="D41" i="4" s="1"/>
  <c r="C71" i="28"/>
  <c r="E35" i="10" l="1"/>
  <c r="C36" i="10"/>
  <c r="G5" i="13"/>
  <c r="L5" i="13"/>
  <c r="G6" i="13"/>
  <c r="K6" i="13"/>
  <c r="L6" i="13" s="1"/>
  <c r="G7" i="13"/>
  <c r="L7" i="13"/>
  <c r="B8" i="13"/>
  <c r="C8" i="13"/>
  <c r="F8" i="13"/>
  <c r="I8" i="13"/>
  <c r="J8" i="13"/>
  <c r="K8" i="13"/>
  <c r="B9" i="13"/>
  <c r="C9" i="13"/>
  <c r="F9" i="13"/>
  <c r="I9" i="13"/>
  <c r="J9" i="13"/>
  <c r="K9" i="13"/>
  <c r="B10" i="13"/>
  <c r="C10" i="13"/>
  <c r="F10" i="13"/>
  <c r="I10" i="13"/>
  <c r="J10" i="13"/>
  <c r="K10" i="13"/>
  <c r="B11" i="13"/>
  <c r="C11" i="13"/>
  <c r="F11" i="13"/>
  <c r="I11" i="13"/>
  <c r="J11" i="13"/>
  <c r="K11" i="13"/>
  <c r="B12" i="13"/>
  <c r="C12" i="13"/>
  <c r="F12" i="13"/>
  <c r="I12" i="13"/>
  <c r="J12" i="13"/>
  <c r="K12" i="13"/>
  <c r="B13" i="13"/>
  <c r="B14" i="13"/>
  <c r="C14" i="13"/>
  <c r="F14" i="13"/>
  <c r="I14" i="13"/>
  <c r="J14" i="13"/>
  <c r="K14" i="13"/>
  <c r="B18" i="14"/>
  <c r="I63" i="14"/>
  <c r="I64" i="14"/>
  <c r="I65" i="14"/>
  <c r="I66" i="14"/>
  <c r="K8" i="20"/>
  <c r="D8" i="20" s="1"/>
  <c r="L8" i="20"/>
  <c r="C8" i="20" s="1"/>
  <c r="K9" i="20"/>
  <c r="L9" i="20"/>
  <c r="C9" i="20" s="1"/>
  <c r="K23" i="20"/>
  <c r="D23" i="20" s="1"/>
  <c r="L23" i="20"/>
  <c r="C23" i="20" s="1"/>
  <c r="K24" i="20"/>
  <c r="D24" i="20" s="1"/>
  <c r="L24" i="20"/>
  <c r="C24" i="20" s="1"/>
  <c r="G24" i="20" l="1"/>
  <c r="G9" i="20"/>
  <c r="G8" i="20"/>
  <c r="G23" i="20"/>
  <c r="G11" i="13"/>
  <c r="K15" i="13"/>
  <c r="J15" i="13"/>
  <c r="I15" i="13"/>
  <c r="F13" i="13"/>
  <c r="F15" i="13"/>
  <c r="B15" i="13"/>
  <c r="C13" i="13"/>
  <c r="M8" i="13"/>
  <c r="L10" i="13"/>
  <c r="G10" i="13"/>
  <c r="L9" i="13"/>
  <c r="M9" i="13" s="1"/>
  <c r="G12" i="13"/>
  <c r="L11" i="13"/>
  <c r="G14" i="13"/>
  <c r="G8" i="13"/>
  <c r="H7" i="13"/>
  <c r="L12" i="13"/>
  <c r="J13" i="13"/>
  <c r="G9" i="13"/>
  <c r="N6" i="13"/>
  <c r="M7" i="13"/>
  <c r="C6" i="28" s="1"/>
  <c r="I13" i="13"/>
  <c r="N7" i="13"/>
  <c r="L14" i="13"/>
  <c r="M6" i="13"/>
  <c r="K13" i="13"/>
  <c r="N5" i="13"/>
  <c r="H6" i="13"/>
  <c r="D9" i="20"/>
  <c r="D14" i="7"/>
  <c r="D15" i="7"/>
  <c r="D16" i="7"/>
  <c r="D17" i="7"/>
  <c r="D22" i="7"/>
  <c r="D23" i="7"/>
  <c r="D24" i="7"/>
  <c r="D25" i="7"/>
  <c r="D30" i="7"/>
  <c r="D31" i="7"/>
  <c r="D32" i="7"/>
  <c r="D33" i="7"/>
  <c r="D38" i="7"/>
  <c r="D39" i="7"/>
  <c r="D40" i="7"/>
  <c r="D41" i="7"/>
  <c r="D6" i="7"/>
  <c r="G13" i="13" l="1"/>
  <c r="H14" i="13" s="1"/>
  <c r="H15" i="13" s="1"/>
  <c r="H12" i="13"/>
  <c r="D18" i="7"/>
  <c r="D42" i="7"/>
  <c r="L15" i="13"/>
  <c r="H11" i="13"/>
  <c r="C7" i="28"/>
  <c r="C8" i="28" s="1"/>
  <c r="N8" i="13"/>
  <c r="O8" i="13" s="1"/>
  <c r="G15" i="13"/>
  <c r="M11" i="13"/>
  <c r="D34" i="7"/>
  <c r="D26" i="7"/>
  <c r="N14" i="13"/>
  <c r="M10" i="13"/>
  <c r="M12" i="13"/>
  <c r="N10" i="13"/>
  <c r="N11" i="13"/>
  <c r="H9" i="13"/>
  <c r="N12" i="13"/>
  <c r="L13" i="13"/>
  <c r="M13" i="13" s="1"/>
  <c r="O7" i="13"/>
  <c r="H10" i="13"/>
  <c r="N9" i="13"/>
  <c r="O9" i="13" s="1"/>
  <c r="H8" i="13"/>
  <c r="H13" i="13"/>
  <c r="B28" i="8"/>
  <c r="B12" i="8" s="1"/>
  <c r="C28" i="8"/>
  <c r="C12" i="8" s="1"/>
  <c r="D28" i="8"/>
  <c r="D12" i="8" s="1"/>
  <c r="E28" i="8"/>
  <c r="E12" i="8" s="1"/>
  <c r="F28" i="8"/>
  <c r="F12" i="8" s="1"/>
  <c r="J28" i="8"/>
  <c r="J12" i="8" s="1"/>
  <c r="K28" i="8"/>
  <c r="K12" i="8" s="1"/>
  <c r="L28" i="8"/>
  <c r="L12" i="8" s="1"/>
  <c r="M28" i="8"/>
  <c r="M12" i="8" s="1"/>
  <c r="N28" i="8"/>
  <c r="N12" i="8" s="1"/>
  <c r="B5" i="1"/>
  <c r="C50" i="1"/>
  <c r="C49" i="1"/>
  <c r="C39" i="1"/>
  <c r="C38" i="1"/>
  <c r="M25" i="20" s="1"/>
  <c r="C28" i="1"/>
  <c r="C27" i="1"/>
  <c r="C17" i="1"/>
  <c r="C16" i="1"/>
  <c r="C7" i="1"/>
  <c r="B61" i="1"/>
  <c r="B62" i="1"/>
  <c r="B63" i="1"/>
  <c r="B50" i="1"/>
  <c r="B49" i="1"/>
  <c r="B39" i="1"/>
  <c r="B38" i="1"/>
  <c r="B28" i="1"/>
  <c r="B27" i="1"/>
  <c r="B18" i="1"/>
  <c r="B17" i="1"/>
  <c r="B16" i="1"/>
  <c r="B6" i="1"/>
  <c r="B7" i="1"/>
  <c r="D8" i="22"/>
  <c r="B64" i="1"/>
  <c r="C56" i="1"/>
  <c r="C55" i="1"/>
  <c r="C54" i="1"/>
  <c r="C53" i="1"/>
  <c r="C52" i="1"/>
  <c r="C51" i="1"/>
  <c r="C45" i="1"/>
  <c r="C44" i="1"/>
  <c r="C43" i="1"/>
  <c r="C42" i="1"/>
  <c r="C41" i="1"/>
  <c r="C40" i="1"/>
  <c r="C34" i="1"/>
  <c r="C33" i="1"/>
  <c r="C32" i="1"/>
  <c r="C31" i="1"/>
  <c r="C30" i="1"/>
  <c r="C29" i="1"/>
  <c r="C23" i="1"/>
  <c r="C22" i="1"/>
  <c r="C21" i="1"/>
  <c r="C20" i="1"/>
  <c r="C19" i="1"/>
  <c r="C18" i="1"/>
  <c r="C12" i="1"/>
  <c r="C11" i="1"/>
  <c r="C10" i="1"/>
  <c r="C9" i="1"/>
  <c r="C8" i="1"/>
  <c r="B56" i="1"/>
  <c r="B55" i="1"/>
  <c r="B54" i="1"/>
  <c r="B53" i="1"/>
  <c r="B52" i="1"/>
  <c r="B51" i="1"/>
  <c r="B45" i="1"/>
  <c r="B44" i="1"/>
  <c r="B43" i="1"/>
  <c r="B42" i="1"/>
  <c r="B41" i="1"/>
  <c r="B40" i="1"/>
  <c r="B34" i="1"/>
  <c r="B33" i="1"/>
  <c r="B32" i="1"/>
  <c r="B31" i="1"/>
  <c r="B30" i="1"/>
  <c r="B29" i="1"/>
  <c r="B23" i="1"/>
  <c r="B22" i="1"/>
  <c r="B21" i="1"/>
  <c r="B20" i="1"/>
  <c r="B19" i="1"/>
  <c r="B12" i="1"/>
  <c r="B11" i="1"/>
  <c r="B10" i="1"/>
  <c r="B9" i="1"/>
  <c r="B8" i="1"/>
  <c r="E46" i="6" l="1"/>
  <c r="E45" i="6"/>
  <c r="C9" i="28"/>
  <c r="C10" i="28" s="1"/>
  <c r="O12" i="13"/>
  <c r="N15" i="13"/>
  <c r="O10" i="13"/>
  <c r="O11" i="13"/>
  <c r="N13" i="13"/>
  <c r="O14" i="13" s="1"/>
  <c r="O15" i="13" s="1"/>
  <c r="M14" i="13"/>
  <c r="M15" i="13" s="1"/>
  <c r="M10" i="20"/>
  <c r="N10" i="20" s="1"/>
  <c r="N25" i="20"/>
  <c r="M26" i="20"/>
  <c r="O12" i="8"/>
  <c r="G12" i="8"/>
  <c r="H19" i="22"/>
  <c r="H20" i="22"/>
  <c r="H21" i="22"/>
  <c r="H22" i="22"/>
  <c r="H23" i="22"/>
  <c r="H24" i="22"/>
  <c r="H25" i="22"/>
  <c r="H18" i="22"/>
  <c r="B20" i="22"/>
  <c r="B21" i="22"/>
  <c r="B22" i="22"/>
  <c r="B23" i="22"/>
  <c r="B24" i="22"/>
  <c r="B25" i="22"/>
  <c r="B29" i="22" s="1"/>
  <c r="K60" i="13"/>
  <c r="J60" i="13"/>
  <c r="I60" i="13"/>
  <c r="F60" i="13"/>
  <c r="E60" i="13"/>
  <c r="C60" i="13"/>
  <c r="B60" i="13"/>
  <c r="K47" i="13"/>
  <c r="J47" i="13"/>
  <c r="I47" i="13"/>
  <c r="F47" i="13"/>
  <c r="E47" i="13"/>
  <c r="D47" i="13"/>
  <c r="C47" i="13"/>
  <c r="B47" i="13"/>
  <c r="K34" i="13"/>
  <c r="J34" i="13"/>
  <c r="I34" i="13"/>
  <c r="F34" i="13"/>
  <c r="E34" i="13"/>
  <c r="D34" i="13"/>
  <c r="C34" i="13"/>
  <c r="B34" i="13"/>
  <c r="K21" i="13"/>
  <c r="J21" i="13"/>
  <c r="I21" i="13"/>
  <c r="F21" i="13"/>
  <c r="E21" i="13"/>
  <c r="D21" i="13"/>
  <c r="C21" i="13"/>
  <c r="B21" i="13"/>
  <c r="K66" i="13"/>
  <c r="K67" i="13" s="1"/>
  <c r="K65" i="13"/>
  <c r="K64" i="13"/>
  <c r="K63" i="13"/>
  <c r="K62" i="13"/>
  <c r="K61" i="13"/>
  <c r="J66" i="13"/>
  <c r="J67" i="13" s="1"/>
  <c r="J65" i="13"/>
  <c r="J64" i="13"/>
  <c r="J63" i="13"/>
  <c r="J62" i="13"/>
  <c r="J61" i="13"/>
  <c r="I66" i="13"/>
  <c r="I65" i="13"/>
  <c r="I64" i="13"/>
  <c r="I63" i="13"/>
  <c r="I62" i="13"/>
  <c r="I61" i="13"/>
  <c r="F66" i="13"/>
  <c r="F65" i="13"/>
  <c r="F64" i="13"/>
  <c r="F63" i="13"/>
  <c r="F62" i="13"/>
  <c r="F61" i="13"/>
  <c r="E66" i="13"/>
  <c r="E65" i="13"/>
  <c r="E64" i="13"/>
  <c r="E63" i="13"/>
  <c r="E62" i="13"/>
  <c r="E61" i="13"/>
  <c r="C66" i="13"/>
  <c r="C65" i="13"/>
  <c r="C64" i="13"/>
  <c r="C63" i="13"/>
  <c r="C62" i="13"/>
  <c r="C61" i="13"/>
  <c r="B66" i="13"/>
  <c r="B67" i="13" s="1"/>
  <c r="B65" i="13"/>
  <c r="B64" i="13"/>
  <c r="B63" i="13"/>
  <c r="B62" i="13"/>
  <c r="B61" i="13"/>
  <c r="K53" i="13"/>
  <c r="K52" i="13"/>
  <c r="K51" i="13"/>
  <c r="K50" i="13"/>
  <c r="K49" i="13"/>
  <c r="K48" i="13"/>
  <c r="J53" i="13"/>
  <c r="J52" i="13"/>
  <c r="J51" i="13"/>
  <c r="J50" i="13"/>
  <c r="J49" i="13"/>
  <c r="J48" i="13"/>
  <c r="I53" i="13"/>
  <c r="I52" i="13"/>
  <c r="I51" i="13"/>
  <c r="I50" i="13"/>
  <c r="I49" i="13"/>
  <c r="I48" i="13"/>
  <c r="F53" i="13"/>
  <c r="F54" i="13" s="1"/>
  <c r="F52" i="13"/>
  <c r="F51" i="13"/>
  <c r="F50" i="13"/>
  <c r="F49" i="13"/>
  <c r="F48" i="13"/>
  <c r="E53" i="13"/>
  <c r="E52" i="13"/>
  <c r="E51" i="13"/>
  <c r="E50" i="13"/>
  <c r="E49" i="13"/>
  <c r="E48" i="13"/>
  <c r="D53" i="13"/>
  <c r="D52" i="13"/>
  <c r="D51" i="13"/>
  <c r="D50" i="13"/>
  <c r="D49" i="13"/>
  <c r="D48" i="13"/>
  <c r="C53" i="13"/>
  <c r="C52" i="13"/>
  <c r="C51" i="13"/>
  <c r="C50" i="13"/>
  <c r="C49" i="13"/>
  <c r="C48" i="13"/>
  <c r="B53" i="13"/>
  <c r="B52" i="13"/>
  <c r="B51" i="13"/>
  <c r="B50" i="13"/>
  <c r="B49" i="13"/>
  <c r="B48" i="13"/>
  <c r="K40" i="13"/>
  <c r="K39" i="13"/>
  <c r="K38" i="13"/>
  <c r="K37" i="13"/>
  <c r="K36" i="13"/>
  <c r="K35" i="13"/>
  <c r="J40" i="13"/>
  <c r="J41" i="13" s="1"/>
  <c r="J39" i="13"/>
  <c r="J38" i="13"/>
  <c r="J37" i="13"/>
  <c r="J36" i="13"/>
  <c r="J35" i="13"/>
  <c r="I40" i="13"/>
  <c r="I39" i="13"/>
  <c r="I38" i="13"/>
  <c r="I37" i="13"/>
  <c r="I36" i="13"/>
  <c r="I35" i="13"/>
  <c r="F40" i="13"/>
  <c r="F41" i="13" s="1"/>
  <c r="F39" i="13"/>
  <c r="F38" i="13"/>
  <c r="F37" i="13"/>
  <c r="F36" i="13"/>
  <c r="F35" i="13"/>
  <c r="E40" i="13"/>
  <c r="E39" i="13"/>
  <c r="E38" i="13"/>
  <c r="E37" i="13"/>
  <c r="E36" i="13"/>
  <c r="E35" i="13"/>
  <c r="D40" i="13"/>
  <c r="D39" i="13"/>
  <c r="D38" i="13"/>
  <c r="D37" i="13"/>
  <c r="D36" i="13"/>
  <c r="D35" i="13"/>
  <c r="C40" i="13"/>
  <c r="C39" i="13"/>
  <c r="C38" i="13"/>
  <c r="C37" i="13"/>
  <c r="C36" i="13"/>
  <c r="C35" i="13"/>
  <c r="B40" i="13"/>
  <c r="B41" i="13" s="1"/>
  <c r="B39" i="13"/>
  <c r="B38" i="13"/>
  <c r="B37" i="13"/>
  <c r="B36" i="13"/>
  <c r="B35" i="13"/>
  <c r="K27" i="13"/>
  <c r="K28" i="13" s="1"/>
  <c r="K25" i="13"/>
  <c r="K24" i="13"/>
  <c r="K23" i="13"/>
  <c r="K22" i="13"/>
  <c r="J27" i="13"/>
  <c r="J25" i="13"/>
  <c r="J24" i="13"/>
  <c r="J23" i="13"/>
  <c r="J22" i="13"/>
  <c r="I27" i="13"/>
  <c r="I25" i="13"/>
  <c r="I24" i="13"/>
  <c r="I23" i="13"/>
  <c r="I22" i="13"/>
  <c r="F27" i="13"/>
  <c r="F25" i="13"/>
  <c r="F24" i="13"/>
  <c r="F23" i="13"/>
  <c r="F22" i="13"/>
  <c r="E27" i="13"/>
  <c r="E25" i="13"/>
  <c r="E24" i="13"/>
  <c r="E23" i="13"/>
  <c r="E22" i="13"/>
  <c r="D27" i="13"/>
  <c r="D25" i="13"/>
  <c r="D24" i="13"/>
  <c r="D23" i="13"/>
  <c r="D22" i="13"/>
  <c r="C27" i="13"/>
  <c r="C25" i="13"/>
  <c r="C24" i="13"/>
  <c r="C23" i="13"/>
  <c r="C22" i="13"/>
  <c r="B27" i="13"/>
  <c r="B25" i="13"/>
  <c r="B24" i="13"/>
  <c r="B23" i="13"/>
  <c r="B22" i="13"/>
  <c r="H28" i="22" l="1"/>
  <c r="B54" i="13"/>
  <c r="I67" i="13"/>
  <c r="J28" i="13"/>
  <c r="F28" i="13"/>
  <c r="I54" i="13"/>
  <c r="J54" i="13"/>
  <c r="I41" i="13"/>
  <c r="K54" i="13"/>
  <c r="F67" i="13"/>
  <c r="I28" i="13"/>
  <c r="K41" i="13"/>
  <c r="B28" i="13"/>
  <c r="O13" i="13"/>
  <c r="C11" i="28"/>
  <c r="M27" i="20"/>
  <c r="N26" i="20"/>
  <c r="M11" i="20"/>
  <c r="N11" i="20" s="1"/>
  <c r="J26" i="13"/>
  <c r="F26" i="13"/>
  <c r="D26" i="13"/>
  <c r="C26" i="13"/>
  <c r="B26" i="13"/>
  <c r="E26" i="13"/>
  <c r="K26" i="13"/>
  <c r="I26" i="13"/>
  <c r="C12" i="28" l="1"/>
  <c r="N27" i="20"/>
  <c r="M12" i="20"/>
  <c r="M28" i="20"/>
  <c r="C64" i="14"/>
  <c r="D64" i="14"/>
  <c r="E64" i="14"/>
  <c r="F64" i="14"/>
  <c r="C65" i="14"/>
  <c r="D65" i="14"/>
  <c r="E65" i="14"/>
  <c r="F65" i="14"/>
  <c r="C66" i="14"/>
  <c r="D66" i="14"/>
  <c r="E66" i="14"/>
  <c r="F66" i="14"/>
  <c r="C67" i="14"/>
  <c r="D67" i="14"/>
  <c r="E67" i="14"/>
  <c r="F67" i="14"/>
  <c r="B64" i="14"/>
  <c r="B65" i="14"/>
  <c r="B66" i="14"/>
  <c r="B67" i="14"/>
  <c r="C13" i="28" l="1"/>
  <c r="M29" i="20"/>
  <c r="M13" i="20"/>
  <c r="N28" i="20"/>
  <c r="N12" i="20"/>
  <c r="G58" i="13"/>
  <c r="C14" i="28" l="1"/>
  <c r="N13" i="20"/>
  <c r="N29" i="20"/>
  <c r="M30" i="20"/>
  <c r="M14" i="20"/>
  <c r="J13" i="23"/>
  <c r="M15" i="20" l="1"/>
  <c r="M31" i="20"/>
  <c r="N30" i="20"/>
  <c r="N14" i="20"/>
  <c r="N31" i="20" l="1"/>
  <c r="N15" i="20"/>
  <c r="M32" i="20"/>
  <c r="M16" i="20"/>
  <c r="B5" i="26"/>
  <c r="C5" i="26"/>
  <c r="D5" i="26"/>
  <c r="E5" i="26"/>
  <c r="K10" i="20" s="1"/>
  <c r="F5" i="26"/>
  <c r="B6" i="26"/>
  <c r="C6" i="26"/>
  <c r="D6" i="26"/>
  <c r="E6" i="26"/>
  <c r="K25" i="20" s="1"/>
  <c r="F6" i="26"/>
  <c r="C10" i="26"/>
  <c r="D10" i="26"/>
  <c r="E10" i="26"/>
  <c r="F10" i="26"/>
  <c r="B17" i="26"/>
  <c r="C17" i="26"/>
  <c r="D17" i="26"/>
  <c r="E17" i="26"/>
  <c r="F17" i="26"/>
  <c r="L25" i="20" l="1"/>
  <c r="K26" i="20"/>
  <c r="D25" i="20"/>
  <c r="L10" i="20"/>
  <c r="K11" i="20"/>
  <c r="D10" i="20"/>
  <c r="M17" i="20"/>
  <c r="N16" i="20"/>
  <c r="N32" i="20"/>
  <c r="C5" i="23"/>
  <c r="K27" i="20" l="1"/>
  <c r="D26" i="20"/>
  <c r="K12" i="20"/>
  <c r="D11" i="20"/>
  <c r="L11" i="20"/>
  <c r="C10" i="20"/>
  <c r="L26" i="20"/>
  <c r="C25" i="20"/>
  <c r="N17" i="20"/>
  <c r="I6" i="23"/>
  <c r="D7" i="22"/>
  <c r="C7" i="22"/>
  <c r="D19" i="22" s="1"/>
  <c r="L19" i="22" s="1"/>
  <c r="B42" i="4"/>
  <c r="B48" i="4"/>
  <c r="B47" i="4"/>
  <c r="B46" i="4"/>
  <c r="B45" i="4"/>
  <c r="B44" i="4"/>
  <c r="B43" i="4"/>
  <c r="V30" i="4"/>
  <c r="Q30" i="4"/>
  <c r="L30" i="4"/>
  <c r="G30" i="4"/>
  <c r="B30" i="4"/>
  <c r="V36" i="4"/>
  <c r="V35" i="4"/>
  <c r="V34" i="4"/>
  <c r="V33" i="4"/>
  <c r="V32" i="4"/>
  <c r="V31" i="4"/>
  <c r="Q36" i="4"/>
  <c r="Q35" i="4"/>
  <c r="Q34" i="4"/>
  <c r="Q33" i="4"/>
  <c r="Q32" i="4"/>
  <c r="Q31" i="4"/>
  <c r="L36" i="4"/>
  <c r="L35" i="4"/>
  <c r="L34" i="4"/>
  <c r="L33" i="4"/>
  <c r="L32" i="4"/>
  <c r="L31" i="4"/>
  <c r="G36" i="4"/>
  <c r="H36" i="4" s="1"/>
  <c r="G35" i="4"/>
  <c r="G34" i="4"/>
  <c r="G33" i="4"/>
  <c r="G32" i="4"/>
  <c r="G31" i="4"/>
  <c r="B36" i="4"/>
  <c r="B35" i="4"/>
  <c r="B34" i="4"/>
  <c r="B33" i="4"/>
  <c r="B32" i="4"/>
  <c r="B31" i="4"/>
  <c r="B18" i="4"/>
  <c r="B17" i="4"/>
  <c r="G25" i="20" l="1"/>
  <c r="G10" i="20"/>
  <c r="E47" i="6"/>
  <c r="L27" i="20"/>
  <c r="C26" i="20"/>
  <c r="K13" i="20"/>
  <c r="D12" i="20"/>
  <c r="L12" i="20"/>
  <c r="C11" i="20"/>
  <c r="K28" i="20"/>
  <c r="D27" i="20"/>
  <c r="F34" i="10"/>
  <c r="F36" i="10"/>
  <c r="F37" i="10"/>
  <c r="F38" i="10"/>
  <c r="F39" i="10"/>
  <c r="F40" i="10"/>
  <c r="F41" i="10"/>
  <c r="F35" i="10"/>
  <c r="E39" i="10"/>
  <c r="C35" i="10"/>
  <c r="B39" i="10"/>
  <c r="E40" i="10"/>
  <c r="B40" i="10"/>
  <c r="E41" i="10"/>
  <c r="C37" i="10"/>
  <c r="B41" i="10"/>
  <c r="E34" i="10"/>
  <c r="C38" i="10"/>
  <c r="B34" i="10"/>
  <c r="D35" i="10"/>
  <c r="C39" i="10"/>
  <c r="D36" i="10"/>
  <c r="C40" i="10"/>
  <c r="C41" i="10"/>
  <c r="D38" i="10"/>
  <c r="C34" i="10"/>
  <c r="D39" i="10"/>
  <c r="B35" i="10"/>
  <c r="E36" i="10"/>
  <c r="D40" i="10"/>
  <c r="B36" i="10"/>
  <c r="E37" i="10"/>
  <c r="D41" i="10"/>
  <c r="B37" i="10"/>
  <c r="E38" i="10"/>
  <c r="D34" i="10"/>
  <c r="B38" i="10"/>
  <c r="D37" i="10"/>
  <c r="G11" i="20" l="1"/>
  <c r="E48" i="6"/>
  <c r="G26" i="20"/>
  <c r="K14" i="20"/>
  <c r="D13" i="20"/>
  <c r="L28" i="20"/>
  <c r="C27" i="20"/>
  <c r="K29" i="20"/>
  <c r="D28" i="20"/>
  <c r="L13" i="20"/>
  <c r="C12" i="20"/>
  <c r="G59" i="13"/>
  <c r="G60" i="13"/>
  <c r="G61" i="13"/>
  <c r="G62" i="13"/>
  <c r="G63" i="13"/>
  <c r="G64" i="13"/>
  <c r="G65" i="13"/>
  <c r="G66" i="13"/>
  <c r="G57" i="13"/>
  <c r="G45" i="13"/>
  <c r="G46" i="13"/>
  <c r="G47" i="13"/>
  <c r="G48" i="13"/>
  <c r="G49" i="13"/>
  <c r="G50" i="13"/>
  <c r="G51" i="13"/>
  <c r="G52" i="13"/>
  <c r="G53" i="13"/>
  <c r="G44" i="13"/>
  <c r="G32" i="13"/>
  <c r="G33" i="13"/>
  <c r="G34" i="13"/>
  <c r="G35" i="13"/>
  <c r="G36" i="13"/>
  <c r="G37" i="13"/>
  <c r="G38" i="13"/>
  <c r="G39" i="13"/>
  <c r="G40" i="13"/>
  <c r="G41" i="13" s="1"/>
  <c r="G31" i="13"/>
  <c r="G19" i="13"/>
  <c r="G20" i="13"/>
  <c r="G21" i="13"/>
  <c r="G22" i="13"/>
  <c r="G23" i="13"/>
  <c r="G24" i="13"/>
  <c r="G25" i="13"/>
  <c r="G27" i="13"/>
  <c r="G28" i="13" s="1"/>
  <c r="G18" i="13"/>
  <c r="G12" i="20" l="1"/>
  <c r="E49" i="6"/>
  <c r="G27" i="20"/>
  <c r="G54" i="13"/>
  <c r="G67" i="13"/>
  <c r="L14" i="20"/>
  <c r="C13" i="20"/>
  <c r="K30" i="20"/>
  <c r="D29" i="20"/>
  <c r="L29" i="20"/>
  <c r="C28" i="20"/>
  <c r="K15" i="20"/>
  <c r="D14" i="20"/>
  <c r="L8" i="17"/>
  <c r="C8" i="17" s="1"/>
  <c r="W31" i="4"/>
  <c r="W32" i="4"/>
  <c r="W33" i="4"/>
  <c r="W34" i="4"/>
  <c r="W35" i="4"/>
  <c r="W36" i="4"/>
  <c r="R31" i="4"/>
  <c r="R32" i="4"/>
  <c r="R33" i="4"/>
  <c r="R34" i="4"/>
  <c r="R35" i="4"/>
  <c r="R36" i="4"/>
  <c r="M31" i="4"/>
  <c r="M32" i="4"/>
  <c r="M33" i="4"/>
  <c r="M34" i="4"/>
  <c r="M35" i="4"/>
  <c r="M36" i="4"/>
  <c r="H31" i="4"/>
  <c r="H32" i="4"/>
  <c r="H33" i="4"/>
  <c r="H34" i="4"/>
  <c r="H35" i="4"/>
  <c r="C42" i="4"/>
  <c r="D42" i="4" s="1"/>
  <c r="C43" i="4"/>
  <c r="C44" i="4"/>
  <c r="C45" i="4"/>
  <c r="C46" i="4"/>
  <c r="C47" i="4"/>
  <c r="C48" i="4"/>
  <c r="G8" i="17" l="1"/>
  <c r="G28" i="20"/>
  <c r="G13" i="20"/>
  <c r="E50" i="6"/>
  <c r="K16" i="20"/>
  <c r="D15" i="20"/>
  <c r="D18" i="20" s="1"/>
  <c r="L30" i="20"/>
  <c r="C29" i="20"/>
  <c r="K31" i="20"/>
  <c r="D30" i="20"/>
  <c r="D33" i="20" s="1"/>
  <c r="L15" i="20"/>
  <c r="C14" i="20"/>
  <c r="D18" i="22"/>
  <c r="B33" i="22"/>
  <c r="C18" i="22" s="1"/>
  <c r="G18" i="22" s="1"/>
  <c r="L34" i="13"/>
  <c r="G14" i="20" l="1"/>
  <c r="E51" i="6"/>
  <c r="G29" i="20"/>
  <c r="L16" i="20"/>
  <c r="C15" i="20"/>
  <c r="E52" i="6" s="1"/>
  <c r="K32" i="20"/>
  <c r="D32" i="20" s="1"/>
  <c r="D31" i="20"/>
  <c r="L31" i="20"/>
  <c r="C30" i="20"/>
  <c r="K17" i="20"/>
  <c r="D17" i="20" s="1"/>
  <c r="D16" i="20"/>
  <c r="B8" i="17"/>
  <c r="L9" i="17"/>
  <c r="C9" i="17" s="1"/>
  <c r="D9" i="22"/>
  <c r="B36" i="22" s="1"/>
  <c r="C21" i="22" s="1"/>
  <c r="B35" i="22"/>
  <c r="C20" i="22" s="1"/>
  <c r="G20" i="22" s="1"/>
  <c r="D13" i="22"/>
  <c r="B40" i="22" s="1"/>
  <c r="C25" i="22" s="1"/>
  <c r="D12" i="22"/>
  <c r="B39" i="22" s="1"/>
  <c r="C24" i="22" s="1"/>
  <c r="D11" i="22"/>
  <c r="B38" i="22" s="1"/>
  <c r="C23" i="22" s="1"/>
  <c r="D10" i="22"/>
  <c r="B37" i="22" s="1"/>
  <c r="C22" i="22" s="1"/>
  <c r="B34" i="22"/>
  <c r="C19" i="22" s="1"/>
  <c r="C13" i="22"/>
  <c r="C12" i="22"/>
  <c r="C11" i="22"/>
  <c r="C10" i="22"/>
  <c r="C9" i="22"/>
  <c r="C8" i="22"/>
  <c r="D20" i="22" s="1"/>
  <c r="B68" i="1"/>
  <c r="B67" i="1"/>
  <c r="N26" i="22" s="1"/>
  <c r="O26" i="22" s="1"/>
  <c r="B66" i="1"/>
  <c r="B65" i="1"/>
  <c r="I7" i="23"/>
  <c r="I8" i="23"/>
  <c r="I9" i="23"/>
  <c r="I10" i="23"/>
  <c r="I11" i="23"/>
  <c r="I12" i="23"/>
  <c r="B29" i="8" l="1"/>
  <c r="B13" i="8" s="1"/>
  <c r="G15" i="20"/>
  <c r="G18" i="20" s="1"/>
  <c r="C18" i="20"/>
  <c r="C33" i="20"/>
  <c r="G30" i="20"/>
  <c r="G33" i="20" s="1"/>
  <c r="L32" i="20"/>
  <c r="C32" i="20" s="1"/>
  <c r="G32" i="20" s="1"/>
  <c r="C31" i="20"/>
  <c r="G31" i="20" s="1"/>
  <c r="L17" i="20"/>
  <c r="C17" i="20" s="1"/>
  <c r="G17" i="20" s="1"/>
  <c r="C16" i="20"/>
  <c r="G16" i="20" s="1"/>
  <c r="C28" i="22"/>
  <c r="B69" i="1"/>
  <c r="N27" i="22"/>
  <c r="O27" i="22" s="1"/>
  <c r="B28" i="22"/>
  <c r="I13" i="23"/>
  <c r="B18" i="22" l="1"/>
  <c r="G9" i="17" l="1"/>
  <c r="M58" i="6"/>
  <c r="M45" i="6"/>
  <c r="M32" i="6"/>
  <c r="M19" i="6"/>
  <c r="M6" i="6"/>
  <c r="M71" i="6" l="1"/>
  <c r="D58" i="6"/>
  <c r="D45" i="6"/>
  <c r="D32" i="6"/>
  <c r="D19" i="6"/>
  <c r="D6" i="6" l="1"/>
  <c r="D71" i="6" s="1"/>
  <c r="B13" i="1" l="1"/>
  <c r="E19" i="22"/>
  <c r="E20" i="22"/>
  <c r="E21" i="22"/>
  <c r="E22" i="22"/>
  <c r="E23" i="22"/>
  <c r="E24" i="22"/>
  <c r="E25" i="22"/>
  <c r="E18" i="22"/>
  <c r="F18" i="22" s="1"/>
  <c r="E28" i="22" l="1"/>
  <c r="L8" i="18" l="1"/>
  <c r="C8" i="18" l="1"/>
  <c r="M25" i="17"/>
  <c r="G8" i="18" l="1"/>
  <c r="E19" i="6"/>
  <c r="L20" i="22"/>
  <c r="L24" i="17" l="1"/>
  <c r="K9" i="18"/>
  <c r="D9" i="18" s="1"/>
  <c r="K8" i="18"/>
  <c r="D8" i="18" s="1"/>
  <c r="K24" i="17"/>
  <c r="K9" i="17"/>
  <c r="D9" i="17" s="1"/>
  <c r="D7" i="23"/>
  <c r="D8" i="23"/>
  <c r="D9" i="23"/>
  <c r="D10" i="23"/>
  <c r="D11" i="23"/>
  <c r="D12" i="23"/>
  <c r="D6" i="23"/>
  <c r="C7" i="23"/>
  <c r="C8" i="23"/>
  <c r="C9" i="23"/>
  <c r="C10" i="23"/>
  <c r="C11" i="23"/>
  <c r="C12" i="23"/>
  <c r="C6" i="23"/>
  <c r="E5" i="23"/>
  <c r="H9" i="23"/>
  <c r="H10" i="23"/>
  <c r="H11" i="23"/>
  <c r="H12" i="23"/>
  <c r="G39" i="7"/>
  <c r="G40" i="7"/>
  <c r="G38" i="7"/>
  <c r="G31" i="7"/>
  <c r="G32" i="7"/>
  <c r="G33" i="7"/>
  <c r="G30" i="7"/>
  <c r="I62" i="14"/>
  <c r="G23" i="7"/>
  <c r="G24" i="7"/>
  <c r="G25" i="7"/>
  <c r="G22" i="7"/>
  <c r="I61" i="14"/>
  <c r="I60" i="14"/>
  <c r="G14" i="7"/>
  <c r="G15" i="7"/>
  <c r="G16" i="7"/>
  <c r="G17" i="7"/>
  <c r="H7" i="23"/>
  <c r="G41" i="7"/>
  <c r="G34" i="7" l="1"/>
  <c r="G26" i="7"/>
  <c r="G42" i="7"/>
  <c r="G18" i="7"/>
  <c r="D13" i="23"/>
  <c r="C13" i="23"/>
  <c r="D62" i="14"/>
  <c r="B62" i="14"/>
  <c r="C62" i="14"/>
  <c r="B60" i="14"/>
  <c r="D63" i="14"/>
  <c r="F61" i="14"/>
  <c r="E62" i="14"/>
  <c r="E60" i="14"/>
  <c r="D60" i="14"/>
  <c r="C61" i="14"/>
  <c r="C60" i="14"/>
  <c r="F60" i="14"/>
  <c r="I59" i="14"/>
  <c r="H5" i="23" s="1"/>
  <c r="F63" i="14"/>
  <c r="D61" i="14"/>
  <c r="E63" i="14"/>
  <c r="B61" i="14"/>
  <c r="H8" i="23"/>
  <c r="H6" i="23"/>
  <c r="C63" i="14"/>
  <c r="F62" i="14"/>
  <c r="E61" i="14"/>
  <c r="N46" i="6" l="1"/>
  <c r="N45" i="6"/>
  <c r="N47" i="6"/>
  <c r="N48" i="6"/>
  <c r="N49" i="6"/>
  <c r="N50" i="6"/>
  <c r="N51" i="6"/>
  <c r="N52" i="6"/>
  <c r="I19" i="10"/>
  <c r="G7" i="7"/>
  <c r="G8" i="7"/>
  <c r="G9" i="7"/>
  <c r="D7" i="7"/>
  <c r="D9" i="7"/>
  <c r="G6" i="7"/>
  <c r="D8" i="7"/>
  <c r="G10" i="7" l="1"/>
  <c r="D10" i="7"/>
  <c r="E6" i="6" l="1"/>
  <c r="E7" i="6"/>
  <c r="W29" i="4"/>
  <c r="R29" i="4"/>
  <c r="M29" i="4"/>
  <c r="H29" i="4"/>
  <c r="C29" i="4"/>
  <c r="D21" i="22"/>
  <c r="L21" i="22" s="1"/>
  <c r="C9" i="14"/>
  <c r="D9" i="14"/>
  <c r="I18" i="14"/>
  <c r="J18" i="14"/>
  <c r="K18" i="14"/>
  <c r="L18" i="14"/>
  <c r="M18" i="14"/>
  <c r="C18" i="14"/>
  <c r="D18" i="14"/>
  <c r="E18" i="14"/>
  <c r="F18" i="14"/>
  <c r="L23" i="21"/>
  <c r="C23" i="21" s="1"/>
  <c r="C32" i="4"/>
  <c r="C30" i="4"/>
  <c r="D30" i="4" s="1"/>
  <c r="C10" i="14" l="1"/>
  <c r="B10" i="14"/>
  <c r="G23" i="21"/>
  <c r="N58" i="6"/>
  <c r="B19" i="14"/>
  <c r="N29" i="4"/>
  <c r="S29" i="4"/>
  <c r="X29" i="4"/>
  <c r="I29" i="4"/>
  <c r="D29" i="4"/>
  <c r="D10" i="14"/>
  <c r="M19" i="14"/>
  <c r="K19" i="14"/>
  <c r="I19" i="14"/>
  <c r="F19" i="14"/>
  <c r="E19" i="14"/>
  <c r="C19" i="14"/>
  <c r="L19" i="14"/>
  <c r="J19" i="14"/>
  <c r="D19" i="14"/>
  <c r="D28" i="14" l="1"/>
  <c r="B25" i="14"/>
  <c r="G6" i="6" s="1"/>
  <c r="C30" i="14"/>
  <c r="G24" i="6" s="1"/>
  <c r="B28" i="14"/>
  <c r="B29" i="14"/>
  <c r="P28" i="14"/>
  <c r="G8" i="23" s="1"/>
  <c r="P25" i="14"/>
  <c r="G5" i="23" s="1"/>
  <c r="P30" i="14"/>
  <c r="G10" i="23" s="1"/>
  <c r="P31" i="14"/>
  <c r="G11" i="23" s="1"/>
  <c r="P29" i="14"/>
  <c r="G9" i="23" s="1"/>
  <c r="P26" i="14"/>
  <c r="G6" i="23" s="1"/>
  <c r="P27" i="14"/>
  <c r="G7" i="23" s="1"/>
  <c r="P32" i="14"/>
  <c r="G12" i="23" s="1"/>
  <c r="I25" i="14"/>
  <c r="P6" i="6" s="1"/>
  <c r="K27" i="14"/>
  <c r="P34" i="6" s="1"/>
  <c r="I29" i="14"/>
  <c r="P10" i="6" s="1"/>
  <c r="L30" i="14"/>
  <c r="P50" i="6" s="1"/>
  <c r="J32" i="14"/>
  <c r="P26" i="6" s="1"/>
  <c r="J27" i="14"/>
  <c r="P21" i="6" s="1"/>
  <c r="I26" i="14"/>
  <c r="P7" i="6" s="1"/>
  <c r="L27" i="14"/>
  <c r="P47" i="6" s="1"/>
  <c r="J29" i="14"/>
  <c r="P23" i="6" s="1"/>
  <c r="M30" i="14"/>
  <c r="P63" i="6" s="1"/>
  <c r="K32" i="14"/>
  <c r="P39" i="6" s="1"/>
  <c r="K30" i="14"/>
  <c r="P37" i="6" s="1"/>
  <c r="J26" i="14"/>
  <c r="P20" i="6" s="1"/>
  <c r="M27" i="14"/>
  <c r="P60" i="6" s="1"/>
  <c r="K29" i="14"/>
  <c r="P36" i="6" s="1"/>
  <c r="I31" i="14"/>
  <c r="P12" i="6" s="1"/>
  <c r="L32" i="14"/>
  <c r="P52" i="6" s="1"/>
  <c r="I32" i="14"/>
  <c r="P13" i="6" s="1"/>
  <c r="K26" i="14"/>
  <c r="P33" i="6" s="1"/>
  <c r="I28" i="14"/>
  <c r="P9" i="6" s="1"/>
  <c r="L29" i="14"/>
  <c r="P49" i="6" s="1"/>
  <c r="J31" i="14"/>
  <c r="P25" i="6" s="1"/>
  <c r="M32" i="14"/>
  <c r="P65" i="6" s="1"/>
  <c r="J25" i="14"/>
  <c r="P19" i="6" s="1"/>
  <c r="M25" i="14"/>
  <c r="P58" i="6" s="1"/>
  <c r="L26" i="14"/>
  <c r="P46" i="6" s="1"/>
  <c r="J28" i="14"/>
  <c r="P22" i="6" s="1"/>
  <c r="M29" i="14"/>
  <c r="P62" i="6" s="1"/>
  <c r="K31" i="14"/>
  <c r="P38" i="6" s="1"/>
  <c r="L25" i="14"/>
  <c r="P45" i="6" s="1"/>
  <c r="M26" i="14"/>
  <c r="P59" i="6" s="1"/>
  <c r="K28" i="14"/>
  <c r="P35" i="6" s="1"/>
  <c r="I30" i="14"/>
  <c r="P11" i="6" s="1"/>
  <c r="L31" i="14"/>
  <c r="P51" i="6" s="1"/>
  <c r="K25" i="14"/>
  <c r="P32" i="6" s="1"/>
  <c r="I27" i="14"/>
  <c r="P8" i="6" s="1"/>
  <c r="L28" i="14"/>
  <c r="P48" i="6" s="1"/>
  <c r="J30" i="14"/>
  <c r="P24" i="6" s="1"/>
  <c r="M31" i="14"/>
  <c r="P64" i="6" s="1"/>
  <c r="M28" i="14"/>
  <c r="P61" i="6" s="1"/>
  <c r="F27" i="14"/>
  <c r="G60" i="6" s="1"/>
  <c r="F32" i="14"/>
  <c r="G65" i="6" s="1"/>
  <c r="F31" i="14"/>
  <c r="G64" i="6" s="1"/>
  <c r="F30" i="14"/>
  <c r="G63" i="6" s="1"/>
  <c r="F25" i="14"/>
  <c r="G58" i="6" s="1"/>
  <c r="F28" i="14"/>
  <c r="G61" i="6" s="1"/>
  <c r="F29" i="14"/>
  <c r="G62" i="6" s="1"/>
  <c r="F26" i="14"/>
  <c r="G59" i="6" s="1"/>
  <c r="D27" i="14"/>
  <c r="G34" i="6" s="1"/>
  <c r="D32" i="14"/>
  <c r="G39" i="6" s="1"/>
  <c r="D30" i="14"/>
  <c r="G37" i="6" s="1"/>
  <c r="D31" i="14"/>
  <c r="G38" i="6" s="1"/>
  <c r="G35" i="6"/>
  <c r="D25" i="14"/>
  <c r="G32" i="6" s="1"/>
  <c r="D26" i="14"/>
  <c r="G33" i="6" s="1"/>
  <c r="D29" i="14"/>
  <c r="G36" i="6" s="1"/>
  <c r="E27" i="14"/>
  <c r="G47" i="6" s="1"/>
  <c r="E32" i="14"/>
  <c r="G52" i="6" s="1"/>
  <c r="E30" i="14"/>
  <c r="G50" i="6" s="1"/>
  <c r="E29" i="14"/>
  <c r="G49" i="6" s="1"/>
  <c r="E28" i="14"/>
  <c r="G48" i="6" s="1"/>
  <c r="E25" i="14"/>
  <c r="G45" i="6" s="1"/>
  <c r="E26" i="14"/>
  <c r="G46" i="6" s="1"/>
  <c r="E31" i="14"/>
  <c r="G51" i="6" s="1"/>
  <c r="C28" i="14"/>
  <c r="G22" i="6" s="1"/>
  <c r="C31" i="14"/>
  <c r="G25" i="6" s="1"/>
  <c r="C32" i="14"/>
  <c r="G26" i="6" s="1"/>
  <c r="C25" i="14"/>
  <c r="G19" i="6" s="1"/>
  <c r="C27" i="14"/>
  <c r="G21" i="6" s="1"/>
  <c r="C26" i="14"/>
  <c r="G20" i="6" s="1"/>
  <c r="C29" i="14"/>
  <c r="G23" i="6" s="1"/>
  <c r="B30" i="14"/>
  <c r="G11" i="6" s="1"/>
  <c r="B27" i="14"/>
  <c r="G8" i="6" s="1"/>
  <c r="B32" i="14"/>
  <c r="G13" i="6" s="1"/>
  <c r="G9" i="6"/>
  <c r="B26" i="14"/>
  <c r="G7" i="6" s="1"/>
  <c r="B31" i="14"/>
  <c r="G12" i="6" s="1"/>
  <c r="G10" i="6"/>
  <c r="P73" i="6" l="1"/>
  <c r="G78" i="6"/>
  <c r="P76" i="6"/>
  <c r="G13" i="23"/>
  <c r="P74" i="6"/>
  <c r="P72" i="6"/>
  <c r="P78" i="6"/>
  <c r="P77" i="6"/>
  <c r="P75" i="6"/>
  <c r="P71" i="6"/>
  <c r="G74" i="6"/>
  <c r="G73" i="6"/>
  <c r="G72" i="6"/>
  <c r="G76" i="6"/>
  <c r="G71" i="6"/>
  <c r="G75" i="6"/>
  <c r="G77" i="6"/>
  <c r="E6" i="23"/>
  <c r="E7" i="23"/>
  <c r="E8" i="23"/>
  <c r="E9" i="23"/>
  <c r="E10" i="23"/>
  <c r="E11" i="23"/>
  <c r="E12" i="23"/>
  <c r="D5" i="23"/>
  <c r="D48" i="4"/>
  <c r="D47" i="4"/>
  <c r="D46" i="4"/>
  <c r="D45" i="4"/>
  <c r="D44" i="4"/>
  <c r="D43" i="4"/>
  <c r="G19" i="22"/>
  <c r="G22" i="22"/>
  <c r="G23" i="22"/>
  <c r="B37" i="9"/>
  <c r="D22" i="22"/>
  <c r="D23" i="22"/>
  <c r="L23" i="22" s="1"/>
  <c r="D24" i="22"/>
  <c r="D25" i="22"/>
  <c r="J9" i="10"/>
  <c r="E13" i="23" l="1"/>
  <c r="D28" i="22"/>
  <c r="G24" i="22"/>
  <c r="C40" i="9" s="1"/>
  <c r="G21" i="22"/>
  <c r="C37" i="9" s="1"/>
  <c r="G25" i="22"/>
  <c r="C36" i="9"/>
  <c r="M23" i="22"/>
  <c r="C39" i="9"/>
  <c r="M19" i="22"/>
  <c r="L25" i="22"/>
  <c r="L26" i="22" s="1"/>
  <c r="L27" i="22" s="1"/>
  <c r="F24" i="22"/>
  <c r="F25" i="22"/>
  <c r="M18" i="22"/>
  <c r="C38" i="9"/>
  <c r="M22" i="22"/>
  <c r="B35" i="9"/>
  <c r="B34" i="9"/>
  <c r="L18" i="22"/>
  <c r="B40" i="9"/>
  <c r="L24" i="22"/>
  <c r="B38" i="9"/>
  <c r="L22" i="22"/>
  <c r="F23" i="22"/>
  <c r="F22" i="22"/>
  <c r="F21" i="22"/>
  <c r="F20" i="22"/>
  <c r="F19" i="22"/>
  <c r="B36" i="9"/>
  <c r="B41" i="9"/>
  <c r="B39" i="9"/>
  <c r="G28" i="22" l="1"/>
  <c r="F28" i="22"/>
  <c r="M20" i="22"/>
  <c r="M25" i="22"/>
  <c r="M26" i="22" s="1"/>
  <c r="C26" i="22" s="1"/>
  <c r="M21" i="22"/>
  <c r="M24" i="22"/>
  <c r="C35" i="9"/>
  <c r="D35" i="9" s="1"/>
  <c r="F6" i="23" s="1"/>
  <c r="C34" i="9"/>
  <c r="D34" i="9" s="1"/>
  <c r="F5" i="23" s="1"/>
  <c r="I18" i="22"/>
  <c r="I20" i="22"/>
  <c r="I23" i="22"/>
  <c r="C41" i="9"/>
  <c r="D39" i="9" s="1"/>
  <c r="F10" i="23" s="1"/>
  <c r="D36" i="9"/>
  <c r="F7" i="23" s="1"/>
  <c r="D38" i="9"/>
  <c r="F9" i="23" s="1"/>
  <c r="D37" i="9"/>
  <c r="F8" i="23" s="1"/>
  <c r="I25" i="22"/>
  <c r="I24" i="22"/>
  <c r="I21" i="22"/>
  <c r="I22" i="22"/>
  <c r="M27" i="22" l="1"/>
  <c r="I19" i="22"/>
  <c r="B9" i="23"/>
  <c r="K9" i="23" s="1"/>
  <c r="B7" i="23"/>
  <c r="K7" i="23" s="1"/>
  <c r="B8" i="23"/>
  <c r="K8" i="23" s="1"/>
  <c r="B10" i="23"/>
  <c r="K10" i="23" s="1"/>
  <c r="B11" i="23"/>
  <c r="B5" i="23"/>
  <c r="K5" i="23" s="1"/>
  <c r="B12" i="23"/>
  <c r="I28" i="22" l="1"/>
  <c r="B6" i="23"/>
  <c r="B13" i="23" l="1"/>
  <c r="K6" i="23"/>
  <c r="G18" i="4"/>
  <c r="K22" i="9"/>
  <c r="K25" i="17"/>
  <c r="L25" i="17" s="1"/>
  <c r="K10" i="17"/>
  <c r="L10" i="17" s="1"/>
  <c r="L24" i="21"/>
  <c r="C24" i="21" s="1"/>
  <c r="N59" i="6" s="1"/>
  <c r="O21" i="9"/>
  <c r="L9" i="21"/>
  <c r="L8" i="21"/>
  <c r="C8" i="21" s="1"/>
  <c r="E58" i="6" s="1"/>
  <c r="K24" i="21"/>
  <c r="D24" i="21" s="1"/>
  <c r="N22" i="9" s="1"/>
  <c r="K23" i="21"/>
  <c r="D23" i="21" s="1"/>
  <c r="N21" i="9" s="1"/>
  <c r="K9" i="21"/>
  <c r="K8" i="21"/>
  <c r="L7" i="9"/>
  <c r="K21" i="9"/>
  <c r="K7" i="9"/>
  <c r="L24" i="19"/>
  <c r="C24" i="19" s="1"/>
  <c r="N33" i="6" s="1"/>
  <c r="L23" i="19"/>
  <c r="C23" i="19" s="1"/>
  <c r="N32" i="6" s="1"/>
  <c r="K24" i="19"/>
  <c r="K23" i="19"/>
  <c r="D23" i="19" s="1"/>
  <c r="H21" i="9" s="1"/>
  <c r="W30" i="4"/>
  <c r="X30" i="4" s="1"/>
  <c r="R30" i="4"/>
  <c r="S30" i="4" s="1"/>
  <c r="M30" i="4"/>
  <c r="N30" i="4" s="1"/>
  <c r="H30" i="4"/>
  <c r="I30" i="4" s="1"/>
  <c r="K8" i="17"/>
  <c r="D8" i="17" s="1"/>
  <c r="K8" i="19"/>
  <c r="D8" i="19" s="1"/>
  <c r="H7" i="9" s="1"/>
  <c r="G8" i="21" l="1"/>
  <c r="O7" i="9" s="1"/>
  <c r="G24" i="21"/>
  <c r="O22" i="9" s="1"/>
  <c r="N29" i="8"/>
  <c r="N13" i="8" s="1"/>
  <c r="M59" i="6" s="1"/>
  <c r="M29" i="8"/>
  <c r="M13" i="8" s="1"/>
  <c r="M46" i="6" s="1"/>
  <c r="G24" i="19"/>
  <c r="I22" i="9" s="1"/>
  <c r="L29" i="8"/>
  <c r="L13" i="8" s="1"/>
  <c r="M33" i="6" s="1"/>
  <c r="G23" i="19"/>
  <c r="I21" i="9" s="1"/>
  <c r="L21" i="9"/>
  <c r="K25" i="21"/>
  <c r="K26" i="21" s="1"/>
  <c r="K27" i="21" s="1"/>
  <c r="K28" i="21" s="1"/>
  <c r="K29" i="21" s="1"/>
  <c r="K30" i="21" s="1"/>
  <c r="K31" i="21" s="1"/>
  <c r="K32" i="21" s="1"/>
  <c r="C9" i="21"/>
  <c r="E59" i="6" s="1"/>
  <c r="D9" i="21"/>
  <c r="D8" i="21"/>
  <c r="N7" i="9" s="1"/>
  <c r="L22" i="9"/>
  <c r="K25" i="19"/>
  <c r="K26" i="19" s="1"/>
  <c r="K27" i="19" s="1"/>
  <c r="K28" i="19" s="1"/>
  <c r="K29" i="19" s="1"/>
  <c r="K30" i="19" s="1"/>
  <c r="K31" i="19" s="1"/>
  <c r="K32" i="19" s="1"/>
  <c r="K11" i="17"/>
  <c r="L11" i="17" s="1"/>
  <c r="K8" i="9"/>
  <c r="K10" i="21"/>
  <c r="L10" i="21" s="1"/>
  <c r="L9" i="19"/>
  <c r="L8" i="19"/>
  <c r="K9" i="19"/>
  <c r="D9" i="19" s="1"/>
  <c r="D24" i="19"/>
  <c r="H22" i="9" s="1"/>
  <c r="N8" i="9" l="1"/>
  <c r="F29" i="8"/>
  <c r="F13" i="8" s="1"/>
  <c r="G9" i="21"/>
  <c r="E29" i="8"/>
  <c r="E13" i="8" s="1"/>
  <c r="D46" i="6" s="1"/>
  <c r="L25" i="21"/>
  <c r="L26" i="21" s="1"/>
  <c r="K11" i="21"/>
  <c r="L8" i="9"/>
  <c r="C8" i="19"/>
  <c r="E32" i="6" s="1"/>
  <c r="C9" i="19"/>
  <c r="E33" i="6" s="1"/>
  <c r="K12" i="17"/>
  <c r="H8" i="9"/>
  <c r="K10" i="19"/>
  <c r="L10" i="19" s="1"/>
  <c r="L25" i="19"/>
  <c r="O8" i="9" l="1"/>
  <c r="D59" i="6"/>
  <c r="D29" i="8"/>
  <c r="D13" i="8" s="1"/>
  <c r="D33" i="6" s="1"/>
  <c r="G9" i="19"/>
  <c r="G8" i="19"/>
  <c r="I7" i="9" s="1"/>
  <c r="L12" i="17"/>
  <c r="K12" i="21"/>
  <c r="L11" i="21"/>
  <c r="K11" i="19"/>
  <c r="K13" i="17"/>
  <c r="L27" i="21"/>
  <c r="L26" i="19"/>
  <c r="I8" i="9" l="1"/>
  <c r="L12" i="21"/>
  <c r="K13" i="21"/>
  <c r="K12" i="19"/>
  <c r="L11" i="19"/>
  <c r="L13" i="17"/>
  <c r="K14" i="17"/>
  <c r="L28" i="21"/>
  <c r="L27" i="19"/>
  <c r="K14" i="21" l="1"/>
  <c r="L13" i="21"/>
  <c r="L12" i="19"/>
  <c r="K13" i="19"/>
  <c r="L14" i="17"/>
  <c r="K15" i="17"/>
  <c r="L29" i="21"/>
  <c r="L28" i="19"/>
  <c r="L14" i="21" l="1"/>
  <c r="K15" i="21"/>
  <c r="K14" i="19"/>
  <c r="L13" i="19"/>
  <c r="L15" i="17"/>
  <c r="K16" i="17"/>
  <c r="L30" i="21"/>
  <c r="L31" i="21" s="1"/>
  <c r="L29" i="19"/>
  <c r="K16" i="21" l="1"/>
  <c r="L15" i="21"/>
  <c r="L14" i="19"/>
  <c r="K15" i="19"/>
  <c r="L16" i="17"/>
  <c r="K17" i="17"/>
  <c r="L30" i="19"/>
  <c r="L16" i="21" l="1"/>
  <c r="K17" i="21"/>
  <c r="K16" i="19"/>
  <c r="L15" i="19"/>
  <c r="L17" i="17"/>
  <c r="L32" i="21"/>
  <c r="L31" i="19"/>
  <c r="L17" i="21" l="1"/>
  <c r="L16" i="19"/>
  <c r="K17" i="19"/>
  <c r="L32" i="19"/>
  <c r="L17" i="19" l="1"/>
  <c r="K23" i="18"/>
  <c r="D23" i="18" s="1"/>
  <c r="E21" i="9" s="1"/>
  <c r="L23" i="18"/>
  <c r="C23" i="18" s="1"/>
  <c r="L24" i="18"/>
  <c r="C24" i="18" s="1"/>
  <c r="N20" i="6" s="1"/>
  <c r="K24" i="18"/>
  <c r="K25" i="18" s="1"/>
  <c r="K26" i="18" s="1"/>
  <c r="K27" i="18" s="1"/>
  <c r="K28" i="18" s="1"/>
  <c r="K29" i="18" s="1"/>
  <c r="K30" i="18" s="1"/>
  <c r="K31" i="18" s="1"/>
  <c r="K32" i="18" s="1"/>
  <c r="E24" i="18"/>
  <c r="F24" i="18" s="1"/>
  <c r="L9" i="18"/>
  <c r="K10" i="18"/>
  <c r="E7" i="9"/>
  <c r="E8" i="9"/>
  <c r="K26" i="17"/>
  <c r="K27" i="17" s="1"/>
  <c r="K28" i="17" s="1"/>
  <c r="K29" i="17" s="1"/>
  <c r="K30" i="17" s="1"/>
  <c r="K31" i="17" s="1"/>
  <c r="K32" i="17" s="1"/>
  <c r="L23" i="17"/>
  <c r="C23" i="17" s="1"/>
  <c r="N6" i="6" s="1"/>
  <c r="K23" i="17"/>
  <c r="D23" i="17" s="1"/>
  <c r="G23" i="18" l="1"/>
  <c r="F21" i="9" s="1"/>
  <c r="N19" i="6"/>
  <c r="N71" i="6" s="1"/>
  <c r="K29" i="8"/>
  <c r="K13" i="8" s="1"/>
  <c r="M20" i="6" s="1"/>
  <c r="G23" i="17"/>
  <c r="G24" i="18"/>
  <c r="B21" i="9"/>
  <c r="L10" i="18"/>
  <c r="C9" i="18"/>
  <c r="E20" i="6" s="1"/>
  <c r="K11" i="18"/>
  <c r="C7" i="9"/>
  <c r="D7" i="6"/>
  <c r="L25" i="18"/>
  <c r="L26" i="18" s="1"/>
  <c r="F7" i="9"/>
  <c r="D24" i="18"/>
  <c r="C31" i="4"/>
  <c r="I33" i="4"/>
  <c r="C36" i="4"/>
  <c r="C35" i="4"/>
  <c r="C34" i="4"/>
  <c r="C33" i="4"/>
  <c r="D32" i="4"/>
  <c r="E9" i="17"/>
  <c r="F9" i="17" s="1"/>
  <c r="X35" i="4"/>
  <c r="X34" i="4"/>
  <c r="X32" i="4"/>
  <c r="X31" i="4"/>
  <c r="N36" i="4"/>
  <c r="N35" i="4"/>
  <c r="N33" i="4"/>
  <c r="N32" i="4"/>
  <c r="I32" i="4"/>
  <c r="I36" i="4"/>
  <c r="I35" i="4"/>
  <c r="I34" i="4"/>
  <c r="C24" i="17"/>
  <c r="D24" i="17"/>
  <c r="R18" i="4"/>
  <c r="S18" i="4"/>
  <c r="S17" i="4"/>
  <c r="E23" i="21" s="1"/>
  <c r="F23" i="21" s="1"/>
  <c r="R17" i="4"/>
  <c r="E8" i="21" s="1"/>
  <c r="F8" i="21" s="1"/>
  <c r="N18" i="4"/>
  <c r="E9" i="20" s="1"/>
  <c r="F9" i="20" s="1"/>
  <c r="O18" i="4"/>
  <c r="E24" i="20" s="1"/>
  <c r="F24" i="20" s="1"/>
  <c r="O17" i="4"/>
  <c r="E23" i="20" s="1"/>
  <c r="F23" i="20" s="1"/>
  <c r="N17" i="4"/>
  <c r="E8" i="20" s="1"/>
  <c r="F8" i="20" s="1"/>
  <c r="K18" i="4"/>
  <c r="J18" i="4"/>
  <c r="K17" i="4"/>
  <c r="E23" i="19" s="1"/>
  <c r="F23" i="19" s="1"/>
  <c r="J17" i="4"/>
  <c r="E8" i="19" s="1"/>
  <c r="F8" i="19" s="1"/>
  <c r="F17" i="4"/>
  <c r="E8" i="18" s="1"/>
  <c r="F8" i="18" s="1"/>
  <c r="F18" i="4"/>
  <c r="G17" i="4"/>
  <c r="E23" i="18" s="1"/>
  <c r="F23" i="18" s="1"/>
  <c r="E8" i="17"/>
  <c r="C17" i="4"/>
  <c r="E23" i="17" s="1"/>
  <c r="F23" i="17" s="1"/>
  <c r="C18" i="4"/>
  <c r="E24" i="17" s="1"/>
  <c r="J29" i="8" l="1"/>
  <c r="J13" i="8" s="1"/>
  <c r="M7" i="6" s="1"/>
  <c r="M72" i="6" s="1"/>
  <c r="N7" i="6"/>
  <c r="N72" i="6" s="1"/>
  <c r="E22" i="9"/>
  <c r="C29" i="8"/>
  <c r="C13" i="8" s="1"/>
  <c r="G9" i="18"/>
  <c r="F22" i="9"/>
  <c r="F24" i="17"/>
  <c r="F8" i="17"/>
  <c r="H8" i="17" s="1"/>
  <c r="B6" i="6" s="1"/>
  <c r="G24" i="17"/>
  <c r="E9" i="19"/>
  <c r="F9" i="19" s="1"/>
  <c r="E24" i="19"/>
  <c r="F24" i="19" s="1"/>
  <c r="E9" i="21"/>
  <c r="F9" i="21" s="1"/>
  <c r="E9" i="18"/>
  <c r="F9" i="18" s="1"/>
  <c r="D35" i="4"/>
  <c r="D36" i="4"/>
  <c r="D31" i="4"/>
  <c r="B22" i="9"/>
  <c r="C21" i="9"/>
  <c r="L11" i="18"/>
  <c r="K12" i="18"/>
  <c r="C8" i="9"/>
  <c r="D33" i="4"/>
  <c r="D34" i="4"/>
  <c r="E24" i="21"/>
  <c r="F24" i="21" s="1"/>
  <c r="X33" i="4"/>
  <c r="X36" i="4"/>
  <c r="N31" i="4"/>
  <c r="I31" i="4"/>
  <c r="O13" i="8" l="1"/>
  <c r="G13" i="8"/>
  <c r="D20" i="6"/>
  <c r="D72" i="6" s="1"/>
  <c r="C22" i="9"/>
  <c r="F8" i="9"/>
  <c r="K13" i="18"/>
  <c r="L12" i="18"/>
  <c r="B8" i="9"/>
  <c r="S31" i="4"/>
  <c r="S35" i="4"/>
  <c r="S32" i="4"/>
  <c r="S36" i="4"/>
  <c r="S34" i="4"/>
  <c r="N34" i="4"/>
  <c r="S33" i="4"/>
  <c r="L27" i="18"/>
  <c r="L26" i="17"/>
  <c r="L13" i="18" l="1"/>
  <c r="K14" i="18"/>
  <c r="L28" i="18"/>
  <c r="L27" i="17"/>
  <c r="K15" i="18" l="1"/>
  <c r="L14" i="18"/>
  <c r="L29" i="18"/>
  <c r="L28" i="17"/>
  <c r="L29" i="17" s="1"/>
  <c r="L15" i="18" l="1"/>
  <c r="K16" i="18"/>
  <c r="L30" i="18"/>
  <c r="K17" i="18" l="1"/>
  <c r="L16" i="18"/>
  <c r="L31" i="18"/>
  <c r="L30" i="17"/>
  <c r="L31" i="17" s="1"/>
  <c r="L17" i="18" l="1"/>
  <c r="L32" i="18"/>
  <c r="L32" i="17" l="1"/>
  <c r="B24" i="21" l="1"/>
  <c r="H24" i="21" s="1"/>
  <c r="B24" i="20"/>
  <c r="H24" i="20" s="1"/>
  <c r="B24" i="19"/>
  <c r="H24" i="19" s="1"/>
  <c r="B24" i="18"/>
  <c r="H24" i="18" s="1"/>
  <c r="B24" i="17"/>
  <c r="B23" i="21"/>
  <c r="B23" i="20"/>
  <c r="B23" i="19"/>
  <c r="B23" i="18"/>
  <c r="B23" i="17"/>
  <c r="B9" i="21"/>
  <c r="H9" i="21" s="1"/>
  <c r="B9" i="20"/>
  <c r="H9" i="20" s="1"/>
  <c r="B9" i="19"/>
  <c r="H9" i="19" s="1"/>
  <c r="B9" i="18"/>
  <c r="H9" i="18" s="1"/>
  <c r="B8" i="21"/>
  <c r="B8" i="20"/>
  <c r="H8" i="20" s="1"/>
  <c r="B8" i="19"/>
  <c r="B8" i="18"/>
  <c r="B25" i="21" l="1"/>
  <c r="B26" i="21" s="1"/>
  <c r="B27" i="21" s="1"/>
  <c r="B28" i="21" s="1"/>
  <c r="B29" i="21" s="1"/>
  <c r="B30" i="21" s="1"/>
  <c r="B33" i="21" s="1"/>
  <c r="B10" i="20"/>
  <c r="B11" i="20" s="1"/>
  <c r="B12" i="20" s="1"/>
  <c r="B13" i="20" s="1"/>
  <c r="B14" i="20" s="1"/>
  <c r="B15" i="20" s="1"/>
  <c r="B18" i="20" s="1"/>
  <c r="B45" i="6"/>
  <c r="B25" i="20"/>
  <c r="B26" i="20" s="1"/>
  <c r="B27" i="20" s="1"/>
  <c r="B28" i="20" s="1"/>
  <c r="B29" i="20" s="1"/>
  <c r="B30" i="20" s="1"/>
  <c r="B33" i="20" s="1"/>
  <c r="H23" i="20"/>
  <c r="B10" i="18"/>
  <c r="B11" i="18" s="1"/>
  <c r="B12" i="18" s="1"/>
  <c r="B13" i="18" s="1"/>
  <c r="B14" i="18" s="1"/>
  <c r="B15" i="18" s="1"/>
  <c r="B18" i="18" s="1"/>
  <c r="B25" i="19"/>
  <c r="B26" i="19" s="1"/>
  <c r="B27" i="19" s="1"/>
  <c r="B28" i="19" s="1"/>
  <c r="B29" i="19" s="1"/>
  <c r="B30" i="19" s="1"/>
  <c r="B33" i="19" s="1"/>
  <c r="B10" i="19"/>
  <c r="B11" i="19" s="1"/>
  <c r="B12" i="19" s="1"/>
  <c r="B13" i="19" s="1"/>
  <c r="B14" i="19" s="1"/>
  <c r="B15" i="19" s="1"/>
  <c r="B18" i="19" s="1"/>
  <c r="B25" i="18"/>
  <c r="B26" i="18" s="1"/>
  <c r="B27" i="18" s="1"/>
  <c r="B28" i="18" s="1"/>
  <c r="B29" i="18" s="1"/>
  <c r="B30" i="18" s="1"/>
  <c r="B33" i="18" s="1"/>
  <c r="B10" i="21"/>
  <c r="B11" i="21" s="1"/>
  <c r="B12" i="21" s="1"/>
  <c r="B13" i="21" s="1"/>
  <c r="B14" i="21" s="1"/>
  <c r="B15" i="21" s="1"/>
  <c r="B18" i="21" s="1"/>
  <c r="H8" i="21"/>
  <c r="H23" i="17"/>
  <c r="B25" i="17"/>
  <c r="B26" i="17" s="1"/>
  <c r="B27" i="17" s="1"/>
  <c r="B28" i="17" s="1"/>
  <c r="B29" i="17" s="1"/>
  <c r="B30" i="17" s="1"/>
  <c r="B33" i="17" s="1"/>
  <c r="H8" i="18"/>
  <c r="B19" i="6" s="1"/>
  <c r="H23" i="19"/>
  <c r="K32" i="6" s="1"/>
  <c r="H23" i="21"/>
  <c r="K58" i="6" s="1"/>
  <c r="H23" i="18"/>
  <c r="K19" i="6" s="1"/>
  <c r="H8" i="19"/>
  <c r="H24" i="17"/>
  <c r="B9" i="17"/>
  <c r="K33" i="6"/>
  <c r="B20" i="6"/>
  <c r="B33" i="6"/>
  <c r="K20" i="6"/>
  <c r="B59" i="6"/>
  <c r="K46" i="6"/>
  <c r="B10" i="17" l="1"/>
  <c r="B11" i="17" s="1"/>
  <c r="B12" i="17" s="1"/>
  <c r="B13" i="17" s="1"/>
  <c r="B14" i="17" s="1"/>
  <c r="B15" i="17" s="1"/>
  <c r="H9" i="17"/>
  <c r="K59" i="6"/>
  <c r="B46" i="6"/>
  <c r="B58" i="6"/>
  <c r="B32" i="6"/>
  <c r="K45" i="6"/>
  <c r="K7" i="6"/>
  <c r="K6" i="6"/>
  <c r="B18" i="17" l="1"/>
  <c r="K71" i="6"/>
  <c r="K72" i="6"/>
  <c r="B7" i="6"/>
  <c r="B72" i="6" s="1"/>
  <c r="M25" i="18"/>
  <c r="M25" i="19"/>
  <c r="N25" i="19" s="1"/>
  <c r="M25" i="21"/>
  <c r="M10" i="17" l="1"/>
  <c r="N10" i="17" s="1"/>
  <c r="C10" i="17" s="1"/>
  <c r="M26" i="18"/>
  <c r="D25" i="18"/>
  <c r="N25" i="18"/>
  <c r="M30" i="8"/>
  <c r="M14" i="8" s="1"/>
  <c r="K23" i="9"/>
  <c r="C25" i="19"/>
  <c r="M26" i="21"/>
  <c r="D25" i="21"/>
  <c r="M10" i="18"/>
  <c r="M26" i="17"/>
  <c r="D25" i="17"/>
  <c r="M26" i="19"/>
  <c r="N26" i="19" s="1"/>
  <c r="D25" i="19"/>
  <c r="H23" i="9" s="1"/>
  <c r="N25" i="21"/>
  <c r="M10" i="19"/>
  <c r="N25" i="17"/>
  <c r="M10" i="21"/>
  <c r="L30" i="8" l="1"/>
  <c r="L14" i="8" s="1"/>
  <c r="M34" i="6" s="1"/>
  <c r="N34" i="6"/>
  <c r="D10" i="17"/>
  <c r="G25" i="19"/>
  <c r="I23" i="9" s="1"/>
  <c r="J21" i="9" s="1"/>
  <c r="O32" i="6" s="1"/>
  <c r="M47" i="6"/>
  <c r="L23" i="9"/>
  <c r="E23" i="9"/>
  <c r="N23" i="9"/>
  <c r="M27" i="17"/>
  <c r="N10" i="21"/>
  <c r="C10" i="21" s="1"/>
  <c r="E60" i="6" s="1"/>
  <c r="D10" i="21"/>
  <c r="N10" i="19"/>
  <c r="C10" i="19" s="1"/>
  <c r="E34" i="6" s="1"/>
  <c r="D10" i="19"/>
  <c r="N10" i="18"/>
  <c r="C10" i="18" s="1"/>
  <c r="E21" i="6" s="1"/>
  <c r="D10" i="18"/>
  <c r="E8" i="6"/>
  <c r="B23" i="9"/>
  <c r="M27" i="21"/>
  <c r="D26" i="21"/>
  <c r="C26" i="19"/>
  <c r="D26" i="17"/>
  <c r="K24" i="9"/>
  <c r="N26" i="21"/>
  <c r="C25" i="21"/>
  <c r="K9" i="9"/>
  <c r="N26" i="18"/>
  <c r="C25" i="18"/>
  <c r="N26" i="17"/>
  <c r="C25" i="17"/>
  <c r="M27" i="19"/>
  <c r="N27" i="19" s="1"/>
  <c r="D26" i="19"/>
  <c r="H24" i="9" s="1"/>
  <c r="M27" i="18"/>
  <c r="D26" i="18"/>
  <c r="J30" i="8" l="1"/>
  <c r="J14" i="8" s="1"/>
  <c r="N8" i="6"/>
  <c r="K30" i="8"/>
  <c r="K14" i="8" s="1"/>
  <c r="N21" i="6"/>
  <c r="N30" i="8"/>
  <c r="N14" i="8" s="1"/>
  <c r="M60" i="6" s="1"/>
  <c r="N60" i="6"/>
  <c r="L31" i="8"/>
  <c r="L15" i="8" s="1"/>
  <c r="M35" i="6" s="1"/>
  <c r="N35" i="6"/>
  <c r="B9" i="9"/>
  <c r="G10" i="17"/>
  <c r="B30" i="8"/>
  <c r="B14" i="8" s="1"/>
  <c r="G10" i="18"/>
  <c r="C30" i="8"/>
  <c r="C14" i="8" s="1"/>
  <c r="D21" i="6" s="1"/>
  <c r="G10" i="21"/>
  <c r="O9" i="9" s="1"/>
  <c r="F30" i="8"/>
  <c r="F14" i="8" s="1"/>
  <c r="D60" i="6" s="1"/>
  <c r="E30" i="8"/>
  <c r="E14" i="8" s="1"/>
  <c r="G10" i="19"/>
  <c r="D30" i="8"/>
  <c r="D14" i="8" s="1"/>
  <c r="D34" i="6" s="1"/>
  <c r="E9" i="9"/>
  <c r="H9" i="9"/>
  <c r="G25" i="21"/>
  <c r="G26" i="19"/>
  <c r="I24" i="9" s="1"/>
  <c r="J22" i="9" s="1"/>
  <c r="O33" i="6" s="1"/>
  <c r="G25" i="17"/>
  <c r="G25" i="18"/>
  <c r="N9" i="9"/>
  <c r="B24" i="9"/>
  <c r="E24" i="9"/>
  <c r="N24" i="9"/>
  <c r="M28" i="17"/>
  <c r="N27" i="17"/>
  <c r="C26" i="17"/>
  <c r="C27" i="19"/>
  <c r="N27" i="21"/>
  <c r="C26" i="21"/>
  <c r="D27" i="17"/>
  <c r="M28" i="21"/>
  <c r="D27" i="21"/>
  <c r="M28" i="18"/>
  <c r="D27" i="18"/>
  <c r="N27" i="18"/>
  <c r="C26" i="18"/>
  <c r="K25" i="9"/>
  <c r="M28" i="19"/>
  <c r="D27" i="19"/>
  <c r="H25" i="9" s="1"/>
  <c r="M31" i="8"/>
  <c r="M15" i="8" s="1"/>
  <c r="O14" i="8" l="1"/>
  <c r="J31" i="8"/>
  <c r="J15" i="8" s="1"/>
  <c r="M9" i="6" s="1"/>
  <c r="N9" i="6"/>
  <c r="M21" i="6"/>
  <c r="K31" i="8"/>
  <c r="K15" i="8" s="1"/>
  <c r="M22" i="6" s="1"/>
  <c r="N22" i="6"/>
  <c r="N31" i="8"/>
  <c r="N15" i="8" s="1"/>
  <c r="M61" i="6" s="1"/>
  <c r="N61" i="6"/>
  <c r="L32" i="8"/>
  <c r="L16" i="8" s="1"/>
  <c r="M36" i="6" s="1"/>
  <c r="N36" i="6"/>
  <c r="I9" i="9"/>
  <c r="J7" i="9" s="1"/>
  <c r="F32" i="6" s="1"/>
  <c r="G14" i="8"/>
  <c r="G26" i="18"/>
  <c r="G27" i="19"/>
  <c r="I25" i="9" s="1"/>
  <c r="J23" i="9" s="1"/>
  <c r="O34" i="6" s="1"/>
  <c r="M8" i="6"/>
  <c r="G26" i="21"/>
  <c r="M48" i="6"/>
  <c r="L24" i="9"/>
  <c r="M22" i="9" s="1"/>
  <c r="O46" i="6" s="1"/>
  <c r="G26" i="17"/>
  <c r="B25" i="9"/>
  <c r="E25" i="9"/>
  <c r="N25" i="9"/>
  <c r="D47" i="6"/>
  <c r="C9" i="9"/>
  <c r="C23" i="9"/>
  <c r="D21" i="9" s="1"/>
  <c r="O6" i="6" s="1"/>
  <c r="F9" i="9"/>
  <c r="G7" i="9" s="1"/>
  <c r="F19" i="6" s="1"/>
  <c r="O23" i="9"/>
  <c r="P21" i="9" s="1"/>
  <c r="O58" i="6" s="1"/>
  <c r="M21" i="9"/>
  <c r="O45" i="6" s="1"/>
  <c r="F23" i="9"/>
  <c r="G21" i="9" s="1"/>
  <c r="O19" i="6" s="1"/>
  <c r="L9" i="9"/>
  <c r="M32" i="8"/>
  <c r="M16" i="8" s="1"/>
  <c r="M29" i="18"/>
  <c r="D28" i="18"/>
  <c r="M29" i="17"/>
  <c r="D28" i="17"/>
  <c r="N28" i="17"/>
  <c r="C27" i="17"/>
  <c r="N10" i="6" s="1"/>
  <c r="N28" i="21"/>
  <c r="C27" i="21"/>
  <c r="K26" i="9"/>
  <c r="M29" i="19"/>
  <c r="D28" i="19"/>
  <c r="H26" i="9" s="1"/>
  <c r="N28" i="19"/>
  <c r="N28" i="18"/>
  <c r="C27" i="18"/>
  <c r="M29" i="21"/>
  <c r="D28" i="21"/>
  <c r="O15" i="8" l="1"/>
  <c r="K32" i="8"/>
  <c r="K16" i="8" s="1"/>
  <c r="M23" i="6" s="1"/>
  <c r="N23" i="6"/>
  <c r="M73" i="6"/>
  <c r="N32" i="8"/>
  <c r="N16" i="8" s="1"/>
  <c r="M62" i="6" s="1"/>
  <c r="N62" i="6"/>
  <c r="G27" i="17"/>
  <c r="J32" i="8"/>
  <c r="J16" i="8" s="1"/>
  <c r="M74" i="6"/>
  <c r="O71" i="6"/>
  <c r="G27" i="21"/>
  <c r="M49" i="6"/>
  <c r="L25" i="9"/>
  <c r="G27" i="18"/>
  <c r="C24" i="9"/>
  <c r="D22" i="9" s="1"/>
  <c r="O7" i="6" s="1"/>
  <c r="B26" i="9"/>
  <c r="F24" i="9"/>
  <c r="G22" i="9" s="1"/>
  <c r="O20" i="6" s="1"/>
  <c r="E26" i="9"/>
  <c r="N26" i="9"/>
  <c r="D8" i="6"/>
  <c r="D73" i="6" s="1"/>
  <c r="O24" i="9"/>
  <c r="P22" i="9" s="1"/>
  <c r="O59" i="6" s="1"/>
  <c r="M30" i="17"/>
  <c r="D29" i="17"/>
  <c r="N29" i="18"/>
  <c r="C28" i="18"/>
  <c r="N29" i="19"/>
  <c r="C28" i="19"/>
  <c r="M30" i="18"/>
  <c r="D29" i="18"/>
  <c r="M30" i="21"/>
  <c r="D29" i="21"/>
  <c r="N29" i="17"/>
  <c r="C28" i="17"/>
  <c r="N11" i="6" s="1"/>
  <c r="M33" i="8"/>
  <c r="M17" i="8" s="1"/>
  <c r="M30" i="19"/>
  <c r="D29" i="19"/>
  <c r="H27" i="9" s="1"/>
  <c r="K27" i="9"/>
  <c r="N29" i="21"/>
  <c r="C28" i="21"/>
  <c r="K33" i="8" l="1"/>
  <c r="K17" i="8" s="1"/>
  <c r="M24" i="6" s="1"/>
  <c r="N24" i="6"/>
  <c r="O16" i="8"/>
  <c r="N33" i="8"/>
  <c r="N17" i="8" s="1"/>
  <c r="M63" i="6" s="1"/>
  <c r="N63" i="6"/>
  <c r="L33" i="8"/>
  <c r="L17" i="8" s="1"/>
  <c r="M37" i="6" s="1"/>
  <c r="N37" i="6"/>
  <c r="G28" i="17"/>
  <c r="J33" i="8"/>
  <c r="J17" i="8" s="1"/>
  <c r="O72" i="6"/>
  <c r="M50" i="6"/>
  <c r="L26" i="9"/>
  <c r="G28" i="19"/>
  <c r="G28" i="18"/>
  <c r="G28" i="21"/>
  <c r="C46" i="1"/>
  <c r="B27" i="9"/>
  <c r="C25" i="9"/>
  <c r="D23" i="9" s="1"/>
  <c r="O8" i="6" s="1"/>
  <c r="E27" i="9"/>
  <c r="N27" i="9"/>
  <c r="M10" i="6"/>
  <c r="M75" i="6" s="1"/>
  <c r="M23" i="9"/>
  <c r="O47" i="6" s="1"/>
  <c r="O25" i="9"/>
  <c r="P23" i="9" s="1"/>
  <c r="O60" i="6" s="1"/>
  <c r="F25" i="9"/>
  <c r="G23" i="9" s="1"/>
  <c r="O21" i="6" s="1"/>
  <c r="M31" i="18"/>
  <c r="D30" i="18"/>
  <c r="D33" i="18" s="1"/>
  <c r="N30" i="21"/>
  <c r="C29" i="21"/>
  <c r="M31" i="21"/>
  <c r="D31" i="21" s="1"/>
  <c r="D30" i="21"/>
  <c r="N30" i="19"/>
  <c r="C29" i="19"/>
  <c r="M31" i="19"/>
  <c r="D30" i="19"/>
  <c r="D33" i="19" s="1"/>
  <c r="N30" i="18"/>
  <c r="C29" i="18"/>
  <c r="N30" i="17"/>
  <c r="C29" i="17"/>
  <c r="N12" i="6" s="1"/>
  <c r="M34" i="8"/>
  <c r="M18" i="8" s="1"/>
  <c r="M31" i="17"/>
  <c r="D30" i="17"/>
  <c r="D33" i="17" s="1"/>
  <c r="L62" i="13"/>
  <c r="L66" i="13"/>
  <c r="L58" i="13"/>
  <c r="L57" i="13"/>
  <c r="L64" i="13"/>
  <c r="L63" i="13"/>
  <c r="L61" i="13"/>
  <c r="L46" i="13"/>
  <c r="L47" i="13"/>
  <c r="L48" i="13"/>
  <c r="L44" i="13"/>
  <c r="L53" i="13"/>
  <c r="L51" i="13"/>
  <c r="L50" i="13"/>
  <c r="L49" i="13"/>
  <c r="L45" i="13"/>
  <c r="L31" i="13"/>
  <c r="L36" i="13"/>
  <c r="L37" i="13"/>
  <c r="L33" i="13"/>
  <c r="M34" i="13" s="1"/>
  <c r="L32" i="13"/>
  <c r="L38" i="13"/>
  <c r="K34" i="8" l="1"/>
  <c r="K18" i="8" s="1"/>
  <c r="N25" i="6"/>
  <c r="N34" i="8"/>
  <c r="N18" i="8" s="1"/>
  <c r="M64" i="6" s="1"/>
  <c r="N64" i="6"/>
  <c r="L34" i="8"/>
  <c r="L18" i="8" s="1"/>
  <c r="M38" i="6" s="1"/>
  <c r="N38" i="6"/>
  <c r="L54" i="13"/>
  <c r="O17" i="8"/>
  <c r="G29" i="17"/>
  <c r="J34" i="8"/>
  <c r="J18" i="8" s="1"/>
  <c r="D26" i="22"/>
  <c r="B42" i="9" s="1"/>
  <c r="M64" i="13"/>
  <c r="F12" i="4" s="1"/>
  <c r="M63" i="13"/>
  <c r="F11" i="4" s="1"/>
  <c r="M62" i="13"/>
  <c r="F10" i="4" s="1"/>
  <c r="M49" i="13"/>
  <c r="E10" i="4" s="1"/>
  <c r="M51" i="13"/>
  <c r="E12" i="4" s="1"/>
  <c r="M50" i="13"/>
  <c r="E11" i="4" s="1"/>
  <c r="M48" i="13"/>
  <c r="M47" i="13"/>
  <c r="E8" i="4" s="1"/>
  <c r="M38" i="13"/>
  <c r="D12" i="4" s="1"/>
  <c r="M37" i="13"/>
  <c r="D11" i="4" s="1"/>
  <c r="D33" i="21"/>
  <c r="C24" i="1"/>
  <c r="C35" i="1"/>
  <c r="C13" i="1"/>
  <c r="C57" i="1"/>
  <c r="M33" i="13"/>
  <c r="C32" i="28" s="1"/>
  <c r="C33" i="28" s="1"/>
  <c r="M32" i="13"/>
  <c r="O73" i="6"/>
  <c r="C27" i="22"/>
  <c r="M25" i="6"/>
  <c r="G29" i="18"/>
  <c r="G29" i="21"/>
  <c r="M51" i="6"/>
  <c r="L27" i="9"/>
  <c r="G29" i="19"/>
  <c r="I27" i="9" s="1"/>
  <c r="J25" i="9" s="1"/>
  <c r="O36" i="6" s="1"/>
  <c r="C26" i="9"/>
  <c r="D24" i="9" s="1"/>
  <c r="O9" i="6" s="1"/>
  <c r="B28" i="9"/>
  <c r="K28" i="9"/>
  <c r="H28" i="9"/>
  <c r="E28" i="9"/>
  <c r="O26" i="9"/>
  <c r="P24" i="9" s="1"/>
  <c r="O61" i="6" s="1"/>
  <c r="N28" i="9"/>
  <c r="M32" i="17"/>
  <c r="D32" i="17" s="1"/>
  <c r="B30" i="9" s="1"/>
  <c r="G26" i="22"/>
  <c r="M11" i="6"/>
  <c r="M76" i="6" s="1"/>
  <c r="N31" i="17"/>
  <c r="C31" i="17" s="1"/>
  <c r="I26" i="9"/>
  <c r="J24" i="9" s="1"/>
  <c r="O35" i="6" s="1"/>
  <c r="F26" i="9"/>
  <c r="G24" i="9" s="1"/>
  <c r="O22" i="6" s="1"/>
  <c r="M24" i="9"/>
  <c r="O48" i="6" s="1"/>
  <c r="M32" i="19"/>
  <c r="D32" i="19" s="1"/>
  <c r="H30" i="9" s="1"/>
  <c r="M35" i="8"/>
  <c r="M19" i="8" s="1"/>
  <c r="N31" i="18"/>
  <c r="C30" i="18"/>
  <c r="D31" i="19"/>
  <c r="H29" i="9" s="1"/>
  <c r="M32" i="21"/>
  <c r="D32" i="21" s="1"/>
  <c r="N30" i="9" s="1"/>
  <c r="N29" i="9"/>
  <c r="N31" i="19"/>
  <c r="C30" i="19"/>
  <c r="K30" i="9"/>
  <c r="K29" i="9"/>
  <c r="N31" i="21"/>
  <c r="C31" i="21" s="1"/>
  <c r="C30" i="21"/>
  <c r="C30" i="17"/>
  <c r="M32" i="18"/>
  <c r="D32" i="18" s="1"/>
  <c r="E30" i="9" s="1"/>
  <c r="D31" i="18"/>
  <c r="E29" i="9" s="1"/>
  <c r="D31" i="17"/>
  <c r="B29" i="9" s="1"/>
  <c r="L65" i="13"/>
  <c r="M66" i="13" s="1"/>
  <c r="L59" i="13"/>
  <c r="L60" i="13"/>
  <c r="L67" i="13" s="1"/>
  <c r="M58" i="13"/>
  <c r="L52" i="13"/>
  <c r="M53" i="13" s="1"/>
  <c r="M45" i="13"/>
  <c r="M46" i="13"/>
  <c r="C45" i="28" s="1"/>
  <c r="L35" i="13"/>
  <c r="M35" i="13" s="1"/>
  <c r="L40" i="13"/>
  <c r="L41" i="13" s="1"/>
  <c r="L39" i="13"/>
  <c r="J35" i="8" l="1"/>
  <c r="J19" i="8" s="1"/>
  <c r="N13" i="6"/>
  <c r="K35" i="8"/>
  <c r="K19" i="8" s="1"/>
  <c r="M26" i="6" s="1"/>
  <c r="M27" i="6" s="1"/>
  <c r="N26" i="6"/>
  <c r="N35" i="8"/>
  <c r="N19" i="8" s="1"/>
  <c r="M65" i="6" s="1"/>
  <c r="M66" i="6" s="1"/>
  <c r="N65" i="6"/>
  <c r="L35" i="8"/>
  <c r="L19" i="8" s="1"/>
  <c r="M39" i="6" s="1"/>
  <c r="M40" i="6" s="1"/>
  <c r="N39" i="6"/>
  <c r="M54" i="13"/>
  <c r="C46" i="28"/>
  <c r="C47" i="28" s="1"/>
  <c r="C48" i="28" s="1"/>
  <c r="C49" i="28" s="1"/>
  <c r="C50" i="28" s="1"/>
  <c r="C34" i="28"/>
  <c r="E9" i="4"/>
  <c r="O18" i="8"/>
  <c r="M65" i="13"/>
  <c r="M61" i="13"/>
  <c r="M60" i="13"/>
  <c r="F8" i="4" s="1"/>
  <c r="M52" i="13"/>
  <c r="M40" i="13"/>
  <c r="M41" i="13" s="1"/>
  <c r="M39" i="13"/>
  <c r="M36" i="13"/>
  <c r="D10" i="4" s="1"/>
  <c r="D9" i="4"/>
  <c r="M59" i="13"/>
  <c r="G30" i="17"/>
  <c r="G33" i="17" s="1"/>
  <c r="C33" i="17"/>
  <c r="G30" i="21"/>
  <c r="C33" i="21"/>
  <c r="G30" i="19"/>
  <c r="G33" i="19" s="1"/>
  <c r="C33" i="19"/>
  <c r="G30" i="18"/>
  <c r="G33" i="18" s="1"/>
  <c r="C33" i="18"/>
  <c r="D27" i="22"/>
  <c r="B43" i="9" s="1"/>
  <c r="D8" i="4"/>
  <c r="E7" i="4"/>
  <c r="O19" i="4" s="1"/>
  <c r="D7" i="4"/>
  <c r="O74" i="6"/>
  <c r="G31" i="21"/>
  <c r="O29" i="9" s="1"/>
  <c r="G31" i="17"/>
  <c r="C29" i="9" s="1"/>
  <c r="C42" i="9"/>
  <c r="D40" i="9" s="1"/>
  <c r="F11" i="23" s="1"/>
  <c r="K11" i="23" s="1"/>
  <c r="M52" i="6"/>
  <c r="M53" i="6" s="1"/>
  <c r="C27" i="9"/>
  <c r="D25" i="9" s="1"/>
  <c r="O10" i="6" s="1"/>
  <c r="O27" i="9"/>
  <c r="P25" i="9" s="1"/>
  <c r="O62" i="6" s="1"/>
  <c r="G27" i="22"/>
  <c r="M12" i="6"/>
  <c r="M77" i="6" s="1"/>
  <c r="F27" i="9"/>
  <c r="G25" i="9" s="1"/>
  <c r="O23" i="6" s="1"/>
  <c r="M25" i="9"/>
  <c r="O49" i="6" s="1"/>
  <c r="N32" i="19"/>
  <c r="C32" i="19" s="1"/>
  <c r="C31" i="19"/>
  <c r="N32" i="17"/>
  <c r="C32" i="17" s="1"/>
  <c r="N32" i="18"/>
  <c r="C32" i="18" s="1"/>
  <c r="G32" i="18" s="1"/>
  <c r="C31" i="18"/>
  <c r="G31" i="18" s="1"/>
  <c r="N32" i="21"/>
  <c r="C32" i="21" s="1"/>
  <c r="O19" i="8" l="1"/>
  <c r="M67" i="13"/>
  <c r="F7" i="4"/>
  <c r="S19" i="4" s="1"/>
  <c r="S20" i="4" s="1"/>
  <c r="C58" i="28"/>
  <c r="C59" i="28" s="1"/>
  <c r="C60" i="28" s="1"/>
  <c r="C61" i="28" s="1"/>
  <c r="C62" i="28" s="1"/>
  <c r="C63" i="28" s="1"/>
  <c r="C64" i="28" s="1"/>
  <c r="C65" i="28" s="1"/>
  <c r="C66" i="28" s="1"/>
  <c r="F9" i="4"/>
  <c r="C35" i="28"/>
  <c r="C36" i="28" s="1"/>
  <c r="C37" i="28" s="1"/>
  <c r="C38" i="28" s="1"/>
  <c r="C39" i="28" s="1"/>
  <c r="C40" i="28" s="1"/>
  <c r="C51" i="28"/>
  <c r="C52" i="28" s="1"/>
  <c r="C53" i="28" s="1"/>
  <c r="O20" i="4"/>
  <c r="E25" i="20"/>
  <c r="F25" i="20" s="1"/>
  <c r="H25" i="20" s="1"/>
  <c r="G33" i="21"/>
  <c r="N19" i="4"/>
  <c r="J19" i="4"/>
  <c r="J20" i="4" s="1"/>
  <c r="J21" i="4" s="1"/>
  <c r="J22" i="4" s="1"/>
  <c r="J23" i="4" s="1"/>
  <c r="J24" i="4" s="1"/>
  <c r="K19" i="4"/>
  <c r="K20" i="4" s="1"/>
  <c r="K21" i="4" s="1"/>
  <c r="K22" i="4" s="1"/>
  <c r="K23" i="4" s="1"/>
  <c r="K24" i="4" s="1"/>
  <c r="O75" i="6"/>
  <c r="G32" i="21"/>
  <c r="O30" i="9" s="1"/>
  <c r="L30" i="9"/>
  <c r="G31" i="19"/>
  <c r="I29" i="9" s="1"/>
  <c r="J27" i="9" s="1"/>
  <c r="O38" i="6" s="1"/>
  <c r="G32" i="19"/>
  <c r="I30" i="9" s="1"/>
  <c r="L29" i="9"/>
  <c r="M27" i="9" s="1"/>
  <c r="O51" i="6" s="1"/>
  <c r="G32" i="17"/>
  <c r="C30" i="9" s="1"/>
  <c r="C43" i="9"/>
  <c r="D27" i="9"/>
  <c r="O12" i="6" s="1"/>
  <c r="P27" i="9"/>
  <c r="O64" i="6" s="1"/>
  <c r="L28" i="9"/>
  <c r="M26" i="9" s="1"/>
  <c r="O50" i="6" s="1"/>
  <c r="F28" i="9"/>
  <c r="G26" i="9" s="1"/>
  <c r="O24" i="6" s="1"/>
  <c r="O28" i="9"/>
  <c r="P26" i="9" s="1"/>
  <c r="O63" i="6" s="1"/>
  <c r="C28" i="9"/>
  <c r="D26" i="9" s="1"/>
  <c r="O11" i="6" s="1"/>
  <c r="M13" i="6"/>
  <c r="M14" i="6" s="1"/>
  <c r="F30" i="9"/>
  <c r="F29" i="9"/>
  <c r="G27" i="9" s="1"/>
  <c r="O25" i="6" s="1"/>
  <c r="I28" i="9"/>
  <c r="J26" i="9" s="1"/>
  <c r="O37" i="6" s="1"/>
  <c r="L27" i="13"/>
  <c r="L28" i="13" s="1"/>
  <c r="L26" i="13"/>
  <c r="G26" i="13"/>
  <c r="L25" i="13"/>
  <c r="L24" i="13"/>
  <c r="L23" i="13"/>
  <c r="L22" i="13"/>
  <c r="L21" i="13"/>
  <c r="L20" i="13"/>
  <c r="L19" i="13"/>
  <c r="L18" i="13"/>
  <c r="R19" i="4" l="1"/>
  <c r="R20" i="4" s="1"/>
  <c r="R21" i="4" s="1"/>
  <c r="R22" i="4" s="1"/>
  <c r="R23" i="4" s="1"/>
  <c r="R24" i="4" s="1"/>
  <c r="S21" i="4"/>
  <c r="S22" i="4" s="1"/>
  <c r="S23" i="4" s="1"/>
  <c r="S24" i="4" s="1"/>
  <c r="N20" i="4"/>
  <c r="E10" i="20"/>
  <c r="F10" i="20" s="1"/>
  <c r="H10" i="20" s="1"/>
  <c r="O21" i="4"/>
  <c r="E26" i="20"/>
  <c r="F26" i="20" s="1"/>
  <c r="H26" i="20" s="1"/>
  <c r="D41" i="9"/>
  <c r="F12" i="23" s="1"/>
  <c r="M21" i="13"/>
  <c r="C8" i="4" s="1"/>
  <c r="M25" i="13"/>
  <c r="C12" i="4" s="1"/>
  <c r="M24" i="13"/>
  <c r="C11" i="4" s="1"/>
  <c r="M27" i="13"/>
  <c r="M28" i="13" s="1"/>
  <c r="M26" i="13"/>
  <c r="M23" i="13"/>
  <c r="C10" i="4" s="1"/>
  <c r="M22" i="13"/>
  <c r="B10" i="4"/>
  <c r="B12" i="4"/>
  <c r="B11" i="4"/>
  <c r="B8" i="4"/>
  <c r="B9" i="4"/>
  <c r="N18" i="13"/>
  <c r="N20" i="13"/>
  <c r="N24" i="13"/>
  <c r="M20" i="13"/>
  <c r="C19" i="28" s="1"/>
  <c r="O77" i="6"/>
  <c r="O76" i="6"/>
  <c r="M78" i="6"/>
  <c r="M79" i="6" s="1"/>
  <c r="G28" i="9"/>
  <c r="O26" i="6" s="1"/>
  <c r="M28" i="9"/>
  <c r="O52" i="6" s="1"/>
  <c r="P28" i="9"/>
  <c r="O65" i="6" s="1"/>
  <c r="D28" i="9"/>
  <c r="O13" i="6" s="1"/>
  <c r="J28" i="9"/>
  <c r="O39" i="6" s="1"/>
  <c r="N22" i="13"/>
  <c r="N21" i="13"/>
  <c r="N27" i="13"/>
  <c r="N28" i="13" s="1"/>
  <c r="N25" i="13"/>
  <c r="N23" i="13"/>
  <c r="H27" i="13"/>
  <c r="H28" i="13" s="1"/>
  <c r="N19" i="13"/>
  <c r="H19" i="13"/>
  <c r="H24" i="13"/>
  <c r="H21" i="13"/>
  <c r="M19" i="13"/>
  <c r="H22" i="13"/>
  <c r="H20" i="13"/>
  <c r="H25" i="13"/>
  <c r="H23" i="13"/>
  <c r="C20" i="28" l="1"/>
  <c r="C73" i="28" s="1"/>
  <c r="C72" i="28"/>
  <c r="O20" i="13"/>
  <c r="C9" i="4"/>
  <c r="O21" i="13"/>
  <c r="O22" i="4"/>
  <c r="E27" i="20"/>
  <c r="F27" i="20" s="1"/>
  <c r="H27" i="20" s="1"/>
  <c r="E11" i="20"/>
  <c r="F11" i="20" s="1"/>
  <c r="H11" i="20" s="1"/>
  <c r="N21" i="4"/>
  <c r="E12" i="20" s="1"/>
  <c r="F12" i="20" s="1"/>
  <c r="H12" i="20" s="1"/>
  <c r="F13" i="23"/>
  <c r="K12" i="23"/>
  <c r="K13" i="23" s="1"/>
  <c r="O23" i="13"/>
  <c r="O22" i="13"/>
  <c r="O25" i="13"/>
  <c r="O24" i="13"/>
  <c r="C7" i="4"/>
  <c r="G19" i="4" s="1"/>
  <c r="G20" i="4" s="1"/>
  <c r="B7" i="4"/>
  <c r="B19" i="4" s="1"/>
  <c r="B20" i="4" s="1"/>
  <c r="B21" i="4" s="1"/>
  <c r="O78" i="6"/>
  <c r="N26" i="13"/>
  <c r="O26" i="13" s="1"/>
  <c r="H26" i="13"/>
  <c r="C21" i="28" l="1"/>
  <c r="C22" i="28" s="1"/>
  <c r="G21" i="4"/>
  <c r="G22" i="4" s="1"/>
  <c r="G23" i="4" s="1"/>
  <c r="G24" i="4" s="1"/>
  <c r="N22" i="4"/>
  <c r="E28" i="20"/>
  <c r="F28" i="20" s="1"/>
  <c r="H28" i="20" s="1"/>
  <c r="O23" i="4"/>
  <c r="O27" i="13"/>
  <c r="O28" i="13" s="1"/>
  <c r="F19" i="4"/>
  <c r="F20" i="4" s="1"/>
  <c r="F21" i="4" s="1"/>
  <c r="F22" i="4" s="1"/>
  <c r="F23" i="4" s="1"/>
  <c r="F24" i="4" s="1"/>
  <c r="C74" i="28" l="1"/>
  <c r="C23" i="28"/>
  <c r="C75" i="28"/>
  <c r="O24" i="4"/>
  <c r="E30" i="20" s="1"/>
  <c r="E29" i="20"/>
  <c r="F29" i="20" s="1"/>
  <c r="H29" i="20" s="1"/>
  <c r="N23" i="4"/>
  <c r="E13" i="20"/>
  <c r="F13" i="20" s="1"/>
  <c r="H13" i="20" s="1"/>
  <c r="C24" i="28" l="1"/>
  <c r="C76" i="28"/>
  <c r="N24" i="4"/>
  <c r="E15" i="20" s="1"/>
  <c r="E14" i="20"/>
  <c r="F14" i="20" s="1"/>
  <c r="H14" i="20" s="1"/>
  <c r="F30" i="20"/>
  <c r="E33" i="20"/>
  <c r="I8" i="10"/>
  <c r="I9" i="10"/>
  <c r="I10" i="10"/>
  <c r="I11" i="10"/>
  <c r="I7" i="10"/>
  <c r="C25" i="28" l="1"/>
  <c r="C77" i="28"/>
  <c r="F33" i="20"/>
  <c r="H30" i="20"/>
  <c r="H33" i="20" s="1"/>
  <c r="F15" i="20"/>
  <c r="E18" i="20"/>
  <c r="I17" i="10"/>
  <c r="K7" i="10" s="1"/>
  <c r="H17" i="10"/>
  <c r="C26" i="28" l="1"/>
  <c r="C78" i="28"/>
  <c r="F18" i="20"/>
  <c r="H15" i="20"/>
  <c r="H18" i="20" s="1"/>
  <c r="I18" i="10"/>
  <c r="H18" i="10"/>
  <c r="H19" i="10"/>
  <c r="C27" i="28" l="1"/>
  <c r="C79" i="28"/>
  <c r="C80" i="28" s="1"/>
  <c r="J8" i="10"/>
  <c r="K8" i="10"/>
  <c r="K9" i="10"/>
  <c r="J10" i="10"/>
  <c r="J12" i="10" l="1"/>
  <c r="L17" i="10" s="1"/>
  <c r="M17" i="10" l="1"/>
  <c r="N17" i="10"/>
  <c r="L32" i="6" s="1"/>
  <c r="O17" i="10"/>
  <c r="L45" i="6" s="1"/>
  <c r="P17" i="10"/>
  <c r="L58" i="6" s="1"/>
  <c r="L6" i="6"/>
  <c r="L19" i="6" l="1"/>
  <c r="L71" i="6" s="1"/>
  <c r="M18" i="10"/>
  <c r="M19" i="10" l="1"/>
  <c r="L20" i="6"/>
  <c r="C19" i="4"/>
  <c r="C20" i="4" s="1"/>
  <c r="M20" i="10" l="1"/>
  <c r="L21" i="6"/>
  <c r="E25" i="21"/>
  <c r="F25" i="21" s="1"/>
  <c r="E10" i="18"/>
  <c r="F10" i="18" s="1"/>
  <c r="E25" i="19"/>
  <c r="F25" i="19" s="1"/>
  <c r="E10" i="17"/>
  <c r="E25" i="17"/>
  <c r="F25" i="17" s="1"/>
  <c r="E10" i="19"/>
  <c r="F10" i="19" s="1"/>
  <c r="E25" i="18"/>
  <c r="F25" i="18" s="1"/>
  <c r="E10" i="21"/>
  <c r="F10" i="21" s="1"/>
  <c r="M21" i="10" l="1"/>
  <c r="L22" i="6"/>
  <c r="H10" i="19"/>
  <c r="B34" i="6" s="1"/>
  <c r="B47" i="6"/>
  <c r="H10" i="18"/>
  <c r="B21" i="6" s="1"/>
  <c r="H10" i="21"/>
  <c r="B60" i="6" s="1"/>
  <c r="F10" i="17"/>
  <c r="K47" i="6"/>
  <c r="H25" i="18"/>
  <c r="H25" i="19"/>
  <c r="H25" i="17"/>
  <c r="H25" i="21"/>
  <c r="E11" i="21"/>
  <c r="F11" i="21" s="1"/>
  <c r="E26" i="18"/>
  <c r="F26" i="18" s="1"/>
  <c r="E26" i="19"/>
  <c r="F26" i="19" s="1"/>
  <c r="E11" i="19"/>
  <c r="F11" i="19" s="1"/>
  <c r="E11" i="18"/>
  <c r="F11" i="18" s="1"/>
  <c r="E26" i="21"/>
  <c r="F26" i="21" s="1"/>
  <c r="E11" i="17"/>
  <c r="F11" i="17" s="1"/>
  <c r="C21" i="4"/>
  <c r="E26" i="17"/>
  <c r="F26" i="17" s="1"/>
  <c r="L23" i="6" l="1"/>
  <c r="M22" i="10"/>
  <c r="H10" i="17"/>
  <c r="K21" i="6"/>
  <c r="K60" i="6"/>
  <c r="H26" i="19"/>
  <c r="K35" i="6" s="1"/>
  <c r="K34" i="6"/>
  <c r="H26" i="17"/>
  <c r="H26" i="18"/>
  <c r="K22" i="6" s="1"/>
  <c r="K48" i="6"/>
  <c r="H26" i="21"/>
  <c r="K61" i="6" s="1"/>
  <c r="E27" i="19"/>
  <c r="F27" i="19" s="1"/>
  <c r="E27" i="17"/>
  <c r="F27" i="17" s="1"/>
  <c r="C22" i="4"/>
  <c r="B22" i="4"/>
  <c r="E12" i="17"/>
  <c r="F12" i="17" s="1"/>
  <c r="E12" i="19"/>
  <c r="F12" i="19" s="1"/>
  <c r="E27" i="18"/>
  <c r="F27" i="18" s="1"/>
  <c r="E12" i="21"/>
  <c r="F12" i="21" s="1"/>
  <c r="E27" i="21"/>
  <c r="F27" i="21" s="1"/>
  <c r="E12" i="18"/>
  <c r="F12" i="18" s="1"/>
  <c r="M23" i="10" l="1"/>
  <c r="L24" i="6"/>
  <c r="K49" i="6"/>
  <c r="H27" i="21"/>
  <c r="K62" i="6" s="1"/>
  <c r="H27" i="19"/>
  <c r="K36" i="6" s="1"/>
  <c r="H27" i="18"/>
  <c r="K23" i="6" s="1"/>
  <c r="H27" i="17"/>
  <c r="E13" i="19"/>
  <c r="F13" i="19" s="1"/>
  <c r="E13" i="18"/>
  <c r="F13" i="18" s="1"/>
  <c r="E28" i="21"/>
  <c r="F28" i="21" s="1"/>
  <c r="C23" i="4"/>
  <c r="E28" i="17"/>
  <c r="F28" i="17" s="1"/>
  <c r="E28" i="19"/>
  <c r="F28" i="19" s="1"/>
  <c r="E28" i="18"/>
  <c r="F28" i="18" s="1"/>
  <c r="B23" i="4"/>
  <c r="B24" i="4" s="1"/>
  <c r="E13" i="17"/>
  <c r="F13" i="17" s="1"/>
  <c r="E13" i="21"/>
  <c r="F13" i="21" s="1"/>
  <c r="M24" i="10" l="1"/>
  <c r="L26" i="6" s="1"/>
  <c r="L25" i="6"/>
  <c r="H28" i="18"/>
  <c r="K24" i="6" s="1"/>
  <c r="H28" i="19"/>
  <c r="K37" i="6" s="1"/>
  <c r="H28" i="17"/>
  <c r="K50" i="6"/>
  <c r="H28" i="21"/>
  <c r="K63" i="6" s="1"/>
  <c r="E29" i="17"/>
  <c r="F29" i="17" s="1"/>
  <c r="C24" i="4"/>
  <c r="E30" i="17" s="1"/>
  <c r="E33" i="17" s="1"/>
  <c r="E14" i="21"/>
  <c r="F14" i="21" s="1"/>
  <c r="E15" i="21"/>
  <c r="E18" i="21" s="1"/>
  <c r="E14" i="17"/>
  <c r="F14" i="17" s="1"/>
  <c r="E15" i="17"/>
  <c r="E18" i="17" s="1"/>
  <c r="E30" i="19"/>
  <c r="E33" i="19" s="1"/>
  <c r="E29" i="19"/>
  <c r="F29" i="19" s="1"/>
  <c r="E29" i="21"/>
  <c r="F29" i="21" s="1"/>
  <c r="E30" i="21"/>
  <c r="E33" i="21" s="1"/>
  <c r="E14" i="18"/>
  <c r="F14" i="18" s="1"/>
  <c r="E15" i="18"/>
  <c r="E18" i="18" s="1"/>
  <c r="E29" i="18"/>
  <c r="F29" i="18" s="1"/>
  <c r="E30" i="18"/>
  <c r="E33" i="18" s="1"/>
  <c r="E15" i="19"/>
  <c r="E18" i="19" s="1"/>
  <c r="E14" i="19"/>
  <c r="F14" i="19" s="1"/>
  <c r="M11" i="17"/>
  <c r="D11" i="17" s="1"/>
  <c r="M11" i="19"/>
  <c r="M11" i="21"/>
  <c r="D11" i="21" s="1"/>
  <c r="M11" i="18"/>
  <c r="F30" i="18" l="1"/>
  <c r="F15" i="21"/>
  <c r="F15" i="17"/>
  <c r="F15" i="18"/>
  <c r="F30" i="17"/>
  <c r="F33" i="17" s="1"/>
  <c r="F30" i="19"/>
  <c r="F33" i="19" s="1"/>
  <c r="F15" i="19"/>
  <c r="F30" i="21"/>
  <c r="H29" i="18"/>
  <c r="K25" i="6" s="1"/>
  <c r="K51" i="6"/>
  <c r="H29" i="17"/>
  <c r="H29" i="21"/>
  <c r="K64" i="6" s="1"/>
  <c r="H29" i="19"/>
  <c r="K38" i="6" s="1"/>
  <c r="N11" i="19"/>
  <c r="C11" i="19" s="1"/>
  <c r="E35" i="6" s="1"/>
  <c r="D11" i="19"/>
  <c r="N11" i="18"/>
  <c r="C11" i="18" s="1"/>
  <c r="E22" i="6" s="1"/>
  <c r="D11" i="18"/>
  <c r="N11" i="17"/>
  <c r="C11" i="17" s="1"/>
  <c r="E9" i="6" s="1"/>
  <c r="N11" i="21"/>
  <c r="C11" i="21" s="1"/>
  <c r="E61" i="6" s="1"/>
  <c r="G11" i="17" l="1"/>
  <c r="B31" i="8"/>
  <c r="B15" i="8" s="1"/>
  <c r="G11" i="18"/>
  <c r="C31" i="8"/>
  <c r="C15" i="8" s="1"/>
  <c r="G11" i="21"/>
  <c r="F31" i="8"/>
  <c r="F15" i="8" s="1"/>
  <c r="E31" i="8"/>
  <c r="E15" i="8" s="1"/>
  <c r="G11" i="19"/>
  <c r="D31" i="8"/>
  <c r="D15" i="8" s="1"/>
  <c r="F18" i="18"/>
  <c r="F18" i="17"/>
  <c r="F18" i="21"/>
  <c r="F18" i="19"/>
  <c r="F33" i="21"/>
  <c r="H30" i="21"/>
  <c r="H33" i="21" s="1"/>
  <c r="H30" i="18"/>
  <c r="H33" i="18" s="1"/>
  <c r="F33" i="18"/>
  <c r="H30" i="19"/>
  <c r="H33" i="19" s="1"/>
  <c r="H30" i="17"/>
  <c r="H33" i="17" s="1"/>
  <c r="G15" i="8" l="1"/>
  <c r="K65" i="6"/>
  <c r="K66" i="6" s="1"/>
  <c r="K26" i="6"/>
  <c r="K27" i="6" s="1"/>
  <c r="K39" i="6"/>
  <c r="K40" i="6" s="1"/>
  <c r="K52" i="6"/>
  <c r="K53" i="6" s="1"/>
  <c r="K10" i="9"/>
  <c r="N10" i="9"/>
  <c r="B10" i="9"/>
  <c r="H10" i="9"/>
  <c r="D35" i="6" l="1"/>
  <c r="D9" i="6"/>
  <c r="D61" i="6"/>
  <c r="E10" i="9"/>
  <c r="H11" i="21"/>
  <c r="M12" i="19"/>
  <c r="M12" i="18"/>
  <c r="M12" i="17"/>
  <c r="D12" i="17" s="1"/>
  <c r="M12" i="21"/>
  <c r="H11" i="17" l="1"/>
  <c r="B9" i="6" s="1"/>
  <c r="I10" i="9"/>
  <c r="H11" i="19"/>
  <c r="B61" i="6"/>
  <c r="N12" i="21"/>
  <c r="C12" i="21" s="1"/>
  <c r="E62" i="6" s="1"/>
  <c r="D12" i="21"/>
  <c r="N12" i="19"/>
  <c r="C12" i="19" s="1"/>
  <c r="E36" i="6" s="1"/>
  <c r="D12" i="19"/>
  <c r="N12" i="18"/>
  <c r="C12" i="18" s="1"/>
  <c r="E23" i="6" s="1"/>
  <c r="D12" i="18"/>
  <c r="N12" i="17"/>
  <c r="C12" i="17" s="1"/>
  <c r="E10" i="6" s="1"/>
  <c r="D22" i="6"/>
  <c r="D48" i="6"/>
  <c r="O10" i="9"/>
  <c r="H11" i="18"/>
  <c r="C10" i="9"/>
  <c r="D8" i="9" s="1"/>
  <c r="F7" i="6" s="1"/>
  <c r="P7" i="9"/>
  <c r="F58" i="6" s="1"/>
  <c r="M13" i="17"/>
  <c r="D13" i="17" s="1"/>
  <c r="M13" i="21"/>
  <c r="D13" i="21" s="1"/>
  <c r="M13" i="18"/>
  <c r="D13" i="18" s="1"/>
  <c r="M13" i="19"/>
  <c r="G12" i="17" l="1"/>
  <c r="B32" i="8"/>
  <c r="B16" i="8" s="1"/>
  <c r="G12" i="18"/>
  <c r="C32" i="8"/>
  <c r="C16" i="8" s="1"/>
  <c r="D23" i="6" s="1"/>
  <c r="G12" i="21"/>
  <c r="O11" i="9" s="1"/>
  <c r="F32" i="8"/>
  <c r="F16" i="8" s="1"/>
  <c r="D62" i="6" s="1"/>
  <c r="E32" i="8"/>
  <c r="E16" i="8" s="1"/>
  <c r="D49" i="6" s="1"/>
  <c r="G12" i="19"/>
  <c r="D32" i="8"/>
  <c r="D16" i="8" s="1"/>
  <c r="D36" i="6" s="1"/>
  <c r="D74" i="6"/>
  <c r="K11" i="9"/>
  <c r="H11" i="9"/>
  <c r="N11" i="9"/>
  <c r="E11" i="9"/>
  <c r="B35" i="6"/>
  <c r="N13" i="19"/>
  <c r="C13" i="19" s="1"/>
  <c r="E37" i="6" s="1"/>
  <c r="D13" i="19"/>
  <c r="N13" i="17"/>
  <c r="C13" i="17" s="1"/>
  <c r="E11" i="6" s="1"/>
  <c r="F10" i="9"/>
  <c r="G8" i="9" s="1"/>
  <c r="F20" i="6" s="1"/>
  <c r="B11" i="9"/>
  <c r="L10" i="9"/>
  <c r="P8" i="9"/>
  <c r="F59" i="6" s="1"/>
  <c r="N12" i="9"/>
  <c r="N13" i="21"/>
  <c r="C13" i="21" s="1"/>
  <c r="E63" i="6" s="1"/>
  <c r="E12" i="9"/>
  <c r="N13" i="18"/>
  <c r="C13" i="18" s="1"/>
  <c r="E24" i="6" s="1"/>
  <c r="H12" i="18" l="1"/>
  <c r="B23" i="6" s="1"/>
  <c r="G13" i="17"/>
  <c r="B33" i="8"/>
  <c r="B17" i="8" s="1"/>
  <c r="G13" i="18"/>
  <c r="C33" i="8"/>
  <c r="C17" i="8" s="1"/>
  <c r="G13" i="21"/>
  <c r="F33" i="8"/>
  <c r="F17" i="8" s="1"/>
  <c r="E33" i="8"/>
  <c r="E17" i="8" s="1"/>
  <c r="D50" i="6" s="1"/>
  <c r="I11" i="9"/>
  <c r="G13" i="19"/>
  <c r="D33" i="8"/>
  <c r="D17" i="8" s="1"/>
  <c r="D37" i="6" s="1"/>
  <c r="G16" i="8"/>
  <c r="K12" i="9"/>
  <c r="C11" i="9"/>
  <c r="H12" i="17"/>
  <c r="H12" i="21"/>
  <c r="H12" i="9"/>
  <c r="H12" i="19"/>
  <c r="B48" i="6"/>
  <c r="D10" i="6"/>
  <c r="D75" i="6" s="1"/>
  <c r="F11" i="9"/>
  <c r="G9" i="9" s="1"/>
  <c r="F21" i="6" s="1"/>
  <c r="B12" i="9"/>
  <c r="B22" i="6"/>
  <c r="B8" i="6"/>
  <c r="L11" i="9"/>
  <c r="L12" i="9"/>
  <c r="P9" i="9"/>
  <c r="F60" i="6" s="1"/>
  <c r="I12" i="9" l="1"/>
  <c r="G17" i="8"/>
  <c r="D9" i="9"/>
  <c r="F8" i="6" s="1"/>
  <c r="B73" i="6"/>
  <c r="B74" i="6"/>
  <c r="C12" i="9"/>
  <c r="D10" i="9" s="1"/>
  <c r="F9" i="6" s="1"/>
  <c r="H13" i="17"/>
  <c r="H13" i="19"/>
  <c r="B49" i="6"/>
  <c r="B62" i="6"/>
  <c r="B36" i="6"/>
  <c r="D11" i="6"/>
  <c r="D63" i="6"/>
  <c r="D24" i="6"/>
  <c r="H13" i="21"/>
  <c r="Q6" i="6"/>
  <c r="M7" i="9"/>
  <c r="F45" i="6" s="1"/>
  <c r="N14" i="6" l="1"/>
  <c r="D76" i="6"/>
  <c r="H13" i="18"/>
  <c r="B63" i="6"/>
  <c r="B50" i="6"/>
  <c r="B37" i="6"/>
  <c r="K8" i="6"/>
  <c r="O12" i="9"/>
  <c r="F12" i="9"/>
  <c r="G10" i="9" s="1"/>
  <c r="F22" i="6" s="1"/>
  <c r="Q19" i="6"/>
  <c r="Q45" i="6"/>
  <c r="Q58" i="6"/>
  <c r="J9" i="9"/>
  <c r="F34" i="6" s="1"/>
  <c r="M9" i="9"/>
  <c r="F47" i="6" s="1"/>
  <c r="M8" i="9"/>
  <c r="F46" i="6" s="1"/>
  <c r="J8" i="9"/>
  <c r="F33" i="6" s="1"/>
  <c r="E71" i="6" l="1"/>
  <c r="E72" i="6"/>
  <c r="N66" i="6"/>
  <c r="N27" i="6"/>
  <c r="N40" i="6"/>
  <c r="N53" i="6"/>
  <c r="F72" i="6"/>
  <c r="E76" i="6"/>
  <c r="F73" i="6"/>
  <c r="E74" i="6"/>
  <c r="E73" i="6"/>
  <c r="Q32" i="6"/>
  <c r="Q71" i="6"/>
  <c r="E75" i="6"/>
  <c r="K73" i="6"/>
  <c r="N78" i="6"/>
  <c r="N77" i="6"/>
  <c r="N76" i="6"/>
  <c r="N75" i="6"/>
  <c r="N74" i="6"/>
  <c r="N73" i="6"/>
  <c r="B24" i="6"/>
  <c r="K9" i="6"/>
  <c r="B11" i="6"/>
  <c r="K10" i="6"/>
  <c r="B10" i="6"/>
  <c r="J10" i="9"/>
  <c r="F35" i="6" s="1"/>
  <c r="N79" i="6" l="1"/>
  <c r="B75" i="6"/>
  <c r="K74" i="6"/>
  <c r="K75" i="6"/>
  <c r="B76" i="6"/>
  <c r="M14" i="17"/>
  <c r="D14" i="17" s="1"/>
  <c r="K11" i="6"/>
  <c r="K76" i="6" l="1"/>
  <c r="N14" i="17"/>
  <c r="C14" i="17" s="1"/>
  <c r="E12" i="6" s="1"/>
  <c r="K12" i="6"/>
  <c r="K13" i="6"/>
  <c r="K14" i="6" s="1"/>
  <c r="M14" i="19"/>
  <c r="D14" i="19" s="1"/>
  <c r="M14" i="18"/>
  <c r="M14" i="21"/>
  <c r="G14" i="17" l="1"/>
  <c r="H14" i="17" s="1"/>
  <c r="B34" i="8"/>
  <c r="B18" i="8" s="1"/>
  <c r="D12" i="6" s="1"/>
  <c r="K78" i="6"/>
  <c r="K77" i="6"/>
  <c r="N14" i="21"/>
  <c r="C14" i="21" s="1"/>
  <c r="E64" i="6" s="1"/>
  <c r="D14" i="21"/>
  <c r="N14" i="18"/>
  <c r="C14" i="18" s="1"/>
  <c r="E25" i="6" s="1"/>
  <c r="D14" i="18"/>
  <c r="M10" i="9"/>
  <c r="F48" i="6" s="1"/>
  <c r="P10" i="9"/>
  <c r="F61" i="6" s="1"/>
  <c r="B13" i="9"/>
  <c r="M15" i="17"/>
  <c r="D15" i="17" s="1"/>
  <c r="M15" i="18"/>
  <c r="D15" i="18" s="1"/>
  <c r="M15" i="19"/>
  <c r="D15" i="19" s="1"/>
  <c r="H13" i="9"/>
  <c r="M15" i="21"/>
  <c r="D15" i="21" s="1"/>
  <c r="N14" i="19"/>
  <c r="C14" i="19" s="1"/>
  <c r="E38" i="6" s="1"/>
  <c r="K13" i="9"/>
  <c r="G14" i="18" l="1"/>
  <c r="F13" i="9" s="1"/>
  <c r="C34" i="8"/>
  <c r="C18" i="8" s="1"/>
  <c r="D25" i="6" s="1"/>
  <c r="G14" i="21"/>
  <c r="O13" i="9" s="1"/>
  <c r="F34" i="8"/>
  <c r="F18" i="8" s="1"/>
  <c r="D64" i="6" s="1"/>
  <c r="E34" i="8"/>
  <c r="E18" i="8" s="1"/>
  <c r="G14" i="19"/>
  <c r="D34" i="8"/>
  <c r="D18" i="8" s="1"/>
  <c r="D18" i="17"/>
  <c r="D18" i="21"/>
  <c r="D18" i="19"/>
  <c r="D18" i="18"/>
  <c r="N13" i="9"/>
  <c r="K79" i="6"/>
  <c r="F74" i="6"/>
  <c r="E13" i="9"/>
  <c r="C13" i="9"/>
  <c r="D11" i="9" s="1"/>
  <c r="F10" i="6" s="1"/>
  <c r="H14" i="9"/>
  <c r="M16" i="19"/>
  <c r="D16" i="19" s="1"/>
  <c r="E14" i="9"/>
  <c r="M16" i="18"/>
  <c r="D16" i="18" s="1"/>
  <c r="M16" i="17"/>
  <c r="D16" i="17" s="1"/>
  <c r="K14" i="9"/>
  <c r="M16" i="21"/>
  <c r="D16" i="21" s="1"/>
  <c r="N14" i="9"/>
  <c r="E35" i="8"/>
  <c r="N15" i="18"/>
  <c r="C15" i="18" s="1"/>
  <c r="N15" i="21"/>
  <c r="C15" i="21" s="1"/>
  <c r="N15" i="19"/>
  <c r="C15" i="19" s="1"/>
  <c r="N15" i="17"/>
  <c r="C15" i="17" s="1"/>
  <c r="B35" i="8" l="1"/>
  <c r="B19" i="8" s="1"/>
  <c r="D13" i="6" s="1"/>
  <c r="D14" i="6" s="1"/>
  <c r="E13" i="6"/>
  <c r="C35" i="8"/>
  <c r="C19" i="8" s="1"/>
  <c r="E26" i="6"/>
  <c r="D35" i="8"/>
  <c r="D19" i="8" s="1"/>
  <c r="E39" i="6"/>
  <c r="F35" i="8"/>
  <c r="F19" i="8" s="1"/>
  <c r="E65" i="6"/>
  <c r="E19" i="8"/>
  <c r="G18" i="8"/>
  <c r="P11" i="9"/>
  <c r="F62" i="6" s="1"/>
  <c r="B24" i="1"/>
  <c r="G15" i="17"/>
  <c r="C18" i="17"/>
  <c r="G15" i="19"/>
  <c r="C18" i="19"/>
  <c r="G15" i="21"/>
  <c r="C18" i="21"/>
  <c r="B46" i="1"/>
  <c r="G15" i="18"/>
  <c r="C18" i="18"/>
  <c r="B35" i="1"/>
  <c r="B57" i="1"/>
  <c r="G11" i="9"/>
  <c r="F23" i="6" s="1"/>
  <c r="H14" i="21"/>
  <c r="H14" i="18"/>
  <c r="D51" i="6"/>
  <c r="D38" i="6"/>
  <c r="B14" i="9"/>
  <c r="B12" i="6"/>
  <c r="N16" i="17"/>
  <c r="C16" i="17" s="1"/>
  <c r="G16" i="17" s="1"/>
  <c r="M17" i="17"/>
  <c r="D17" i="17" s="1"/>
  <c r="B15" i="9"/>
  <c r="N16" i="19"/>
  <c r="C16" i="19" s="1"/>
  <c r="G16" i="19" s="1"/>
  <c r="N16" i="21"/>
  <c r="C16" i="21" s="1"/>
  <c r="G16" i="21" s="1"/>
  <c r="N16" i="18"/>
  <c r="C16" i="18" s="1"/>
  <c r="G16" i="18" s="1"/>
  <c r="M17" i="18"/>
  <c r="E15" i="9"/>
  <c r="M17" i="21"/>
  <c r="N15" i="9"/>
  <c r="M17" i="19"/>
  <c r="H15" i="9"/>
  <c r="K15" i="9"/>
  <c r="G19" i="8" l="1"/>
  <c r="G18" i="18"/>
  <c r="G18" i="21"/>
  <c r="G18" i="17"/>
  <c r="G18" i="19"/>
  <c r="E77" i="6"/>
  <c r="D77" i="6"/>
  <c r="H15" i="17"/>
  <c r="H18" i="17" s="1"/>
  <c r="I13" i="9"/>
  <c r="J11" i="9" s="1"/>
  <c r="F36" i="6" s="1"/>
  <c r="H14" i="19"/>
  <c r="B64" i="6"/>
  <c r="B25" i="6"/>
  <c r="D17" i="21"/>
  <c r="N16" i="9" s="1"/>
  <c r="K16" i="9"/>
  <c r="D17" i="19"/>
  <c r="H16" i="9" s="1"/>
  <c r="D17" i="18"/>
  <c r="E16" i="9" s="1"/>
  <c r="B16" i="9"/>
  <c r="E14" i="6"/>
  <c r="E40" i="6"/>
  <c r="D39" i="6"/>
  <c r="D40" i="6" s="1"/>
  <c r="E27" i="6"/>
  <c r="D52" i="6"/>
  <c r="D53" i="6" s="1"/>
  <c r="E66" i="6"/>
  <c r="D65" i="6"/>
  <c r="D66" i="6" s="1"/>
  <c r="E53" i="6"/>
  <c r="N17" i="18"/>
  <c r="F15" i="9"/>
  <c r="G13" i="9" s="1"/>
  <c r="F25" i="6" s="1"/>
  <c r="N17" i="19"/>
  <c r="I15" i="9"/>
  <c r="L13" i="9"/>
  <c r="M11" i="9" s="1"/>
  <c r="F49" i="6" s="1"/>
  <c r="L15" i="9"/>
  <c r="N17" i="21"/>
  <c r="O15" i="9"/>
  <c r="N17" i="17"/>
  <c r="C17" i="17" s="1"/>
  <c r="G17" i="17" s="1"/>
  <c r="C15" i="9"/>
  <c r="D13" i="9" s="1"/>
  <c r="F12" i="6" s="1"/>
  <c r="C14" i="9"/>
  <c r="F75" i="6" l="1"/>
  <c r="E78" i="6"/>
  <c r="E79" i="6" s="1"/>
  <c r="J13" i="9"/>
  <c r="F38" i="6" s="1"/>
  <c r="L14" i="9"/>
  <c r="M12" i="9" s="1"/>
  <c r="F50" i="6" s="1"/>
  <c r="F14" i="9"/>
  <c r="G12" i="9" s="1"/>
  <c r="F24" i="6" s="1"/>
  <c r="H15" i="18"/>
  <c r="H18" i="18" s="1"/>
  <c r="O14" i="9"/>
  <c r="P12" i="9" s="1"/>
  <c r="F63" i="6" s="1"/>
  <c r="H15" i="21"/>
  <c r="H18" i="21" s="1"/>
  <c r="H15" i="19"/>
  <c r="H18" i="19" s="1"/>
  <c r="B51" i="6"/>
  <c r="B38" i="6"/>
  <c r="B13" i="6"/>
  <c r="C17" i="21"/>
  <c r="G17" i="21" s="1"/>
  <c r="C17" i="19"/>
  <c r="G17" i="19" s="1"/>
  <c r="C17" i="18"/>
  <c r="G17" i="18" s="1"/>
  <c r="D26" i="6"/>
  <c r="D27" i="6" s="1"/>
  <c r="I14" i="9"/>
  <c r="C16" i="9"/>
  <c r="D14" i="9" s="1"/>
  <c r="F13" i="6" s="1"/>
  <c r="D12" i="9"/>
  <c r="F11" i="6" s="1"/>
  <c r="M13" i="9"/>
  <c r="F51" i="6" s="1"/>
  <c r="P13" i="9"/>
  <c r="F64" i="6" s="1"/>
  <c r="B14" i="6" l="1"/>
  <c r="B77" i="6"/>
  <c r="F77" i="6"/>
  <c r="D78" i="6"/>
  <c r="D79" i="6" s="1"/>
  <c r="F16" i="9"/>
  <c r="G14" i="9" s="1"/>
  <c r="F26" i="6" s="1"/>
  <c r="I16" i="9"/>
  <c r="J14" i="9" s="1"/>
  <c r="F39" i="6" s="1"/>
  <c r="L16" i="9"/>
  <c r="M14" i="9" s="1"/>
  <c r="F52" i="6" s="1"/>
  <c r="O16" i="9"/>
  <c r="P14" i="9" s="1"/>
  <c r="F65" i="6" s="1"/>
  <c r="B39" i="6"/>
  <c r="B52" i="6"/>
  <c r="J12" i="9"/>
  <c r="F37" i="6" s="1"/>
  <c r="B65" i="6"/>
  <c r="B26" i="6"/>
  <c r="I20" i="10"/>
  <c r="H20" i="10"/>
  <c r="H28" i="10"/>
  <c r="F76" i="6" l="1"/>
  <c r="B53" i="6"/>
  <c r="B27" i="6"/>
  <c r="B40" i="6"/>
  <c r="B66" i="6"/>
  <c r="B78" i="6"/>
  <c r="F78" i="6"/>
  <c r="K10" i="10"/>
  <c r="B79" i="6" l="1"/>
  <c r="H29" i="10"/>
  <c r="H21" i="10" l="1"/>
  <c r="I21" i="10"/>
  <c r="K11" i="10" l="1"/>
  <c r="K12" i="10" s="1"/>
  <c r="C6" i="6" s="1"/>
  <c r="C19" i="6" l="1"/>
  <c r="C45" i="6"/>
  <c r="C58" i="6"/>
  <c r="C32" i="6"/>
  <c r="H27" i="10"/>
  <c r="H58" i="6" l="1"/>
  <c r="B58" i="28" s="1"/>
  <c r="D58" i="28" s="1"/>
  <c r="H45" i="6"/>
  <c r="B45" i="28" s="1"/>
  <c r="D45" i="28" s="1"/>
  <c r="H32" i="6"/>
  <c r="B32" i="28" s="1"/>
  <c r="D32" i="28" s="1"/>
  <c r="H19" i="6"/>
  <c r="B19" i="28" s="1"/>
  <c r="D19" i="28" s="1"/>
  <c r="C71" i="6" l="1"/>
  <c r="H25" i="10" l="1"/>
  <c r="B7" i="9" l="1"/>
  <c r="D7" i="9" s="1"/>
  <c r="F6" i="6" s="1"/>
  <c r="H6" i="6" s="1"/>
  <c r="F71" i="6" l="1"/>
  <c r="B6" i="28" l="1"/>
  <c r="B71" i="6"/>
  <c r="B72" i="28" l="1"/>
  <c r="D72" i="28" s="1"/>
  <c r="D6" i="28"/>
  <c r="H71" i="6"/>
  <c r="Q20" i="6" l="1"/>
  <c r="C20" i="6" s="1"/>
  <c r="L18" i="10"/>
  <c r="N31" i="13"/>
  <c r="N36" i="13"/>
  <c r="H36" i="13"/>
  <c r="N37" i="13"/>
  <c r="H37" i="13"/>
  <c r="H39" i="13"/>
  <c r="N39" i="13"/>
  <c r="H32" i="13"/>
  <c r="N32" i="13"/>
  <c r="N35" i="13"/>
  <c r="H35" i="13"/>
  <c r="H33" i="13"/>
  <c r="N33" i="13"/>
  <c r="N34" i="13"/>
  <c r="H34" i="13"/>
  <c r="N38" i="13"/>
  <c r="H38" i="13"/>
  <c r="H40" i="13"/>
  <c r="N40" i="13"/>
  <c r="N41" i="13" s="1"/>
  <c r="N44" i="13"/>
  <c r="H46" i="13"/>
  <c r="N46" i="13"/>
  <c r="N51" i="13"/>
  <c r="H51" i="13"/>
  <c r="N50" i="13"/>
  <c r="H50" i="13"/>
  <c r="N45" i="13"/>
  <c r="H45" i="13"/>
  <c r="H49" i="13"/>
  <c r="N49" i="13"/>
  <c r="H47" i="13"/>
  <c r="N47" i="13"/>
  <c r="N53" i="13"/>
  <c r="N54" i="13" s="1"/>
  <c r="H53" i="13"/>
  <c r="H54" i="13" s="1"/>
  <c r="N48" i="13"/>
  <c r="H48" i="13"/>
  <c r="H52" i="13"/>
  <c r="N52" i="13"/>
  <c r="N57" i="13"/>
  <c r="N61" i="13"/>
  <c r="H61" i="13"/>
  <c r="H59" i="13"/>
  <c r="N59" i="13"/>
  <c r="H58" i="13"/>
  <c r="N58" i="13"/>
  <c r="H66" i="13"/>
  <c r="H67" i="13" s="1"/>
  <c r="N66" i="13"/>
  <c r="N62" i="13"/>
  <c r="H62" i="13"/>
  <c r="N63" i="13"/>
  <c r="H63" i="13"/>
  <c r="N60" i="13"/>
  <c r="H60" i="13"/>
  <c r="N64" i="13"/>
  <c r="H64" i="13"/>
  <c r="N65" i="13"/>
  <c r="H65" i="13"/>
  <c r="L19" i="10" l="1"/>
  <c r="L7" i="6"/>
  <c r="H41" i="13"/>
  <c r="N67" i="13"/>
  <c r="O47" i="13"/>
  <c r="O18" i="10" s="1"/>
  <c r="O64" i="13"/>
  <c r="O65" i="13"/>
  <c r="O63" i="13"/>
  <c r="O49" i="13"/>
  <c r="O53" i="13"/>
  <c r="O54" i="13" s="1"/>
  <c r="O52" i="13"/>
  <c r="L46" i="6"/>
  <c r="Q46" i="6" s="1"/>
  <c r="O38" i="13"/>
  <c r="O39" i="13"/>
  <c r="O37" i="13"/>
  <c r="O36" i="13"/>
  <c r="L8" i="6"/>
  <c r="O33" i="13"/>
  <c r="O59" i="13"/>
  <c r="O34" i="13"/>
  <c r="N18" i="10" s="1"/>
  <c r="O40" i="13"/>
  <c r="O41" i="13" s="1"/>
  <c r="O60" i="13"/>
  <c r="P18" i="10" s="1"/>
  <c r="O61" i="13"/>
  <c r="O50" i="13"/>
  <c r="O62" i="13"/>
  <c r="O66" i="13"/>
  <c r="O48" i="13"/>
  <c r="O51" i="13"/>
  <c r="O46" i="13"/>
  <c r="O35" i="13"/>
  <c r="Q21" i="6"/>
  <c r="C21" i="6" s="1"/>
  <c r="H20" i="6"/>
  <c r="B20" i="28" s="1"/>
  <c r="D20" i="28" s="1"/>
  <c r="E20" i="28" l="1"/>
  <c r="Q6" i="28"/>
  <c r="Q16" i="28" s="1"/>
  <c r="C46" i="6"/>
  <c r="H46" i="6" s="1"/>
  <c r="B46" i="28" s="1"/>
  <c r="D46" i="28" s="1"/>
  <c r="O67" i="13"/>
  <c r="O19" i="10"/>
  <c r="O20" i="10" s="1"/>
  <c r="I6" i="28"/>
  <c r="P19" i="10"/>
  <c r="L59" i="6"/>
  <c r="Q59" i="6" s="1"/>
  <c r="N19" i="10"/>
  <c r="L33" i="6"/>
  <c r="Q33" i="6" s="1"/>
  <c r="L20" i="10"/>
  <c r="Q7" i="6"/>
  <c r="C7" i="6" s="1"/>
  <c r="H21" i="6"/>
  <c r="B21" i="28" s="1"/>
  <c r="D21" i="28" s="1"/>
  <c r="Q7" i="28" s="1"/>
  <c r="Q17" i="28" s="1"/>
  <c r="Q22" i="6"/>
  <c r="C22" i="6" s="1"/>
  <c r="Q8" i="6"/>
  <c r="C8" i="6" s="1"/>
  <c r="E46" i="28" l="1"/>
  <c r="S6" i="28"/>
  <c r="S16" i="28" s="1"/>
  <c r="I7" i="28"/>
  <c r="E21" i="28"/>
  <c r="L47" i="6"/>
  <c r="Q47" i="6" s="1"/>
  <c r="C47" i="6" s="1"/>
  <c r="H47" i="6" s="1"/>
  <c r="B47" i="28" s="1"/>
  <c r="D47" i="28" s="1"/>
  <c r="E47" i="28" s="1"/>
  <c r="H7" i="6"/>
  <c r="B7" i="28" s="1"/>
  <c r="D7" i="28" s="1"/>
  <c r="H6" i="28" s="1"/>
  <c r="C59" i="6"/>
  <c r="H59" i="6" s="1"/>
  <c r="B59" i="28" s="1"/>
  <c r="D59" i="28" s="1"/>
  <c r="K6" i="28"/>
  <c r="C33" i="6"/>
  <c r="H33" i="6" s="1"/>
  <c r="B33" i="28" s="1"/>
  <c r="D33" i="28" s="1"/>
  <c r="R6" i="28" s="1"/>
  <c r="R16" i="28" s="1"/>
  <c r="L21" i="10"/>
  <c r="L22" i="10" s="1"/>
  <c r="L23" i="10" s="1"/>
  <c r="L24" i="10" s="1"/>
  <c r="P20" i="10"/>
  <c r="L60" i="6"/>
  <c r="Q60" i="6" s="1"/>
  <c r="O21" i="10"/>
  <c r="L48" i="6"/>
  <c r="Q48" i="6" s="1"/>
  <c r="L72" i="6"/>
  <c r="N20" i="10"/>
  <c r="L34" i="6"/>
  <c r="L9" i="6"/>
  <c r="Q9" i="6" s="1"/>
  <c r="C9" i="6" s="1"/>
  <c r="H22" i="6"/>
  <c r="B22" i="28" s="1"/>
  <c r="D22" i="28" s="1"/>
  <c r="H8" i="6"/>
  <c r="Q23" i="6"/>
  <c r="C23" i="6" s="1"/>
  <c r="E59" i="28" l="1"/>
  <c r="T6" i="28"/>
  <c r="T16" i="28" s="1"/>
  <c r="E7" i="28"/>
  <c r="P6" i="28"/>
  <c r="P16" i="28" s="1"/>
  <c r="E22" i="28"/>
  <c r="Q8" i="28"/>
  <c r="Q18" i="28" s="1"/>
  <c r="E33" i="28"/>
  <c r="L6" i="28"/>
  <c r="C60" i="6"/>
  <c r="H60" i="6" s="1"/>
  <c r="B60" i="28" s="1"/>
  <c r="D60" i="28" s="1"/>
  <c r="C72" i="6"/>
  <c r="H72" i="6" s="1"/>
  <c r="C48" i="6"/>
  <c r="H48" i="6" s="1"/>
  <c r="B48" i="28" s="1"/>
  <c r="D48" i="28" s="1"/>
  <c r="B73" i="28"/>
  <c r="D73" i="28" s="1"/>
  <c r="U16" i="28" s="1"/>
  <c r="J6" i="28"/>
  <c r="I8" i="28"/>
  <c r="K7" i="28"/>
  <c r="S7" i="28"/>
  <c r="S17" i="28" s="1"/>
  <c r="B8" i="28"/>
  <c r="L10" i="6"/>
  <c r="Q10" i="6" s="1"/>
  <c r="C10" i="6" s="1"/>
  <c r="P21" i="10"/>
  <c r="L61" i="6"/>
  <c r="Q61" i="6" s="1"/>
  <c r="O22" i="10"/>
  <c r="L49" i="6"/>
  <c r="Q49" i="6" s="1"/>
  <c r="Q72" i="6"/>
  <c r="Q34" i="6"/>
  <c r="L73" i="6"/>
  <c r="N21" i="10"/>
  <c r="L35" i="6"/>
  <c r="Q35" i="6" s="1"/>
  <c r="L11" i="6"/>
  <c r="Q24" i="6"/>
  <c r="C24" i="6" s="1"/>
  <c r="H9" i="6"/>
  <c r="H23" i="6"/>
  <c r="B23" i="28" s="1"/>
  <c r="D23" i="28" s="1"/>
  <c r="E60" i="28" l="1"/>
  <c r="T7" i="28"/>
  <c r="T17" i="28" s="1"/>
  <c r="E23" i="28"/>
  <c r="Q9" i="28"/>
  <c r="Q19" i="28" s="1"/>
  <c r="S8" i="28"/>
  <c r="S18" i="28" s="1"/>
  <c r="E48" i="28"/>
  <c r="M6" i="28"/>
  <c r="E73" i="28"/>
  <c r="L7" i="28"/>
  <c r="C61" i="6"/>
  <c r="H61" i="6" s="1"/>
  <c r="B61" i="28" s="1"/>
  <c r="D61" i="28" s="1"/>
  <c r="K8" i="28"/>
  <c r="C49" i="6"/>
  <c r="H49" i="6" s="1"/>
  <c r="B49" i="28" s="1"/>
  <c r="D49" i="28" s="1"/>
  <c r="E49" i="28" s="1"/>
  <c r="C34" i="6"/>
  <c r="H34" i="6" s="1"/>
  <c r="B34" i="28" s="1"/>
  <c r="C35" i="6"/>
  <c r="H35" i="6" s="1"/>
  <c r="B35" i="28" s="1"/>
  <c r="D35" i="28" s="1"/>
  <c r="I9" i="28"/>
  <c r="B9" i="28"/>
  <c r="D8" i="28"/>
  <c r="P22" i="10"/>
  <c r="L62" i="6"/>
  <c r="Q62" i="6" s="1"/>
  <c r="O23" i="10"/>
  <c r="L50" i="6"/>
  <c r="Q50" i="6" s="1"/>
  <c r="L74" i="6"/>
  <c r="Q74" i="6" s="1"/>
  <c r="N22" i="10"/>
  <c r="L36" i="6"/>
  <c r="Q73" i="6"/>
  <c r="H24" i="6"/>
  <c r="B24" i="28" s="1"/>
  <c r="D24" i="28" s="1"/>
  <c r="L12" i="6"/>
  <c r="Q25" i="6"/>
  <c r="C25" i="6" s="1"/>
  <c r="H10" i="6"/>
  <c r="B10" i="28" s="1"/>
  <c r="Q11" i="6"/>
  <c r="C11" i="6" s="1"/>
  <c r="E61" i="28" l="1"/>
  <c r="T8" i="28"/>
  <c r="T18" i="28" s="1"/>
  <c r="E8" i="28"/>
  <c r="P7" i="28"/>
  <c r="P17" i="28" s="1"/>
  <c r="E24" i="28"/>
  <c r="Q10" i="28"/>
  <c r="Q20" i="28" s="1"/>
  <c r="E35" i="28"/>
  <c r="R8" i="28"/>
  <c r="R18" i="28" s="1"/>
  <c r="C74" i="6"/>
  <c r="H74" i="6" s="1"/>
  <c r="C73" i="6"/>
  <c r="H73" i="6" s="1"/>
  <c r="C62" i="6"/>
  <c r="H62" i="6" s="1"/>
  <c r="B62" i="28" s="1"/>
  <c r="D62" i="28" s="1"/>
  <c r="S9" i="28"/>
  <c r="S19" i="28" s="1"/>
  <c r="K9" i="28"/>
  <c r="C50" i="6"/>
  <c r="H50" i="6" s="1"/>
  <c r="B50" i="28" s="1"/>
  <c r="D50" i="28" s="1"/>
  <c r="E50" i="28" s="1"/>
  <c r="D34" i="28"/>
  <c r="B74" i="28"/>
  <c r="D74" i="28" s="1"/>
  <c r="I10" i="28"/>
  <c r="B75" i="28"/>
  <c r="D75" i="28" s="1"/>
  <c r="U8" i="28" s="1"/>
  <c r="U18" i="28" s="1"/>
  <c r="D9" i="28"/>
  <c r="L8" i="28"/>
  <c r="H7" i="28"/>
  <c r="J8" i="28"/>
  <c r="D10" i="28"/>
  <c r="P23" i="10"/>
  <c r="L63" i="6"/>
  <c r="Q63" i="6" s="1"/>
  <c r="O24" i="10"/>
  <c r="L52" i="6" s="1"/>
  <c r="L53" i="6" s="1"/>
  <c r="L51" i="6"/>
  <c r="Q51" i="6" s="1"/>
  <c r="Q36" i="6"/>
  <c r="L75" i="6"/>
  <c r="N23" i="10"/>
  <c r="L37" i="6"/>
  <c r="H25" i="6"/>
  <c r="B25" i="28" s="1"/>
  <c r="D25" i="28" s="1"/>
  <c r="L13" i="6"/>
  <c r="L27" i="6"/>
  <c r="Q12" i="6"/>
  <c r="C12" i="6" s="1"/>
  <c r="M7" i="28" l="1"/>
  <c r="U7" i="28"/>
  <c r="U17" i="28" s="1"/>
  <c r="E10" i="28"/>
  <c r="P9" i="28"/>
  <c r="P19" i="28" s="1"/>
  <c r="E25" i="28"/>
  <c r="Q11" i="28"/>
  <c r="Q21" i="28" s="1"/>
  <c r="E9" i="28"/>
  <c r="P8" i="28"/>
  <c r="P18" i="28" s="1"/>
  <c r="E62" i="28"/>
  <c r="T9" i="28"/>
  <c r="T19" i="28" s="1"/>
  <c r="E34" i="28"/>
  <c r="R7" i="28"/>
  <c r="R17" i="28" s="1"/>
  <c r="E74" i="28"/>
  <c r="M8" i="28"/>
  <c r="E75" i="28"/>
  <c r="H9" i="28"/>
  <c r="C63" i="6"/>
  <c r="H63" i="6" s="1"/>
  <c r="B63" i="28" s="1"/>
  <c r="D63" i="28" s="1"/>
  <c r="T10" i="28" s="1"/>
  <c r="T20" i="28" s="1"/>
  <c r="S10" i="28"/>
  <c r="S20" i="28" s="1"/>
  <c r="K10" i="28"/>
  <c r="C51" i="6"/>
  <c r="H51" i="6" s="1"/>
  <c r="B51" i="28" s="1"/>
  <c r="D51" i="28" s="1"/>
  <c r="E51" i="28" s="1"/>
  <c r="C36" i="6"/>
  <c r="H36" i="6" s="1"/>
  <c r="B36" i="28" s="1"/>
  <c r="J7" i="28"/>
  <c r="L9" i="28"/>
  <c r="H8" i="28"/>
  <c r="I11" i="28"/>
  <c r="P24" i="10"/>
  <c r="L65" i="6" s="1"/>
  <c r="L66" i="6" s="1"/>
  <c r="L64" i="6"/>
  <c r="Q64" i="6" s="1"/>
  <c r="Q37" i="6"/>
  <c r="L76" i="6"/>
  <c r="N24" i="10"/>
  <c r="L39" i="6" s="1"/>
  <c r="L40" i="6" s="1"/>
  <c r="L38" i="6"/>
  <c r="Q75" i="6"/>
  <c r="L14" i="6"/>
  <c r="H11" i="6"/>
  <c r="Q26" i="6"/>
  <c r="C26" i="6" s="1"/>
  <c r="Q52" i="6"/>
  <c r="C52" i="6" s="1"/>
  <c r="Q13" i="6"/>
  <c r="C13" i="6" s="1"/>
  <c r="E63" i="28" l="1"/>
  <c r="C75" i="6"/>
  <c r="H75" i="6" s="1"/>
  <c r="L10" i="28"/>
  <c r="C64" i="6"/>
  <c r="H64" i="6" s="1"/>
  <c r="B64" i="28" s="1"/>
  <c r="D64" i="28" s="1"/>
  <c r="S11" i="28"/>
  <c r="S21" i="28" s="1"/>
  <c r="K11" i="28"/>
  <c r="D36" i="28"/>
  <c r="B76" i="28"/>
  <c r="D76" i="28" s="1"/>
  <c r="U9" i="28" s="1"/>
  <c r="U19" i="28" s="1"/>
  <c r="C37" i="6"/>
  <c r="H37" i="6" s="1"/>
  <c r="B37" i="28" s="1"/>
  <c r="D37" i="28" s="1"/>
  <c r="B11" i="28"/>
  <c r="Q65" i="6"/>
  <c r="Q38" i="6"/>
  <c r="L77" i="6"/>
  <c r="Q76" i="6"/>
  <c r="Q39" i="6"/>
  <c r="L78" i="6"/>
  <c r="Q78" i="6" s="1"/>
  <c r="Q79" i="6" s="1"/>
  <c r="H12" i="6"/>
  <c r="B12" i="28" s="1"/>
  <c r="C14" i="6"/>
  <c r="Q27" i="6"/>
  <c r="H26" i="6"/>
  <c r="B26" i="28" s="1"/>
  <c r="Q53" i="6"/>
  <c r="H52" i="6"/>
  <c r="B52" i="28" s="1"/>
  <c r="Q14" i="6"/>
  <c r="E37" i="28" l="1"/>
  <c r="R10" i="28"/>
  <c r="R20" i="28" s="1"/>
  <c r="E36" i="28"/>
  <c r="R9" i="28"/>
  <c r="R19" i="28" s="1"/>
  <c r="E64" i="28"/>
  <c r="T11" i="28"/>
  <c r="T21" i="28" s="1"/>
  <c r="M9" i="28"/>
  <c r="E76" i="28"/>
  <c r="C76" i="6"/>
  <c r="H76" i="6" s="1"/>
  <c r="C65" i="6"/>
  <c r="H65" i="6" s="1"/>
  <c r="J10" i="28"/>
  <c r="C38" i="6"/>
  <c r="C77" i="6" s="1"/>
  <c r="C39" i="6"/>
  <c r="C40" i="6" s="1"/>
  <c r="J9" i="28"/>
  <c r="B53" i="28"/>
  <c r="D52" i="28"/>
  <c r="L11" i="28"/>
  <c r="B27" i="28"/>
  <c r="D26" i="28"/>
  <c r="D12" i="28"/>
  <c r="B77" i="28"/>
  <c r="D77" i="28" s="1"/>
  <c r="U10" i="28" s="1"/>
  <c r="U20" i="28" s="1"/>
  <c r="D11" i="28"/>
  <c r="Q66" i="6"/>
  <c r="L79" i="6"/>
  <c r="Q40" i="6"/>
  <c r="Q77" i="6"/>
  <c r="H13" i="6"/>
  <c r="H53" i="6"/>
  <c r="C53" i="6"/>
  <c r="H27" i="6"/>
  <c r="C27" i="6"/>
  <c r="E12" i="28" l="1"/>
  <c r="P11" i="28"/>
  <c r="P21" i="28" s="1"/>
  <c r="E26" i="28"/>
  <c r="Q12" i="28"/>
  <c r="Q22" i="28" s="1"/>
  <c r="E11" i="28"/>
  <c r="P10" i="28"/>
  <c r="P20" i="28" s="1"/>
  <c r="E52" i="28"/>
  <c r="D53" i="28"/>
  <c r="M10" i="28"/>
  <c r="E77" i="28"/>
  <c r="B65" i="28"/>
  <c r="H66" i="6"/>
  <c r="C66" i="6"/>
  <c r="H39" i="6"/>
  <c r="C78" i="6"/>
  <c r="C79" i="6" s="1"/>
  <c r="H38" i="6"/>
  <c r="B38" i="28" s="1"/>
  <c r="B13" i="28"/>
  <c r="I12" i="28"/>
  <c r="I13" i="28" s="1"/>
  <c r="D27" i="28"/>
  <c r="H11" i="28"/>
  <c r="K12" i="28"/>
  <c r="K13" i="28" s="1"/>
  <c r="S12" i="28"/>
  <c r="H10" i="28"/>
  <c r="H77" i="6"/>
  <c r="H14" i="6"/>
  <c r="S22" i="28" l="1"/>
  <c r="Q23" i="28"/>
  <c r="H78" i="6"/>
  <c r="H79" i="6" s="1"/>
  <c r="D65" i="28"/>
  <c r="B66" i="28"/>
  <c r="D38" i="28"/>
  <c r="B78" i="28"/>
  <c r="D78" i="28" s="1"/>
  <c r="U11" i="28" s="1"/>
  <c r="U21" i="28" s="1"/>
  <c r="B39" i="28"/>
  <c r="B79" i="28" s="1"/>
  <c r="H40" i="6"/>
  <c r="B14" i="28"/>
  <c r="D13" i="28"/>
  <c r="E38" i="28" l="1"/>
  <c r="R11" i="28"/>
  <c r="R21" i="28" s="1"/>
  <c r="E65" i="28"/>
  <c r="T12" i="28"/>
  <c r="T22" i="28" s="1"/>
  <c r="S23" i="28"/>
  <c r="E13" i="28"/>
  <c r="P12" i="28"/>
  <c r="P22" i="28" s="1"/>
  <c r="D14" i="28"/>
  <c r="M11" i="28"/>
  <c r="E78" i="28"/>
  <c r="D66" i="28"/>
  <c r="L12" i="28"/>
  <c r="L13" i="28" s="1"/>
  <c r="B40" i="28"/>
  <c r="D39" i="28"/>
  <c r="J11" i="28"/>
  <c r="H12" i="28"/>
  <c r="H13" i="28" s="1"/>
  <c r="B80" i="28"/>
  <c r="D79" i="28"/>
  <c r="M12" i="28" l="1"/>
  <c r="U12" i="28"/>
  <c r="P23" i="28"/>
  <c r="T23" i="28"/>
  <c r="E39" i="28"/>
  <c r="R12" i="28"/>
  <c r="R22" i="28" s="1"/>
  <c r="M13" i="28"/>
  <c r="E79" i="28"/>
  <c r="D80" i="28"/>
  <c r="D40" i="28"/>
  <c r="J12" i="28"/>
  <c r="J13" i="28" s="1"/>
  <c r="U22" i="28" l="1"/>
  <c r="R23" i="28"/>
  <c r="U23" i="28" l="1"/>
</calcChain>
</file>

<file path=xl/sharedStrings.xml><?xml version="1.0" encoding="utf-8"?>
<sst xmlns="http://schemas.openxmlformats.org/spreadsheetml/2006/main" count="1146" uniqueCount="215">
  <si>
    <t>Avskrivningstider</t>
  </si>
  <si>
    <t>Reduksjon i avskrivninger</t>
  </si>
  <si>
    <t>Egenfinansieringsgrad</t>
  </si>
  <si>
    <t>Reduksjon i avskrivninger per prisområde(Andel bokført verdi)</t>
  </si>
  <si>
    <t>Østlandet</t>
  </si>
  <si>
    <t>Sørlandet</t>
  </si>
  <si>
    <t>Midt-Norge</t>
  </si>
  <si>
    <t>Nord-Norge</t>
  </si>
  <si>
    <t>Vestlandet</t>
  </si>
  <si>
    <t>Arbeidskapital</t>
  </si>
  <si>
    <t>Distribusjonsnett</t>
  </si>
  <si>
    <t>Distribusjonsnett (Snitt av 2023 og 2024)</t>
  </si>
  <si>
    <t>Regionalnett</t>
  </si>
  <si>
    <t>Regionalnett  (Snitt av 2023 og 2024)</t>
  </si>
  <si>
    <t>Rente 2022</t>
  </si>
  <si>
    <t>Transmisjosnett</t>
  </si>
  <si>
    <t>Rente 2023</t>
  </si>
  <si>
    <t xml:space="preserve">Antall kunder </t>
  </si>
  <si>
    <t>Rente 2024</t>
  </si>
  <si>
    <t>Distribusjonsnett (Snitt 2019-2022)</t>
  </si>
  <si>
    <t>Rente 2025</t>
  </si>
  <si>
    <t>Andel av totalen</t>
  </si>
  <si>
    <t>Rente 2026</t>
  </si>
  <si>
    <t>Rente 2027</t>
  </si>
  <si>
    <t>Andel forbruk LA23</t>
  </si>
  <si>
    <t>Rente 2028</t>
  </si>
  <si>
    <t>Flaskehalsinntekter</t>
  </si>
  <si>
    <t>Rente 2029</t>
  </si>
  <si>
    <t>Investeringer D-nett</t>
  </si>
  <si>
    <t>Rente 2030</t>
  </si>
  <si>
    <t>Investeringer R-nett</t>
  </si>
  <si>
    <t>Inntekt fra innmating i R-nett</t>
  </si>
  <si>
    <t>Investeringer T-nett</t>
  </si>
  <si>
    <t>Snitt 2019-2021</t>
  </si>
  <si>
    <t>Kraftpris</t>
  </si>
  <si>
    <t>Inntekt fra innmating i D-nett</t>
  </si>
  <si>
    <t>KPI lønn faktor 2023/2021</t>
  </si>
  <si>
    <t>KPI faktor 2023/2021</t>
  </si>
  <si>
    <t>Skalering</t>
  </si>
  <si>
    <t>2023</t>
  </si>
  <si>
    <t>2024</t>
  </si>
  <si>
    <t>2025</t>
  </si>
  <si>
    <t>2026</t>
  </si>
  <si>
    <t>2027</t>
  </si>
  <si>
    <t>2028</t>
  </si>
  <si>
    <t>2029</t>
  </si>
  <si>
    <t>2030</t>
  </si>
  <si>
    <t>Økning 2023-2030</t>
  </si>
  <si>
    <t>Transmisjonsnett</t>
  </si>
  <si>
    <t>Forbruksendring</t>
  </si>
  <si>
    <t xml:space="preserve"> Østlandet</t>
  </si>
  <si>
    <t xml:space="preserve"> Sørlandet</t>
  </si>
  <si>
    <t xml:space="preserve"> Midt-Norge</t>
  </si>
  <si>
    <t xml:space="preserve"> Nord-Norge</t>
  </si>
  <si>
    <t xml:space="preserve"> Vestlandet</t>
  </si>
  <si>
    <t>Framskriving av nettap i MWh</t>
  </si>
  <si>
    <t>Distribusjon</t>
  </si>
  <si>
    <t>Regional</t>
  </si>
  <si>
    <t>Framskriving av kraftpris</t>
  </si>
  <si>
    <t>Kraftprisfutures, kr/MWh</t>
  </si>
  <si>
    <t>Inkl. 11 kr/MWh</t>
  </si>
  <si>
    <t>Hele landet</t>
  </si>
  <si>
    <t>DV</t>
  </si>
  <si>
    <t>BFV</t>
  </si>
  <si>
    <t>AVS</t>
  </si>
  <si>
    <t>Tap MWh</t>
  </si>
  <si>
    <t>Gammel kapital</t>
  </si>
  <si>
    <t>Ny kapital</t>
  </si>
  <si>
    <t>TAP MWh</t>
  </si>
  <si>
    <t>Tapskost.</t>
  </si>
  <si>
    <t>AVK</t>
  </si>
  <si>
    <t>IR</t>
  </si>
  <si>
    <t>Økning 2024-2030</t>
  </si>
  <si>
    <t>Sum</t>
  </si>
  <si>
    <t>Inntektsramme</t>
  </si>
  <si>
    <t>KON</t>
  </si>
  <si>
    <t>FoU</t>
  </si>
  <si>
    <t>Skatt</t>
  </si>
  <si>
    <t>Tidsetterslep</t>
  </si>
  <si>
    <t>Elhub&amp;Elbits</t>
  </si>
  <si>
    <t>TI</t>
  </si>
  <si>
    <t>Forventet utvikling Statnett (inkl. Nord Link) i faste 2023-priser</t>
  </si>
  <si>
    <t>Eiendomsskatt</t>
  </si>
  <si>
    <t>Systemansv.</t>
  </si>
  <si>
    <t>Transittkostnader</t>
  </si>
  <si>
    <t>Rente</t>
  </si>
  <si>
    <t>Elhub</t>
  </si>
  <si>
    <t>Elbits</t>
  </si>
  <si>
    <t>Årsforbruk (kWh)</t>
  </si>
  <si>
    <t>Forbruk MWh</t>
  </si>
  <si>
    <t>Sats</t>
  </si>
  <si>
    <t>Produksjon</t>
  </si>
  <si>
    <t>Næring</t>
  </si>
  <si>
    <t>R-nett</t>
  </si>
  <si>
    <t>Annen inntekt</t>
  </si>
  <si>
    <t>Inntekt u/prod.</t>
  </si>
  <si>
    <t>Industri</t>
  </si>
  <si>
    <t>D-nett</t>
  </si>
  <si>
    <t>Faktisk inntekt</t>
  </si>
  <si>
    <t>Husholdning</t>
  </si>
  <si>
    <t>Hytter</t>
  </si>
  <si>
    <t>Næring u/industri</t>
  </si>
  <si>
    <t>Innbetalte Elhub-gebyrer fra eRapp</t>
  </si>
  <si>
    <t>Andel Elhub-kostnader per nettnivå</t>
  </si>
  <si>
    <t>Transmisjon</t>
  </si>
  <si>
    <t>Andel</t>
  </si>
  <si>
    <t>Elhub-kostnader i regionalnettet per prisområde</t>
  </si>
  <si>
    <t xml:space="preserve">Elhub-kostnader i transmisjosnettet </t>
  </si>
  <si>
    <t>Elbits-kostnader</t>
  </si>
  <si>
    <t>Framskriving av kraftforbruk, GWh</t>
  </si>
  <si>
    <t>Kraftintensiv industri</t>
  </si>
  <si>
    <t>Hydrogen</t>
  </si>
  <si>
    <t>Batterifabrikker</t>
  </si>
  <si>
    <t>Datasentre</t>
  </si>
  <si>
    <t>Sum store kraftbrukere</t>
  </si>
  <si>
    <t>Endring store</t>
  </si>
  <si>
    <t>Transport</t>
  </si>
  <si>
    <t>Bygg</t>
  </si>
  <si>
    <t>Sum alminnelig forsyning</t>
  </si>
  <si>
    <t>Endring alminnelig</t>
  </si>
  <si>
    <t>Sum forbruk ekskl. nettap</t>
  </si>
  <si>
    <t>Petroleumsnæringen</t>
  </si>
  <si>
    <t>Andre næringer</t>
  </si>
  <si>
    <t>Endringsfaktor fra 2025</t>
  </si>
  <si>
    <t>Nøkler for fordeling per landsdel</t>
  </si>
  <si>
    <t>Inntekt fra produksjon</t>
  </si>
  <si>
    <t>Produksjon i distribusjonsnett</t>
  </si>
  <si>
    <t>Endring andel alminnelig</t>
  </si>
  <si>
    <t>Forbruk (MWh)</t>
  </si>
  <si>
    <t>Prisstigning 2021-2023</t>
  </si>
  <si>
    <t>Investeringer i 2023-kroner</t>
  </si>
  <si>
    <t>Transmisjonsnettet i 2023-priser</t>
  </si>
  <si>
    <t>Øre/kWh (faste 2023-priser)</t>
  </si>
  <si>
    <t>MVA</t>
  </si>
  <si>
    <t>øre/kWh</t>
  </si>
  <si>
    <t>Øre/kWh i faste 2023-priser</t>
  </si>
  <si>
    <t>Nettleie i faste 2023-priser 2024-2030</t>
  </si>
  <si>
    <t>Foutsetninger</t>
  </si>
  <si>
    <t>Bokført verdi (BFV)</t>
  </si>
  <si>
    <t>Kostnader til forskning og utvikling (FoU)</t>
  </si>
  <si>
    <t>Kostnader til forskning og utvikling (FoU) R-nett</t>
  </si>
  <si>
    <t>Framskrevet FoU-kostnad</t>
  </si>
  <si>
    <t>Framskrevet endring BFV</t>
  </si>
  <si>
    <t>Investeringsprognoser basert på spørreundersøkelse til nettselskaper høsten 2022</t>
  </si>
  <si>
    <t>Investeringsprognoser hentet fra PlanNett (uttrekk 10.04.24)</t>
  </si>
  <si>
    <t>Gjennomsnitt 18-22</t>
  </si>
  <si>
    <t>Framskrevede elbitskostnader</t>
  </si>
  <si>
    <t>Innholdsfortegnelse:</t>
  </si>
  <si>
    <t>- Nettleie 2024-2030</t>
  </si>
  <si>
    <t>- Forutsetninger</t>
  </si>
  <si>
    <t>- Investeringer</t>
  </si>
  <si>
    <t xml:space="preserve"> - Nettap</t>
  </si>
  <si>
    <t xml:space="preserve"> - IR 2023-2024</t>
  </si>
  <si>
    <t xml:space="preserve"> - Østlandet IR 2023-2030</t>
  </si>
  <si>
    <t xml:space="preserve"> - Sørlandet IR 2023-2030</t>
  </si>
  <si>
    <t xml:space="preserve"> - Midt-Norge IR 2023-2030</t>
  </si>
  <si>
    <t xml:space="preserve"> - Nord-Norge IR 2023-2030</t>
  </si>
  <si>
    <t xml:space="preserve"> - Vestlandet IR 2023-2030</t>
  </si>
  <si>
    <t xml:space="preserve"> - IR T-nett 2024-2030</t>
  </si>
  <si>
    <t xml:space="preserve"> - Tidsetterslep</t>
  </si>
  <si>
    <t xml:space="preserve"> - FoU</t>
  </si>
  <si>
    <t xml:space="preserve"> - Skatt</t>
  </si>
  <si>
    <t xml:space="preserve"> - KON</t>
  </si>
  <si>
    <t xml:space="preserve"> - Elhub&amp;Elbits</t>
  </si>
  <si>
    <t xml:space="preserve"> - TI 2024-2030</t>
  </si>
  <si>
    <t xml:space="preserve"> - Forbruk MWh</t>
  </si>
  <si>
    <t xml:space="preserve"> - Fordelingsnøkler</t>
  </si>
  <si>
    <t xml:space="preserve"> Hvilke forutsetninger som er lagt til grunn for framskrivingen finner du i "Forutsetninger". Her kan du selv endre på forutsetningene for å se hvilke utslag de har for uviklingen av nettleien fremover mot 2030. </t>
  </si>
  <si>
    <t>I "Fordelingsnøkler" finner du hvordan vi har fordelt kostnaderelementene per landsdel.</t>
  </si>
  <si>
    <t>Vedlegg til RMEs framskriving av nettleie i lokalt distribusjonsnett 2024-2030</t>
  </si>
  <si>
    <t>Tilbake til introduksjon</t>
  </si>
  <si>
    <t>KPI-faktor</t>
  </si>
  <si>
    <t>Regnearket er bygget opp slik at resultatet av framskrivningen finner du i "Nettleie 2024-2030".</t>
  </si>
  <si>
    <t>Gjennomsnitt</t>
  </si>
  <si>
    <t>Regionalnett(uten Statnett)</t>
  </si>
  <si>
    <t>Inntekt for regionalnettet</t>
  </si>
  <si>
    <t>Inntekt for transmisjonsnettet</t>
  </si>
  <si>
    <t>Inntekt for distribusjonsnettet</t>
  </si>
  <si>
    <t>Andel Elhub-kostnader per prisområde</t>
  </si>
  <si>
    <t>Andel Elhub-kosnader per prisområde</t>
  </si>
  <si>
    <t>Elhub-kostnader per prisområde</t>
  </si>
  <si>
    <t>Anslag årlig gebyrnivå for nettselskapene i Elhub</t>
  </si>
  <si>
    <t>2023-2030</t>
  </si>
  <si>
    <t>Andel Elbits-kostnader per prisområde</t>
  </si>
  <si>
    <t xml:space="preserve">Transmisjonsnett </t>
  </si>
  <si>
    <t>Andel Elbits-kostnader tilhørende Statnett</t>
  </si>
  <si>
    <t>Elbits-kostnader per prisområde</t>
  </si>
  <si>
    <t>Totalt</t>
  </si>
  <si>
    <t>Referanserente 2022-2030</t>
  </si>
  <si>
    <t>Andelen KON fra overliggende nett</t>
  </si>
  <si>
    <t>Framskrevet andel KON per landsdel - varierer med forbruk</t>
  </si>
  <si>
    <t>For spørsmål, send epost til RME på rme@nve.no og merk med referansenummer 202409649.</t>
  </si>
  <si>
    <t>Nettap</t>
  </si>
  <si>
    <t>IR 2023-2024</t>
  </si>
  <si>
    <t>Østlandet IR 2023-2030</t>
  </si>
  <si>
    <t>Sørlandet IR 2023-2030</t>
  </si>
  <si>
    <t>Midt-Norge IR 2023-2030</t>
  </si>
  <si>
    <t>Nord-Norge IR 2023-2030</t>
  </si>
  <si>
    <t>Vestlandet IR 2023-2030</t>
  </si>
  <si>
    <t>IR T-nett 2024-2030</t>
  </si>
  <si>
    <t>Kostnader i overliggende nett (KON)</t>
  </si>
  <si>
    <t>TI 2024-2030</t>
  </si>
  <si>
    <t>TI T-nett 2024-2030</t>
  </si>
  <si>
    <t>KPI lønn faktor 2023/2022</t>
  </si>
  <si>
    <t>KPI faktor 2023/2022</t>
  </si>
  <si>
    <t>Utvikling i %</t>
  </si>
  <si>
    <t>Elavgift</t>
  </si>
  <si>
    <t>Nettleie i faste 2023-priser eksl. avgifter</t>
  </si>
  <si>
    <t>Nettleie i øre/kWh inkl. avgifter</t>
  </si>
  <si>
    <t xml:space="preserve">Nettleie i faste 2023-priser inkl. avgifter </t>
  </si>
  <si>
    <t>RME Rapport nr. 6/2024</t>
  </si>
  <si>
    <t>Tillatt inntekt</t>
  </si>
  <si>
    <t>https://publikasjoner.nve.no/rme_rapport/2024/rme_rapport2024_06.pdf</t>
  </si>
  <si>
    <t>Dette er et vedlegg til RMEs framskriving av nettleie i lokalt distribusjonsnett i perioden 2024 til 2030, publisert i september 2024.</t>
  </si>
  <si>
    <t>Beskrivelsen av våre vurderinger finner du i rapporten Framskriving av nettleie i lokalt distribusjonsnett 2024-2030: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</si>
</sst>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
    <numFmt numFmtId="166" formatCode="_ * #,##0_ ;_ * \-#,##0_ ;_ * &quot;-&quot;??_ ;_ @_ "/>
    <numFmt numFmtId="167" formatCode="_ * #,##0.000_ ;_ * \-#,##0.000_ ;_ * &quot;-&quot;??_ ;_ @_ "/>
    <numFmt numFmtId="168" formatCode="0.0000\ %"/>
    <numFmt numFmtId="169" formatCode="_-* #,##0_-;\-* #,##0_-;_-* &quot;-&quot;?_-;_-@_-"/>
    <numFmt numFmtId="170" formatCode="0.000"/>
    <numFmt numFmtId="171" formatCode="_-* #,##0_-;\-* #,##0_-;_-* &quot;-&quot;??_-;_-@_-"/>
    <numFmt numFmtId="172" formatCode="_-* #,##0.0_-;\-* #,##0.0_-;_-* &quot;-&quot;?_-;_-@_-"/>
    <numFmt numFmtId="173" formatCode="0.000\ %"/>
  </numFmts>
  <fonts count="23" x14ac:knownFonts="1">
    <font>
      <sz val="11"/>
      <color theme="1"/>
      <name val="Source Sans Pro"/>
      <family val="2"/>
      <scheme val="minor"/>
    </font>
    <font>
      <sz val="11"/>
      <color theme="1"/>
      <name val="Source Sans Pro"/>
      <family val="2"/>
      <scheme val="minor"/>
    </font>
    <font>
      <b/>
      <sz val="11"/>
      <color theme="1"/>
      <name val="Source Sans Pro"/>
      <family val="2"/>
      <scheme val="minor"/>
    </font>
    <font>
      <sz val="11"/>
      <color rgb="FF000000"/>
      <name val="Calibri"/>
      <family val="2"/>
    </font>
    <font>
      <b/>
      <sz val="11"/>
      <name val="Calibri"/>
      <family val="2"/>
    </font>
    <font>
      <b/>
      <sz val="11"/>
      <color rgb="FF000000"/>
      <name val="Calibri"/>
      <family val="2"/>
    </font>
    <font>
      <b/>
      <sz val="11"/>
      <color rgb="FFFF0000"/>
      <name val="Source Sans Pro"/>
      <family val="2"/>
      <scheme val="minor"/>
    </font>
    <font>
      <b/>
      <sz val="11"/>
      <name val="Source Sans Pro"/>
      <family val="2"/>
      <scheme val="minor"/>
    </font>
    <font>
      <sz val="11"/>
      <name val="Source Sans Pro"/>
      <family val="2"/>
      <scheme val="minor"/>
    </font>
    <font>
      <sz val="11"/>
      <color rgb="FFFF0000"/>
      <name val="Source Sans Pro"/>
      <family val="2"/>
      <scheme val="minor"/>
    </font>
    <font>
      <sz val="8"/>
      <name val="Source Sans Pro"/>
      <family val="2"/>
      <scheme val="minor"/>
    </font>
    <font>
      <sz val="11"/>
      <color theme="9"/>
      <name val="Source Sans Pro"/>
      <family val="2"/>
      <scheme val="minor"/>
    </font>
    <font>
      <sz val="11"/>
      <color rgb="FF000000"/>
      <name val="Source Sans Pro"/>
      <family val="2"/>
      <scheme val="minor"/>
    </font>
    <font>
      <b/>
      <sz val="12"/>
      <color theme="1"/>
      <name val="Source Sans Pro"/>
      <family val="2"/>
      <scheme val="minor"/>
    </font>
    <font>
      <sz val="11"/>
      <name val="Calibri"/>
      <family val="2"/>
    </font>
    <font>
      <b/>
      <sz val="14"/>
      <color theme="1"/>
      <name val="Source Sans Pro"/>
      <family val="2"/>
      <scheme val="minor"/>
    </font>
    <font>
      <b/>
      <sz val="11"/>
      <color theme="0"/>
      <name val="Source Sans Pro"/>
      <family val="2"/>
      <scheme val="minor"/>
    </font>
    <font>
      <sz val="11"/>
      <color theme="0"/>
      <name val="Source Sans Pro"/>
      <family val="2"/>
      <scheme val="minor"/>
    </font>
    <font>
      <b/>
      <sz val="14"/>
      <color theme="0"/>
      <name val="Source Sans Pro"/>
      <family val="2"/>
      <scheme val="minor"/>
    </font>
    <font>
      <u/>
      <sz val="11"/>
      <color theme="10"/>
      <name val="Source Sans Pro"/>
      <family val="2"/>
      <scheme val="minor"/>
    </font>
    <font>
      <sz val="11"/>
      <color theme="5"/>
      <name val="Source Sans Pro"/>
      <family val="2"/>
      <scheme val="minor"/>
    </font>
    <font>
      <sz val="11"/>
      <color rgb="FF053838"/>
      <name val="Source Sans Pro"/>
      <family val="2"/>
      <scheme val="minor"/>
    </font>
    <font>
      <u/>
      <sz val="11"/>
      <color theme="1"/>
      <name val="Source Sans Pro"/>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bgColor indexed="64"/>
      </patternFill>
    </fill>
    <fill>
      <patternFill patternType="solid">
        <fgColor theme="5"/>
        <bgColor indexed="64"/>
      </patternFill>
    </fill>
    <fill>
      <patternFill patternType="solid">
        <fgColor theme="2"/>
        <bgColor indexed="64"/>
      </patternFill>
    </fill>
    <fill>
      <patternFill patternType="solid">
        <fgColor rgb="FFE8FCE8"/>
        <bgColor indexed="64"/>
      </patternFill>
    </fill>
    <fill>
      <patternFill patternType="solid">
        <fgColor rgb="FF109E9E"/>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cellStyleXfs>
  <cellXfs count="194">
    <xf numFmtId="0" fontId="0" fillId="0" borderId="0" xfId="0"/>
    <xf numFmtId="9" fontId="0" fillId="0" borderId="0" xfId="2" applyFont="1"/>
    <xf numFmtId="0" fontId="0" fillId="3" borderId="0" xfId="0" applyFill="1"/>
    <xf numFmtId="0" fontId="2" fillId="2" borderId="3" xfId="0" applyFont="1" applyFill="1" applyBorder="1"/>
    <xf numFmtId="0" fontId="2" fillId="2" borderId="4" xfId="0" applyFont="1" applyFill="1" applyBorder="1"/>
    <xf numFmtId="0" fontId="0" fillId="2" borderId="1" xfId="0" applyFill="1" applyBorder="1"/>
    <xf numFmtId="0" fontId="2" fillId="2" borderId="1" xfId="0" applyFont="1" applyFill="1" applyBorder="1" applyAlignment="1">
      <alignment horizontal="center"/>
    </xf>
    <xf numFmtId="0" fontId="2" fillId="2" borderId="1" xfId="0" applyFont="1" applyFill="1" applyBorder="1"/>
    <xf numFmtId="9" fontId="0" fillId="2" borderId="1" xfId="2" applyFont="1" applyFill="1" applyBorder="1"/>
    <xf numFmtId="0" fontId="0" fillId="2" borderId="0" xfId="0" applyFill="1"/>
    <xf numFmtId="9" fontId="0" fillId="2" borderId="0" xfId="2" applyFont="1" applyFill="1"/>
    <xf numFmtId="169" fontId="0" fillId="2" borderId="0" xfId="0" applyNumberFormat="1" applyFill="1"/>
    <xf numFmtId="165" fontId="0" fillId="2" borderId="1" xfId="2" applyNumberFormat="1" applyFont="1" applyFill="1" applyBorder="1"/>
    <xf numFmtId="166" fontId="0" fillId="2" borderId="0" xfId="2" applyNumberFormat="1" applyFont="1" applyFill="1"/>
    <xf numFmtId="166" fontId="0" fillId="2" borderId="0" xfId="0" applyNumberFormat="1" applyFill="1"/>
    <xf numFmtId="2" fontId="0" fillId="2" borderId="0" xfId="0" applyNumberFormat="1" applyFill="1"/>
    <xf numFmtId="0" fontId="2" fillId="2" borderId="0" xfId="0" applyFont="1" applyFill="1"/>
    <xf numFmtId="165" fontId="0" fillId="2" borderId="0" xfId="2" applyNumberFormat="1" applyFont="1" applyFill="1"/>
    <xf numFmtId="43" fontId="0" fillId="2" borderId="0" xfId="0" applyNumberFormat="1" applyFill="1"/>
    <xf numFmtId="3" fontId="0" fillId="2" borderId="0" xfId="0" applyNumberFormat="1" applyFill="1"/>
    <xf numFmtId="1" fontId="0" fillId="2" borderId="0" xfId="0" applyNumberFormat="1" applyFill="1"/>
    <xf numFmtId="0" fontId="13" fillId="2" borderId="2" xfId="0" applyFont="1" applyFill="1" applyBorder="1"/>
    <xf numFmtId="166" fontId="13" fillId="2" borderId="4" xfId="1" applyNumberFormat="1" applyFont="1" applyFill="1" applyBorder="1"/>
    <xf numFmtId="0" fontId="0" fillId="2" borderId="2" xfId="0" applyFill="1" applyBorder="1"/>
    <xf numFmtId="164" fontId="2" fillId="2" borderId="1" xfId="1" applyFont="1" applyFill="1" applyBorder="1"/>
    <xf numFmtId="10" fontId="0" fillId="2" borderId="0" xfId="0" applyNumberFormat="1" applyFill="1"/>
    <xf numFmtId="10" fontId="0" fillId="2" borderId="0" xfId="2" applyNumberFormat="1" applyFont="1" applyFill="1" applyBorder="1"/>
    <xf numFmtId="0" fontId="9" fillId="2" borderId="0" xfId="0" applyFont="1" applyFill="1"/>
    <xf numFmtId="0" fontId="2" fillId="2" borderId="5" xfId="0" applyFont="1" applyFill="1" applyBorder="1" applyAlignment="1">
      <alignment horizontal="center"/>
    </xf>
    <xf numFmtId="10" fontId="2" fillId="2" borderId="0" xfId="0" applyNumberFormat="1" applyFont="1" applyFill="1"/>
    <xf numFmtId="167" fontId="2" fillId="2" borderId="0" xfId="1" applyNumberFormat="1" applyFont="1" applyFill="1"/>
    <xf numFmtId="0" fontId="8" fillId="2" borderId="0" xfId="0" applyFont="1" applyFill="1"/>
    <xf numFmtId="0" fontId="7" fillId="2" borderId="0" xfId="0" applyFont="1" applyFill="1"/>
    <xf numFmtId="166" fontId="8" fillId="2" borderId="0" xfId="1" applyNumberFormat="1" applyFont="1" applyFill="1" applyBorder="1"/>
    <xf numFmtId="166" fontId="0" fillId="2" borderId="0" xfId="1" applyNumberFormat="1" applyFont="1" applyFill="1" applyBorder="1"/>
    <xf numFmtId="0" fontId="2" fillId="2" borderId="0" xfId="0" applyFont="1" applyFill="1" applyAlignment="1">
      <alignment horizontal="center"/>
    </xf>
    <xf numFmtId="171" fontId="0" fillId="2" borderId="0" xfId="0" applyNumberFormat="1" applyFill="1"/>
    <xf numFmtId="166" fontId="0" fillId="2" borderId="0" xfId="1" applyNumberFormat="1" applyFont="1" applyFill="1"/>
    <xf numFmtId="173" fontId="0" fillId="2" borderId="0" xfId="2" applyNumberFormat="1" applyFont="1" applyFill="1"/>
    <xf numFmtId="10" fontId="0" fillId="2" borderId="0" xfId="2" applyNumberFormat="1" applyFont="1" applyFill="1"/>
    <xf numFmtId="172" fontId="0" fillId="2" borderId="0" xfId="0" applyNumberFormat="1" applyFill="1"/>
    <xf numFmtId="171" fontId="0" fillId="2" borderId="0" xfId="1" applyNumberFormat="1" applyFont="1" applyFill="1"/>
    <xf numFmtId="0" fontId="0" fillId="2" borderId="0" xfId="0" applyFill="1" applyAlignment="1">
      <alignment wrapText="1"/>
    </xf>
    <xf numFmtId="173" fontId="0" fillId="2" borderId="0" xfId="0" applyNumberFormat="1" applyFill="1"/>
    <xf numFmtId="0" fontId="20" fillId="2" borderId="0" xfId="4" quotePrefix="1" applyFont="1" applyFill="1"/>
    <xf numFmtId="0" fontId="17" fillId="5" borderId="0" xfId="4" applyFont="1" applyFill="1"/>
    <xf numFmtId="0" fontId="17" fillId="2" borderId="0" xfId="4" applyFont="1" applyFill="1"/>
    <xf numFmtId="164" fontId="0" fillId="2" borderId="0" xfId="1" applyFont="1" applyFill="1" applyBorder="1"/>
    <xf numFmtId="9" fontId="0" fillId="2" borderId="0" xfId="2" applyFont="1" applyFill="1" applyBorder="1"/>
    <xf numFmtId="0" fontId="2" fillId="2" borderId="7" xfId="0" applyFont="1" applyFill="1" applyBorder="1"/>
    <xf numFmtId="0" fontId="2" fillId="2" borderId="7" xfId="0" applyFont="1" applyFill="1" applyBorder="1" applyAlignment="1">
      <alignment horizontal="center"/>
    </xf>
    <xf numFmtId="166" fontId="0" fillId="2" borderId="7" xfId="1" applyNumberFormat="1" applyFont="1" applyFill="1" applyBorder="1"/>
    <xf numFmtId="164" fontId="0" fillId="2" borderId="7" xfId="1" applyFont="1" applyFill="1" applyBorder="1"/>
    <xf numFmtId="0" fontId="2" fillId="2" borderId="8" xfId="0" applyFont="1" applyFill="1" applyBorder="1"/>
    <xf numFmtId="0" fontId="2" fillId="2" borderId="6" xfId="0" applyFont="1" applyFill="1" applyBorder="1"/>
    <xf numFmtId="0" fontId="2" fillId="6" borderId="6" xfId="0" applyFont="1" applyFill="1" applyBorder="1"/>
    <xf numFmtId="164" fontId="0" fillId="6" borderId="0" xfId="1" applyFont="1" applyFill="1" applyBorder="1"/>
    <xf numFmtId="166" fontId="2" fillId="2" borderId="0" xfId="1" applyNumberFormat="1" applyFont="1" applyFill="1" applyBorder="1"/>
    <xf numFmtId="166" fontId="0" fillId="2" borderId="7" xfId="0" applyNumberFormat="1" applyFill="1" applyBorder="1"/>
    <xf numFmtId="0" fontId="2" fillId="2" borderId="9" xfId="0" applyFont="1" applyFill="1" applyBorder="1"/>
    <xf numFmtId="164" fontId="0" fillId="2" borderId="0" xfId="0" applyNumberFormat="1" applyFill="1"/>
    <xf numFmtId="0" fontId="2" fillId="2" borderId="5" xfId="0" applyFont="1" applyFill="1" applyBorder="1"/>
    <xf numFmtId="166" fontId="0" fillId="6" borderId="0" xfId="0" applyNumberFormat="1" applyFill="1"/>
    <xf numFmtId="0" fontId="2" fillId="2" borderId="8" xfId="0" applyFont="1" applyFill="1" applyBorder="1" applyAlignment="1">
      <alignment horizontal="center"/>
    </xf>
    <xf numFmtId="166" fontId="0" fillId="6" borderId="0" xfId="1" applyNumberFormat="1" applyFont="1" applyFill="1" applyBorder="1"/>
    <xf numFmtId="164" fontId="0" fillId="6" borderId="0" xfId="0" applyNumberFormat="1" applyFill="1"/>
    <xf numFmtId="164" fontId="0" fillId="2" borderId="7" xfId="0" applyNumberFormat="1" applyFill="1" applyBorder="1"/>
    <xf numFmtId="9" fontId="2" fillId="2" borderId="0" xfId="2" applyFont="1" applyFill="1" applyBorder="1"/>
    <xf numFmtId="0" fontId="0" fillId="6" borderId="0" xfId="0" applyFill="1"/>
    <xf numFmtId="10" fontId="0" fillId="6" borderId="0" xfId="2" applyNumberFormat="1" applyFont="1" applyFill="1" applyBorder="1"/>
    <xf numFmtId="0" fontId="0" fillId="2" borderId="7" xfId="0" applyFill="1" applyBorder="1"/>
    <xf numFmtId="0" fontId="14" fillId="2" borderId="0" xfId="0" applyFont="1" applyFill="1"/>
    <xf numFmtId="170" fontId="14" fillId="2" borderId="0" xfId="0" applyNumberFormat="1" applyFont="1" applyFill="1"/>
    <xf numFmtId="0" fontId="14" fillId="6" borderId="0" xfId="0" applyFont="1" applyFill="1"/>
    <xf numFmtId="170" fontId="14" fillId="6" borderId="0" xfId="0" applyNumberFormat="1" applyFont="1" applyFill="1"/>
    <xf numFmtId="9" fontId="0" fillId="6" borderId="0" xfId="2" applyFont="1" applyFill="1" applyBorder="1"/>
    <xf numFmtId="0" fontId="7" fillId="2" borderId="8" xfId="0" applyFont="1" applyFill="1" applyBorder="1"/>
    <xf numFmtId="0" fontId="7" fillId="2" borderId="6" xfId="0" applyFont="1" applyFill="1" applyBorder="1"/>
    <xf numFmtId="9" fontId="8" fillId="2" borderId="0" xfId="2" applyFont="1" applyFill="1" applyBorder="1"/>
    <xf numFmtId="0" fontId="21" fillId="2" borderId="0" xfId="0" applyFont="1" applyFill="1"/>
    <xf numFmtId="0" fontId="7" fillId="6" borderId="6" xfId="0" applyFont="1" applyFill="1" applyBorder="1"/>
    <xf numFmtId="9" fontId="8" fillId="6" borderId="0" xfId="2" applyFont="1" applyFill="1" applyBorder="1"/>
    <xf numFmtId="0" fontId="2" fillId="2" borderId="7" xfId="0" applyFont="1" applyFill="1" applyBorder="1" applyAlignment="1">
      <alignment horizontal="center" wrapText="1"/>
    </xf>
    <xf numFmtId="49" fontId="2" fillId="2" borderId="7" xfId="0" applyNumberFormat="1" applyFont="1" applyFill="1" applyBorder="1" applyAlignment="1">
      <alignment horizontal="center"/>
    </xf>
    <xf numFmtId="166" fontId="8" fillId="6" borderId="0" xfId="1" applyNumberFormat="1" applyFont="1" applyFill="1" applyBorder="1"/>
    <xf numFmtId="166" fontId="8" fillId="6" borderId="7" xfId="1" applyNumberFormat="1" applyFont="1" applyFill="1" applyBorder="1"/>
    <xf numFmtId="0" fontId="2" fillId="2" borderId="8" xfId="0" applyFont="1" applyFill="1" applyBorder="1" applyAlignment="1">
      <alignment horizontal="center" wrapText="1"/>
    </xf>
    <xf numFmtId="49" fontId="2" fillId="2" borderId="6" xfId="0" applyNumberFormat="1" applyFont="1" applyFill="1" applyBorder="1" applyAlignment="1">
      <alignment horizontal="center"/>
    </xf>
    <xf numFmtId="49" fontId="2" fillId="6" borderId="6" xfId="0" applyNumberFormat="1" applyFont="1" applyFill="1" applyBorder="1" applyAlignment="1">
      <alignment horizontal="center"/>
    </xf>
    <xf numFmtId="49" fontId="2" fillId="6" borderId="8" xfId="0" applyNumberFormat="1" applyFont="1" applyFill="1" applyBorder="1" applyAlignment="1">
      <alignment horizontal="center"/>
    </xf>
    <xf numFmtId="49" fontId="2" fillId="2" borderId="8" xfId="0" applyNumberFormat="1" applyFont="1" applyFill="1" applyBorder="1" applyAlignment="1">
      <alignment horizontal="center"/>
    </xf>
    <xf numFmtId="169" fontId="0" fillId="6" borderId="0" xfId="0" applyNumberFormat="1" applyFill="1"/>
    <xf numFmtId="169" fontId="0" fillId="6" borderId="7" xfId="0" applyNumberFormat="1" applyFill="1" applyBorder="1"/>
    <xf numFmtId="49" fontId="2" fillId="2" borderId="5" xfId="0" applyNumberFormat="1" applyFont="1" applyFill="1" applyBorder="1" applyAlignment="1">
      <alignment horizontal="center"/>
    </xf>
    <xf numFmtId="166" fontId="6" fillId="2" borderId="0" xfId="1" applyNumberFormat="1" applyFont="1" applyFill="1" applyBorder="1"/>
    <xf numFmtId="167" fontId="2" fillId="2" borderId="0" xfId="1" applyNumberFormat="1" applyFont="1" applyFill="1" applyBorder="1"/>
    <xf numFmtId="166" fontId="8" fillId="2" borderId="0" xfId="0" applyNumberFormat="1" applyFont="1" applyFill="1"/>
    <xf numFmtId="166" fontId="11" fillId="2" borderId="0" xfId="1" applyNumberFormat="1" applyFont="1" applyFill="1" applyBorder="1"/>
    <xf numFmtId="0" fontId="7" fillId="2" borderId="7" xfId="0" applyFont="1" applyFill="1" applyBorder="1" applyAlignment="1">
      <alignment horizontal="center"/>
    </xf>
    <xf numFmtId="0" fontId="0" fillId="2" borderId="8" xfId="0" applyFill="1" applyBorder="1"/>
    <xf numFmtId="0" fontId="2" fillId="2" borderId="6" xfId="0" applyFont="1" applyFill="1" applyBorder="1" applyAlignment="1">
      <alignment horizontal="center"/>
    </xf>
    <xf numFmtId="166" fontId="8" fillId="2" borderId="6" xfId="1" applyNumberFormat="1" applyFont="1" applyFill="1" applyBorder="1"/>
    <xf numFmtId="166" fontId="8" fillId="2" borderId="6" xfId="0" applyNumberFormat="1" applyFont="1" applyFill="1" applyBorder="1"/>
    <xf numFmtId="0" fontId="2" fillId="6" borderId="6" xfId="0" applyFont="1" applyFill="1" applyBorder="1" applyAlignment="1">
      <alignment horizontal="center"/>
    </xf>
    <xf numFmtId="166" fontId="8" fillId="6" borderId="6" xfId="1" applyNumberFormat="1" applyFont="1" applyFill="1" applyBorder="1"/>
    <xf numFmtId="9" fontId="2" fillId="2" borderId="6" xfId="2" applyFont="1" applyFill="1" applyBorder="1"/>
    <xf numFmtId="0" fontId="2" fillId="6" borderId="8" xfId="0" applyFont="1" applyFill="1" applyBorder="1" applyAlignment="1">
      <alignment horizontal="center"/>
    </xf>
    <xf numFmtId="166" fontId="11" fillId="6" borderId="7" xfId="1" applyNumberFormat="1" applyFont="1" applyFill="1" applyBorder="1"/>
    <xf numFmtId="166" fontId="8" fillId="6" borderId="8" xfId="1" applyNumberFormat="1" applyFont="1" applyFill="1" applyBorder="1"/>
    <xf numFmtId="166" fontId="0" fillId="6" borderId="7" xfId="0" applyNumberFormat="1" applyFill="1" applyBorder="1"/>
    <xf numFmtId="0" fontId="8" fillId="6" borderId="0" xfId="0" applyFont="1" applyFill="1"/>
    <xf numFmtId="166" fontId="8" fillId="6" borderId="0" xfId="0" applyNumberFormat="1" applyFont="1" applyFill="1"/>
    <xf numFmtId="166" fontId="8" fillId="6" borderId="6" xfId="0" applyNumberFormat="1" applyFont="1" applyFill="1" applyBorder="1"/>
    <xf numFmtId="165" fontId="2" fillId="7" borderId="0" xfId="2" applyNumberFormat="1" applyFont="1" applyFill="1" applyBorder="1"/>
    <xf numFmtId="0" fontId="4" fillId="2" borderId="8" xfId="0" applyFont="1" applyFill="1" applyBorder="1" applyAlignment="1">
      <alignment horizontal="center" vertical="center"/>
    </xf>
    <xf numFmtId="43" fontId="2" fillId="2" borderId="7" xfId="0" applyNumberFormat="1" applyFont="1" applyFill="1" applyBorder="1"/>
    <xf numFmtId="166" fontId="3" fillId="2" borderId="0" xfId="1" applyNumberFormat="1" applyFont="1" applyFill="1" applyBorder="1" applyAlignment="1">
      <alignment vertical="center"/>
    </xf>
    <xf numFmtId="0" fontId="4" fillId="2" borderId="5" xfId="0" applyFont="1" applyFill="1" applyBorder="1" applyAlignment="1">
      <alignment horizontal="center" vertical="center"/>
    </xf>
    <xf numFmtId="166" fontId="3" fillId="6" borderId="0" xfId="1" applyNumberFormat="1" applyFont="1" applyFill="1" applyBorder="1" applyAlignment="1">
      <alignment vertical="center"/>
    </xf>
    <xf numFmtId="0" fontId="5" fillId="2" borderId="5" xfId="0" applyFont="1" applyFill="1" applyBorder="1" applyAlignment="1">
      <alignment horizontal="center" vertical="center"/>
    </xf>
    <xf numFmtId="2" fontId="0" fillId="6" borderId="0" xfId="0" applyNumberFormat="1" applyFill="1"/>
    <xf numFmtId="171" fontId="0" fillId="2" borderId="0" xfId="3" applyNumberFormat="1" applyFont="1" applyFill="1" applyBorder="1"/>
    <xf numFmtId="171" fontId="0" fillId="6" borderId="0" xfId="3" applyNumberFormat="1" applyFont="1" applyFill="1" applyBorder="1"/>
    <xf numFmtId="171" fontId="0" fillId="6" borderId="0" xfId="3" applyNumberFormat="1" applyFont="1" applyFill="1" applyBorder="1" applyAlignment="1">
      <alignment horizontal="left"/>
    </xf>
    <xf numFmtId="165" fontId="0" fillId="2" borderId="0" xfId="2" applyNumberFormat="1" applyFont="1" applyFill="1" applyBorder="1"/>
    <xf numFmtId="0" fontId="0" fillId="2" borderId="9" xfId="0" applyFill="1" applyBorder="1"/>
    <xf numFmtId="0" fontId="0" fillId="2" borderId="6" xfId="0" applyFill="1" applyBorder="1"/>
    <xf numFmtId="166" fontId="0" fillId="6" borderId="7" xfId="1" applyNumberFormat="1" applyFont="1" applyFill="1" applyBorder="1"/>
    <xf numFmtId="10" fontId="0" fillId="2" borderId="0" xfId="2" applyNumberFormat="1" applyFont="1" applyFill="1" applyBorder="1" applyAlignment="1">
      <alignment horizontal="center"/>
    </xf>
    <xf numFmtId="10" fontId="0" fillId="6" borderId="0" xfId="2" applyNumberFormat="1" applyFont="1" applyFill="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166" fontId="0" fillId="2" borderId="12" xfId="1" applyNumberFormat="1" applyFont="1" applyFill="1" applyBorder="1"/>
    <xf numFmtId="166" fontId="0" fillId="2" borderId="6" xfId="1" applyNumberFormat="1" applyFont="1" applyFill="1" applyBorder="1"/>
    <xf numFmtId="166" fontId="0" fillId="6" borderId="12" xfId="1" applyNumberFormat="1" applyFont="1" applyFill="1" applyBorder="1"/>
    <xf numFmtId="166" fontId="0" fillId="6" borderId="6" xfId="1" applyNumberFormat="1" applyFont="1" applyFill="1" applyBorder="1"/>
    <xf numFmtId="165" fontId="0" fillId="6" borderId="0" xfId="2" applyNumberFormat="1" applyFont="1" applyFill="1" applyBorder="1"/>
    <xf numFmtId="10" fontId="0" fillId="2" borderId="7" xfId="2" applyNumberFormat="1" applyFont="1" applyFill="1" applyBorder="1"/>
    <xf numFmtId="166" fontId="0" fillId="2" borderId="12" xfId="0" applyNumberFormat="1" applyFill="1" applyBorder="1"/>
    <xf numFmtId="10" fontId="0" fillId="2" borderId="6" xfId="2" applyNumberFormat="1" applyFont="1" applyFill="1" applyBorder="1"/>
    <xf numFmtId="166" fontId="0" fillId="2" borderId="10" xfId="0" applyNumberFormat="1" applyFill="1" applyBorder="1"/>
    <xf numFmtId="10" fontId="0" fillId="2" borderId="8" xfId="2" applyNumberFormat="1" applyFont="1" applyFill="1" applyBorder="1"/>
    <xf numFmtId="0" fontId="0" fillId="2" borderId="12" xfId="0" applyFill="1" applyBorder="1"/>
    <xf numFmtId="10" fontId="0" fillId="2" borderId="6" xfId="0" applyNumberFormat="1" applyFill="1" applyBorder="1"/>
    <xf numFmtId="166" fontId="0" fillId="6" borderId="12" xfId="0" applyNumberFormat="1" applyFill="1" applyBorder="1"/>
    <xf numFmtId="10" fontId="0" fillId="6" borderId="6" xfId="2" applyNumberFormat="1" applyFont="1" applyFill="1" applyBorder="1"/>
    <xf numFmtId="173" fontId="0" fillId="2" borderId="0" xfId="2" applyNumberFormat="1" applyFont="1" applyFill="1" applyBorder="1"/>
    <xf numFmtId="173" fontId="0" fillId="6" borderId="0" xfId="2" applyNumberFormat="1" applyFont="1" applyFill="1" applyBorder="1"/>
    <xf numFmtId="165" fontId="0" fillId="6" borderId="7" xfId="2" applyNumberFormat="1" applyFont="1" applyFill="1" applyBorder="1"/>
    <xf numFmtId="173" fontId="0" fillId="6" borderId="7" xfId="2" applyNumberFormat="1" applyFont="1" applyFill="1" applyBorder="1"/>
    <xf numFmtId="168" fontId="0" fillId="2" borderId="0" xfId="0" applyNumberFormat="1" applyFill="1"/>
    <xf numFmtId="9" fontId="12" fillId="6" borderId="0" xfId="2" applyFont="1" applyFill="1" applyBorder="1"/>
    <xf numFmtId="9" fontId="0" fillId="6" borderId="0" xfId="0" applyNumberFormat="1" applyFill="1"/>
    <xf numFmtId="0" fontId="2" fillId="2" borderId="8" xfId="0" applyFont="1" applyFill="1" applyBorder="1" applyAlignment="1">
      <alignment horizontal="left" wrapText="1"/>
    </xf>
    <xf numFmtId="49" fontId="2" fillId="2" borderId="8" xfId="0" applyNumberFormat="1" applyFont="1" applyFill="1" applyBorder="1" applyAlignment="1">
      <alignment horizontal="left"/>
    </xf>
    <xf numFmtId="0" fontId="2" fillId="2" borderId="8" xfId="0" applyFont="1" applyFill="1" applyBorder="1" applyAlignment="1">
      <alignment horizontal="left"/>
    </xf>
    <xf numFmtId="171" fontId="0" fillId="2" borderId="7" xfId="0" applyNumberFormat="1" applyFill="1" applyBorder="1"/>
    <xf numFmtId="171" fontId="0" fillId="6" borderId="0" xfId="0" applyNumberFormat="1" applyFill="1"/>
    <xf numFmtId="0" fontId="7" fillId="2" borderId="8" xfId="0" applyFont="1" applyFill="1" applyBorder="1" applyAlignment="1">
      <alignment horizontal="center"/>
    </xf>
    <xf numFmtId="0" fontId="2" fillId="2" borderId="7" xfId="0" applyFont="1" applyFill="1" applyBorder="1" applyAlignment="1">
      <alignment horizontal="left"/>
    </xf>
    <xf numFmtId="0" fontId="0" fillId="2" borderId="8" xfId="0" applyFill="1" applyBorder="1" applyAlignment="1">
      <alignment horizontal="center"/>
    </xf>
    <xf numFmtId="166" fontId="0" fillId="2" borderId="0" xfId="1" applyNumberFormat="1" applyFont="1" applyFill="1" applyBorder="1" applyAlignment="1"/>
    <xf numFmtId="166" fontId="0" fillId="6" borderId="0" xfId="1" applyNumberFormat="1" applyFont="1" applyFill="1" applyBorder="1" applyAlignment="1"/>
    <xf numFmtId="166" fontId="0" fillId="6" borderId="7" xfId="1" applyNumberFormat="1" applyFont="1" applyFill="1" applyBorder="1" applyAlignment="1"/>
    <xf numFmtId="10" fontId="0" fillId="6" borderId="0" xfId="0" applyNumberFormat="1" applyFill="1"/>
    <xf numFmtId="165" fontId="0" fillId="6" borderId="0" xfId="0" applyNumberFormat="1" applyFill="1"/>
    <xf numFmtId="171" fontId="0" fillId="2" borderId="0" xfId="1" applyNumberFormat="1" applyFont="1" applyFill="1" applyBorder="1"/>
    <xf numFmtId="165" fontId="0" fillId="6" borderId="0" xfId="2" applyNumberFormat="1" applyFont="1" applyFill="1"/>
    <xf numFmtId="165" fontId="0" fillId="2" borderId="7" xfId="2" applyNumberFormat="1" applyFont="1" applyFill="1" applyBorder="1"/>
    <xf numFmtId="0" fontId="19" fillId="2" borderId="0" xfId="4" applyFill="1"/>
    <xf numFmtId="0" fontId="22" fillId="2" borderId="0" xfId="0" applyFont="1" applyFill="1"/>
    <xf numFmtId="166" fontId="0" fillId="6" borderId="0" xfId="1" applyNumberFormat="1" applyFont="1" applyFill="1"/>
    <xf numFmtId="166" fontId="2" fillId="2" borderId="0" xfId="0" applyNumberFormat="1" applyFont="1" applyFill="1"/>
    <xf numFmtId="0" fontId="19" fillId="0" borderId="0" xfId="4"/>
    <xf numFmtId="0" fontId="18" fillId="5" borderId="0" xfId="0" applyFont="1" applyFill="1" applyAlignment="1">
      <alignment horizontal="center"/>
    </xf>
    <xf numFmtId="0" fontId="15" fillId="4" borderId="2" xfId="0" applyFont="1" applyFill="1" applyBorder="1" applyAlignment="1">
      <alignment horizontal="center"/>
    </xf>
    <xf numFmtId="0" fontId="15" fillId="4" borderId="3" xfId="0" applyFont="1" applyFill="1" applyBorder="1" applyAlignment="1">
      <alignment horizontal="center"/>
    </xf>
    <xf numFmtId="0" fontId="15" fillId="4" borderId="4" xfId="0" applyFont="1" applyFill="1" applyBorder="1" applyAlignment="1">
      <alignment horizontal="center"/>
    </xf>
    <xf numFmtId="0" fontId="2" fillId="2" borderId="10" xfId="0" applyFont="1" applyFill="1" applyBorder="1" applyAlignment="1">
      <alignment horizontal="center"/>
    </xf>
    <xf numFmtId="0" fontId="2" fillId="2" borderId="7" xfId="0" applyFont="1" applyFill="1" applyBorder="1" applyAlignment="1">
      <alignment horizontal="center"/>
    </xf>
    <xf numFmtId="0" fontId="2" fillId="2" borderId="12" xfId="0" applyFont="1" applyFill="1" applyBorder="1" applyAlignment="1">
      <alignment horizontal="center"/>
    </xf>
    <xf numFmtId="0" fontId="2" fillId="2" borderId="0" xfId="0" applyFont="1" applyFill="1" applyAlignment="1">
      <alignment horizontal="center"/>
    </xf>
    <xf numFmtId="0" fontId="16" fillId="8" borderId="7" xfId="0" applyFont="1" applyFill="1" applyBorder="1" applyAlignment="1">
      <alignment horizontal="center"/>
    </xf>
    <xf numFmtId="0" fontId="16" fillId="8" borderId="0" xfId="0" applyFont="1" applyFill="1" applyAlignment="1">
      <alignment horizontal="center"/>
    </xf>
    <xf numFmtId="0" fontId="2" fillId="2" borderId="8" xfId="0" applyFont="1" applyFill="1" applyBorder="1" applyAlignment="1">
      <alignment horizontal="center"/>
    </xf>
    <xf numFmtId="0" fontId="7" fillId="2" borderId="7" xfId="0" applyFont="1" applyFill="1" applyBorder="1" applyAlignment="1">
      <alignment horizontal="center"/>
    </xf>
    <xf numFmtId="49" fontId="2" fillId="2" borderId="10" xfId="0" applyNumberFormat="1" applyFont="1" applyFill="1" applyBorder="1" applyAlignment="1">
      <alignment horizontal="center"/>
    </xf>
    <xf numFmtId="49" fontId="2" fillId="2" borderId="7" xfId="0" applyNumberFormat="1" applyFont="1" applyFill="1" applyBorder="1" applyAlignment="1">
      <alignment horizontal="center"/>
    </xf>
    <xf numFmtId="49" fontId="2" fillId="2" borderId="8" xfId="0" applyNumberFormat="1" applyFont="1" applyFill="1" applyBorder="1" applyAlignment="1">
      <alignment horizontal="center"/>
    </xf>
    <xf numFmtId="9" fontId="0" fillId="6" borderId="0" xfId="2" applyFont="1" applyFill="1" applyBorder="1" applyAlignment="1">
      <alignment horizontal="center"/>
    </xf>
    <xf numFmtId="9" fontId="0" fillId="2" borderId="0" xfId="2" applyFont="1" applyFill="1" applyBorder="1" applyAlignment="1">
      <alignment horizontal="center"/>
    </xf>
    <xf numFmtId="1" fontId="0" fillId="2" borderId="0" xfId="2" applyNumberFormat="1" applyFont="1" applyFill="1" applyBorder="1" applyAlignment="1">
      <alignment horizontal="center"/>
    </xf>
    <xf numFmtId="1" fontId="0" fillId="6" borderId="0" xfId="2" applyNumberFormat="1" applyFont="1" applyFill="1" applyBorder="1" applyAlignment="1">
      <alignment horizontal="center"/>
    </xf>
    <xf numFmtId="166" fontId="0" fillId="2" borderId="0" xfId="1" applyNumberFormat="1" applyFont="1" applyFill="1" applyBorder="1" applyAlignment="1">
      <alignment horizontal="center"/>
    </xf>
  </cellXfs>
  <cellStyles count="5">
    <cellStyle name="Hyperkobling" xfId="4" builtinId="8"/>
    <cellStyle name="Komma" xfId="1" builtinId="3"/>
    <cellStyle name="Komma 2" xfId="3" xr:uid="{305D9916-36F5-459E-94ED-513269AE3A7F}"/>
    <cellStyle name="Normal" xfId="0" builtinId="0"/>
    <cellStyle name="Prosent" xfId="2" builtinId="5"/>
  </cellStyles>
  <dxfs count="0"/>
  <tableStyles count="0" defaultTableStyle="TableStyleMedium2" defaultPivotStyle="PivotStyleLight16"/>
  <colors>
    <mruColors>
      <color rgb="FF00365F"/>
      <color rgb="FF109E9E"/>
      <color rgb="FFE8FCE8"/>
      <color rgb="FF053838"/>
      <color rgb="FFCBF9CB"/>
      <color rgb="FFF32345"/>
      <color rgb="FFEBE1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'Nettleie 2024-2030'!$G$6</c:f>
              <c:strCache>
                <c:ptCount val="1"/>
                <c:pt idx="0">
                  <c:v>2024</c:v>
                </c:pt>
              </c:strCache>
            </c:strRef>
          </c:tx>
          <c:spPr>
            <a:solidFill>
              <a:schemeClr val="accent1"/>
            </a:solidFill>
            <a:ln>
              <a:noFill/>
            </a:ln>
            <a:effectLst/>
          </c:spPr>
          <c:invertIfNegative val="0"/>
          <c:cat>
            <c:strRef>
              <c:f>'Nettleie 2024-2030'!$H$5:$L$5</c:f>
              <c:strCache>
                <c:ptCount val="5"/>
                <c:pt idx="0">
                  <c:v>Østlandet</c:v>
                </c:pt>
                <c:pt idx="1">
                  <c:v>Sørlandet</c:v>
                </c:pt>
                <c:pt idx="2">
                  <c:v>Midt-Norge</c:v>
                </c:pt>
                <c:pt idx="3">
                  <c:v>Nord-Norge</c:v>
                </c:pt>
                <c:pt idx="4">
                  <c:v>Vestlandet</c:v>
                </c:pt>
              </c:strCache>
            </c:strRef>
          </c:cat>
          <c:val>
            <c:numRef>
              <c:f>'Nettleie 2024-2030'!$H$6:$L$6</c:f>
              <c:numCache>
                <c:formatCode>_ * #\ ##0_ ;_ * \-#\ ##0_ ;_ * "-"??_ ;_ @_ </c:formatCode>
                <c:ptCount val="5"/>
                <c:pt idx="0">
                  <c:v>5380.1309035493596</c:v>
                </c:pt>
                <c:pt idx="1">
                  <c:v>6350.5160305299105</c:v>
                </c:pt>
                <c:pt idx="2">
                  <c:v>6154.9551950194218</c:v>
                </c:pt>
                <c:pt idx="3">
                  <c:v>7022.7019953423251</c:v>
                </c:pt>
                <c:pt idx="4">
                  <c:v>6453.8486698347378</c:v>
                </c:pt>
              </c:numCache>
            </c:numRef>
          </c:val>
          <c:extLst>
            <c:ext xmlns:c16="http://schemas.microsoft.com/office/drawing/2014/chart" uri="{C3380CC4-5D6E-409C-BE32-E72D297353CC}">
              <c16:uniqueId val="{00000000-E126-4606-ADB2-723C1C6E633D}"/>
            </c:ext>
          </c:extLst>
        </c:ser>
        <c:ser>
          <c:idx val="1"/>
          <c:order val="1"/>
          <c:tx>
            <c:strRef>
              <c:f>'Nettleie 2024-2030'!$G$7</c:f>
              <c:strCache>
                <c:ptCount val="1"/>
                <c:pt idx="0">
                  <c:v>2025</c:v>
                </c:pt>
              </c:strCache>
            </c:strRef>
          </c:tx>
          <c:spPr>
            <a:solidFill>
              <a:schemeClr val="accent2"/>
            </a:solidFill>
            <a:ln>
              <a:noFill/>
            </a:ln>
            <a:effectLst/>
          </c:spPr>
          <c:invertIfNegative val="0"/>
          <c:cat>
            <c:strRef>
              <c:f>'Nettleie 2024-2030'!$H$5:$L$5</c:f>
              <c:strCache>
                <c:ptCount val="5"/>
                <c:pt idx="0">
                  <c:v>Østlandet</c:v>
                </c:pt>
                <c:pt idx="1">
                  <c:v>Sørlandet</c:v>
                </c:pt>
                <c:pt idx="2">
                  <c:v>Midt-Norge</c:v>
                </c:pt>
                <c:pt idx="3">
                  <c:v>Nord-Norge</c:v>
                </c:pt>
                <c:pt idx="4">
                  <c:v>Vestlandet</c:v>
                </c:pt>
              </c:strCache>
            </c:strRef>
          </c:cat>
          <c:val>
            <c:numRef>
              <c:f>'Nettleie 2024-2030'!$H$7:$L$7</c:f>
              <c:numCache>
                <c:formatCode>_ * #\ ##0_ ;_ * \-#\ ##0_ ;_ * "-"??_ ;_ @_ </c:formatCode>
                <c:ptCount val="5"/>
                <c:pt idx="0">
                  <c:v>5208.4513036621811</c:v>
                </c:pt>
                <c:pt idx="1">
                  <c:v>6167.2336342688277</c:v>
                </c:pt>
                <c:pt idx="2">
                  <c:v>5905.3359797330386</c:v>
                </c:pt>
                <c:pt idx="3">
                  <c:v>6871.0029712070746</c:v>
                </c:pt>
                <c:pt idx="4">
                  <c:v>6342.312632219935</c:v>
                </c:pt>
              </c:numCache>
            </c:numRef>
          </c:val>
          <c:extLst>
            <c:ext xmlns:c16="http://schemas.microsoft.com/office/drawing/2014/chart" uri="{C3380CC4-5D6E-409C-BE32-E72D297353CC}">
              <c16:uniqueId val="{00000001-E126-4606-ADB2-723C1C6E633D}"/>
            </c:ext>
          </c:extLst>
        </c:ser>
        <c:ser>
          <c:idx val="2"/>
          <c:order val="2"/>
          <c:tx>
            <c:strRef>
              <c:f>'Nettleie 2024-2030'!$G$8</c:f>
              <c:strCache>
                <c:ptCount val="1"/>
                <c:pt idx="0">
                  <c:v>2026</c:v>
                </c:pt>
              </c:strCache>
            </c:strRef>
          </c:tx>
          <c:spPr>
            <a:solidFill>
              <a:schemeClr val="accent3"/>
            </a:solidFill>
            <a:ln>
              <a:noFill/>
            </a:ln>
            <a:effectLst/>
          </c:spPr>
          <c:invertIfNegative val="0"/>
          <c:cat>
            <c:strRef>
              <c:f>'Nettleie 2024-2030'!$H$5:$L$5</c:f>
              <c:strCache>
                <c:ptCount val="5"/>
                <c:pt idx="0">
                  <c:v>Østlandet</c:v>
                </c:pt>
                <c:pt idx="1">
                  <c:v>Sørlandet</c:v>
                </c:pt>
                <c:pt idx="2">
                  <c:v>Midt-Norge</c:v>
                </c:pt>
                <c:pt idx="3">
                  <c:v>Nord-Norge</c:v>
                </c:pt>
                <c:pt idx="4">
                  <c:v>Vestlandet</c:v>
                </c:pt>
              </c:strCache>
            </c:strRef>
          </c:cat>
          <c:val>
            <c:numRef>
              <c:f>'Nettleie 2024-2030'!$H$8:$L$8</c:f>
              <c:numCache>
                <c:formatCode>_ * #\ ##0_ ;_ * \-#\ ##0_ ;_ * "-"??_ ;_ @_ </c:formatCode>
                <c:ptCount val="5"/>
                <c:pt idx="0">
                  <c:v>5548.7159230917541</c:v>
                </c:pt>
                <c:pt idx="1">
                  <c:v>6475.4972892586693</c:v>
                </c:pt>
                <c:pt idx="2">
                  <c:v>6319.9165130815563</c:v>
                </c:pt>
                <c:pt idx="3">
                  <c:v>7302.5809667388467</c:v>
                </c:pt>
                <c:pt idx="4">
                  <c:v>6611.8626096351245</c:v>
                </c:pt>
              </c:numCache>
            </c:numRef>
          </c:val>
          <c:extLst>
            <c:ext xmlns:c16="http://schemas.microsoft.com/office/drawing/2014/chart" uri="{C3380CC4-5D6E-409C-BE32-E72D297353CC}">
              <c16:uniqueId val="{00000002-E126-4606-ADB2-723C1C6E633D}"/>
            </c:ext>
          </c:extLst>
        </c:ser>
        <c:ser>
          <c:idx val="3"/>
          <c:order val="3"/>
          <c:tx>
            <c:strRef>
              <c:f>'Nettleie 2024-2030'!$G$9</c:f>
              <c:strCache>
                <c:ptCount val="1"/>
                <c:pt idx="0">
                  <c:v>2027</c:v>
                </c:pt>
              </c:strCache>
            </c:strRef>
          </c:tx>
          <c:spPr>
            <a:solidFill>
              <a:schemeClr val="accent4"/>
            </a:solidFill>
            <a:ln>
              <a:noFill/>
            </a:ln>
            <a:effectLst/>
          </c:spPr>
          <c:invertIfNegative val="0"/>
          <c:cat>
            <c:strRef>
              <c:f>'Nettleie 2024-2030'!$H$5:$L$5</c:f>
              <c:strCache>
                <c:ptCount val="5"/>
                <c:pt idx="0">
                  <c:v>Østlandet</c:v>
                </c:pt>
                <c:pt idx="1">
                  <c:v>Sørlandet</c:v>
                </c:pt>
                <c:pt idx="2">
                  <c:v>Midt-Norge</c:v>
                </c:pt>
                <c:pt idx="3">
                  <c:v>Nord-Norge</c:v>
                </c:pt>
                <c:pt idx="4">
                  <c:v>Vestlandet</c:v>
                </c:pt>
              </c:strCache>
            </c:strRef>
          </c:cat>
          <c:val>
            <c:numRef>
              <c:f>'Nettleie 2024-2030'!$H$9:$L$9</c:f>
              <c:numCache>
                <c:formatCode>_ * #\ ##0_ ;_ * \-#\ ##0_ ;_ * "-"??_ ;_ @_ </c:formatCode>
                <c:ptCount val="5"/>
                <c:pt idx="0">
                  <c:v>5950.2338600486682</c:v>
                </c:pt>
                <c:pt idx="1">
                  <c:v>6831.7201432765332</c:v>
                </c:pt>
                <c:pt idx="2">
                  <c:v>6728.1536715959055</c:v>
                </c:pt>
                <c:pt idx="3">
                  <c:v>7702.5919536016263</c:v>
                </c:pt>
                <c:pt idx="4">
                  <c:v>6941.9301868926214</c:v>
                </c:pt>
              </c:numCache>
            </c:numRef>
          </c:val>
          <c:extLst>
            <c:ext xmlns:c16="http://schemas.microsoft.com/office/drawing/2014/chart" uri="{C3380CC4-5D6E-409C-BE32-E72D297353CC}">
              <c16:uniqueId val="{00000003-E126-4606-ADB2-723C1C6E633D}"/>
            </c:ext>
          </c:extLst>
        </c:ser>
        <c:ser>
          <c:idx val="4"/>
          <c:order val="4"/>
          <c:tx>
            <c:strRef>
              <c:f>'Nettleie 2024-2030'!$G$10</c:f>
              <c:strCache>
                <c:ptCount val="1"/>
                <c:pt idx="0">
                  <c:v>2028</c:v>
                </c:pt>
              </c:strCache>
            </c:strRef>
          </c:tx>
          <c:spPr>
            <a:solidFill>
              <a:schemeClr val="accent5"/>
            </a:solidFill>
            <a:ln>
              <a:noFill/>
            </a:ln>
            <a:effectLst/>
          </c:spPr>
          <c:invertIfNegative val="0"/>
          <c:cat>
            <c:strRef>
              <c:f>'Nettleie 2024-2030'!$H$5:$L$5</c:f>
              <c:strCache>
                <c:ptCount val="5"/>
                <c:pt idx="0">
                  <c:v>Østlandet</c:v>
                </c:pt>
                <c:pt idx="1">
                  <c:v>Sørlandet</c:v>
                </c:pt>
                <c:pt idx="2">
                  <c:v>Midt-Norge</c:v>
                </c:pt>
                <c:pt idx="3">
                  <c:v>Nord-Norge</c:v>
                </c:pt>
                <c:pt idx="4">
                  <c:v>Vestlandet</c:v>
                </c:pt>
              </c:strCache>
            </c:strRef>
          </c:cat>
          <c:val>
            <c:numRef>
              <c:f>'Nettleie 2024-2030'!$H$10:$L$10</c:f>
              <c:numCache>
                <c:formatCode>_ * #\ ##0_ ;_ * \-#\ ##0_ ;_ * "-"??_ ;_ @_ </c:formatCode>
                <c:ptCount val="5"/>
                <c:pt idx="0">
                  <c:v>6438.3509121902207</c:v>
                </c:pt>
                <c:pt idx="1">
                  <c:v>7267.9532064867044</c:v>
                </c:pt>
                <c:pt idx="2">
                  <c:v>7327.3830422632036</c:v>
                </c:pt>
                <c:pt idx="3">
                  <c:v>8284.7428993960966</c:v>
                </c:pt>
                <c:pt idx="4">
                  <c:v>7366.8500178999584</c:v>
                </c:pt>
              </c:numCache>
            </c:numRef>
          </c:val>
          <c:extLst>
            <c:ext xmlns:c16="http://schemas.microsoft.com/office/drawing/2014/chart" uri="{C3380CC4-5D6E-409C-BE32-E72D297353CC}">
              <c16:uniqueId val="{00000004-E126-4606-ADB2-723C1C6E633D}"/>
            </c:ext>
          </c:extLst>
        </c:ser>
        <c:ser>
          <c:idx val="5"/>
          <c:order val="5"/>
          <c:tx>
            <c:strRef>
              <c:f>'Nettleie 2024-2030'!$G$11</c:f>
              <c:strCache>
                <c:ptCount val="1"/>
                <c:pt idx="0">
                  <c:v>2029</c:v>
                </c:pt>
              </c:strCache>
            </c:strRef>
          </c:tx>
          <c:spPr>
            <a:solidFill>
              <a:schemeClr val="accent6"/>
            </a:solidFill>
            <a:ln>
              <a:noFill/>
            </a:ln>
            <a:effectLst/>
          </c:spPr>
          <c:invertIfNegative val="0"/>
          <c:cat>
            <c:strRef>
              <c:f>'Nettleie 2024-2030'!$H$5:$L$5</c:f>
              <c:strCache>
                <c:ptCount val="5"/>
                <c:pt idx="0">
                  <c:v>Østlandet</c:v>
                </c:pt>
                <c:pt idx="1">
                  <c:v>Sørlandet</c:v>
                </c:pt>
                <c:pt idx="2">
                  <c:v>Midt-Norge</c:v>
                </c:pt>
                <c:pt idx="3">
                  <c:v>Nord-Norge</c:v>
                </c:pt>
                <c:pt idx="4">
                  <c:v>Vestlandet</c:v>
                </c:pt>
              </c:strCache>
            </c:strRef>
          </c:cat>
          <c:val>
            <c:numRef>
              <c:f>'Nettleie 2024-2030'!$H$11:$L$11</c:f>
              <c:numCache>
                <c:formatCode>_ * #\ ##0_ ;_ * \-#\ ##0_ ;_ * "-"??_ ;_ @_ </c:formatCode>
                <c:ptCount val="5"/>
                <c:pt idx="0">
                  <c:v>6676.5037805615239</c:v>
                </c:pt>
                <c:pt idx="1">
                  <c:v>7469.3663515715089</c:v>
                </c:pt>
                <c:pt idx="2">
                  <c:v>7716.2927386492793</c:v>
                </c:pt>
                <c:pt idx="3">
                  <c:v>8552.1775665264358</c:v>
                </c:pt>
                <c:pt idx="4">
                  <c:v>7563.0796160184636</c:v>
                </c:pt>
              </c:numCache>
            </c:numRef>
          </c:val>
          <c:extLst>
            <c:ext xmlns:c16="http://schemas.microsoft.com/office/drawing/2014/chart" uri="{C3380CC4-5D6E-409C-BE32-E72D297353CC}">
              <c16:uniqueId val="{00000005-E126-4606-ADB2-723C1C6E633D}"/>
            </c:ext>
          </c:extLst>
        </c:ser>
        <c:ser>
          <c:idx val="6"/>
          <c:order val="6"/>
          <c:tx>
            <c:strRef>
              <c:f>'Nettleie 2024-2030'!$G$12</c:f>
              <c:strCache>
                <c:ptCount val="1"/>
                <c:pt idx="0">
                  <c:v>2030</c:v>
                </c:pt>
              </c:strCache>
            </c:strRef>
          </c:tx>
          <c:spPr>
            <a:solidFill>
              <a:schemeClr val="accent1">
                <a:lumMod val="60000"/>
              </a:schemeClr>
            </a:solidFill>
            <a:ln>
              <a:noFill/>
            </a:ln>
            <a:effectLst/>
          </c:spPr>
          <c:invertIfNegative val="0"/>
          <c:cat>
            <c:strRef>
              <c:f>'Nettleie 2024-2030'!$H$5:$L$5</c:f>
              <c:strCache>
                <c:ptCount val="5"/>
                <c:pt idx="0">
                  <c:v>Østlandet</c:v>
                </c:pt>
                <c:pt idx="1">
                  <c:v>Sørlandet</c:v>
                </c:pt>
                <c:pt idx="2">
                  <c:v>Midt-Norge</c:v>
                </c:pt>
                <c:pt idx="3">
                  <c:v>Nord-Norge</c:v>
                </c:pt>
                <c:pt idx="4">
                  <c:v>Vestlandet</c:v>
                </c:pt>
              </c:strCache>
            </c:strRef>
          </c:cat>
          <c:val>
            <c:numRef>
              <c:f>'Nettleie 2024-2030'!$H$12:$L$12</c:f>
              <c:numCache>
                <c:formatCode>_ * #\ ##0_ ;_ * \-#\ ##0_ ;_ * "-"??_ ;_ @_ </c:formatCode>
                <c:ptCount val="5"/>
                <c:pt idx="0">
                  <c:v>6738.3900951516607</c:v>
                </c:pt>
                <c:pt idx="1">
                  <c:v>7548.7867646546601</c:v>
                </c:pt>
                <c:pt idx="2">
                  <c:v>7949.5053689472807</c:v>
                </c:pt>
                <c:pt idx="3">
                  <c:v>8679.3071609776471</c:v>
                </c:pt>
                <c:pt idx="4">
                  <c:v>7634.3030837565138</c:v>
                </c:pt>
              </c:numCache>
            </c:numRef>
          </c:val>
          <c:extLst>
            <c:ext xmlns:c16="http://schemas.microsoft.com/office/drawing/2014/chart" uri="{C3380CC4-5D6E-409C-BE32-E72D297353CC}">
              <c16:uniqueId val="{00000006-E126-4606-ADB2-723C1C6E633D}"/>
            </c:ext>
          </c:extLst>
        </c:ser>
        <c:dLbls>
          <c:showLegendKey val="0"/>
          <c:showVal val="0"/>
          <c:showCatName val="0"/>
          <c:showSerName val="0"/>
          <c:showPercent val="0"/>
          <c:showBubbleSize val="0"/>
        </c:dLbls>
        <c:gapWidth val="150"/>
        <c:axId val="1622509744"/>
        <c:axId val="1622509264"/>
      </c:barChart>
      <c:catAx>
        <c:axId val="16225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622509264"/>
        <c:crosses val="autoZero"/>
        <c:auto val="1"/>
        <c:lblAlgn val="ctr"/>
        <c:lblOffset val="100"/>
        <c:noMultiLvlLbl val="0"/>
      </c:catAx>
      <c:valAx>
        <c:axId val="1622509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Nettleie</a:t>
                </a:r>
                <a:r>
                  <a:rPr lang="nb-NO" baseline="0"/>
                  <a:t> i faste 2023-priser</a:t>
                </a:r>
                <a:endParaRPr lang="nb-N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_ * #\ ##0_ ;_ *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6225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6776671560947"/>
          <c:y val="0.13245599223510629"/>
          <c:w val="0.79776684060110681"/>
          <c:h val="0.67821039875486022"/>
        </c:manualLayout>
      </c:layout>
      <c:lineChart>
        <c:grouping val="standard"/>
        <c:varyColors val="0"/>
        <c:ser>
          <c:idx val="4"/>
          <c:order val="0"/>
          <c:tx>
            <c:strRef>
              <c:f>'Nettleie 2024-2030'!$A$4</c:f>
              <c:strCache>
                <c:ptCount val="1"/>
                <c:pt idx="0">
                  <c:v>Østlandet</c:v>
                </c:pt>
              </c:strCache>
            </c:strRef>
          </c:tx>
          <c:spPr>
            <a:ln w="28575" cap="rnd">
              <a:solidFill>
                <a:schemeClr val="accent5"/>
              </a:solidFill>
              <a:round/>
            </a:ln>
            <a:effectLst/>
          </c:spPr>
          <c:marker>
            <c:symbol val="none"/>
          </c:marker>
          <c:cat>
            <c:numRef>
              <c:f>'Nettleie 2024-2030'!$A$59:$A$65</c:f>
              <c:numCache>
                <c:formatCode>General</c:formatCode>
                <c:ptCount val="7"/>
                <c:pt idx="0">
                  <c:v>2024</c:v>
                </c:pt>
                <c:pt idx="1">
                  <c:v>2025</c:v>
                </c:pt>
                <c:pt idx="2">
                  <c:v>2026</c:v>
                </c:pt>
                <c:pt idx="3">
                  <c:v>2027</c:v>
                </c:pt>
                <c:pt idx="4">
                  <c:v>2028</c:v>
                </c:pt>
                <c:pt idx="5">
                  <c:v>2029</c:v>
                </c:pt>
                <c:pt idx="6">
                  <c:v>2030</c:v>
                </c:pt>
              </c:numCache>
            </c:numRef>
          </c:cat>
          <c:val>
            <c:numRef>
              <c:f>'Nettleie 2024-2030'!$D$7:$D$13</c:f>
              <c:numCache>
                <c:formatCode>_ * #\ ##0.00_ ;_ * \-#\ ##0.00_ ;_ * "-"??_ ;_ @_ </c:formatCode>
                <c:ptCount val="7"/>
                <c:pt idx="0">
                  <c:v>33.625818147183494</c:v>
                </c:pt>
                <c:pt idx="1">
                  <c:v>32.55282064788863</c:v>
                </c:pt>
                <c:pt idx="2">
                  <c:v>34.679474519323463</c:v>
                </c:pt>
                <c:pt idx="3">
                  <c:v>37.188961625304174</c:v>
                </c:pt>
                <c:pt idx="4">
                  <c:v>40.239693201188878</c:v>
                </c:pt>
                <c:pt idx="5">
                  <c:v>41.728148628509523</c:v>
                </c:pt>
                <c:pt idx="6">
                  <c:v>42.114938094697877</c:v>
                </c:pt>
              </c:numCache>
            </c:numRef>
          </c:val>
          <c:smooth val="0"/>
          <c:extLst>
            <c:ext xmlns:c16="http://schemas.microsoft.com/office/drawing/2014/chart" uri="{C3380CC4-5D6E-409C-BE32-E72D297353CC}">
              <c16:uniqueId val="{00000000-DFB7-4B12-8BC0-77D74BFA55FB}"/>
            </c:ext>
          </c:extLst>
        </c:ser>
        <c:ser>
          <c:idx val="0"/>
          <c:order val="1"/>
          <c:tx>
            <c:strRef>
              <c:f>'Nettleie 2024-2030'!$A$17</c:f>
              <c:strCache>
                <c:ptCount val="1"/>
                <c:pt idx="0">
                  <c:v>Sørlandet</c:v>
                </c:pt>
              </c:strCache>
            </c:strRef>
          </c:tx>
          <c:spPr>
            <a:ln w="28575" cap="rnd">
              <a:solidFill>
                <a:schemeClr val="accent1"/>
              </a:solidFill>
              <a:round/>
            </a:ln>
            <a:effectLst/>
          </c:spPr>
          <c:marker>
            <c:symbol val="none"/>
          </c:marker>
          <c:cat>
            <c:numRef>
              <c:f>'Nettleie 2024-2030'!$A$59:$A$65</c:f>
              <c:numCache>
                <c:formatCode>General</c:formatCode>
                <c:ptCount val="7"/>
                <c:pt idx="0">
                  <c:v>2024</c:v>
                </c:pt>
                <c:pt idx="1">
                  <c:v>2025</c:v>
                </c:pt>
                <c:pt idx="2">
                  <c:v>2026</c:v>
                </c:pt>
                <c:pt idx="3">
                  <c:v>2027</c:v>
                </c:pt>
                <c:pt idx="4">
                  <c:v>2028</c:v>
                </c:pt>
                <c:pt idx="5">
                  <c:v>2029</c:v>
                </c:pt>
                <c:pt idx="6">
                  <c:v>2030</c:v>
                </c:pt>
              </c:numCache>
            </c:numRef>
          </c:cat>
          <c:val>
            <c:numRef>
              <c:f>'Nettleie 2024-2030'!$D$20:$D$26</c:f>
              <c:numCache>
                <c:formatCode>_ * #\ ##0.00_ ;_ * \-#\ ##0.00_ ;_ * "-"??_ ;_ @_ </c:formatCode>
                <c:ptCount val="7"/>
                <c:pt idx="0">
                  <c:v>39.690725190811946</c:v>
                </c:pt>
                <c:pt idx="1">
                  <c:v>38.545210214180173</c:v>
                </c:pt>
                <c:pt idx="2">
                  <c:v>40.471858057866683</c:v>
                </c:pt>
                <c:pt idx="3">
                  <c:v>42.698250895478331</c:v>
                </c:pt>
                <c:pt idx="4">
                  <c:v>45.424707540541903</c:v>
                </c:pt>
                <c:pt idx="5">
                  <c:v>46.683539697321933</c:v>
                </c:pt>
                <c:pt idx="6">
                  <c:v>47.179917279091626</c:v>
                </c:pt>
              </c:numCache>
            </c:numRef>
          </c:val>
          <c:smooth val="0"/>
          <c:extLst>
            <c:ext xmlns:c16="http://schemas.microsoft.com/office/drawing/2014/chart" uri="{C3380CC4-5D6E-409C-BE32-E72D297353CC}">
              <c16:uniqueId val="{00000001-DFB7-4B12-8BC0-77D74BFA55FB}"/>
            </c:ext>
          </c:extLst>
        </c:ser>
        <c:ser>
          <c:idx val="1"/>
          <c:order val="2"/>
          <c:tx>
            <c:strRef>
              <c:f>'Nettleie 2024-2030'!$A$30</c:f>
              <c:strCache>
                <c:ptCount val="1"/>
                <c:pt idx="0">
                  <c:v>Midt-Norge</c:v>
                </c:pt>
              </c:strCache>
            </c:strRef>
          </c:tx>
          <c:spPr>
            <a:ln w="28575" cap="rnd">
              <a:solidFill>
                <a:schemeClr val="accent2"/>
              </a:solidFill>
              <a:round/>
            </a:ln>
            <a:effectLst/>
          </c:spPr>
          <c:marker>
            <c:symbol val="none"/>
          </c:marker>
          <c:cat>
            <c:numRef>
              <c:f>'Nettleie 2024-2030'!$A$59:$A$65</c:f>
              <c:numCache>
                <c:formatCode>General</c:formatCode>
                <c:ptCount val="7"/>
                <c:pt idx="0">
                  <c:v>2024</c:v>
                </c:pt>
                <c:pt idx="1">
                  <c:v>2025</c:v>
                </c:pt>
                <c:pt idx="2">
                  <c:v>2026</c:v>
                </c:pt>
                <c:pt idx="3">
                  <c:v>2027</c:v>
                </c:pt>
                <c:pt idx="4">
                  <c:v>2028</c:v>
                </c:pt>
                <c:pt idx="5">
                  <c:v>2029</c:v>
                </c:pt>
                <c:pt idx="6">
                  <c:v>2030</c:v>
                </c:pt>
              </c:numCache>
            </c:numRef>
          </c:cat>
          <c:val>
            <c:numRef>
              <c:f>'Nettleie 2024-2030'!$D$33:$D$39</c:f>
              <c:numCache>
                <c:formatCode>_ * #\ ##0.00_ ;_ * \-#\ ##0.00_ ;_ * "-"??_ ;_ @_ </c:formatCode>
                <c:ptCount val="7"/>
                <c:pt idx="0">
                  <c:v>38.468469968871389</c:v>
                </c:pt>
                <c:pt idx="1">
                  <c:v>36.908349873331488</c:v>
                </c:pt>
                <c:pt idx="2">
                  <c:v>39.499478206759726</c:v>
                </c:pt>
                <c:pt idx="3">
                  <c:v>42.050960447474409</c:v>
                </c:pt>
                <c:pt idx="4">
                  <c:v>45.796144014145021</c:v>
                </c:pt>
                <c:pt idx="5">
                  <c:v>48.226829616557993</c:v>
                </c:pt>
                <c:pt idx="6">
                  <c:v>49.684408555920506</c:v>
                </c:pt>
              </c:numCache>
            </c:numRef>
          </c:val>
          <c:smooth val="0"/>
          <c:extLst>
            <c:ext xmlns:c16="http://schemas.microsoft.com/office/drawing/2014/chart" uri="{C3380CC4-5D6E-409C-BE32-E72D297353CC}">
              <c16:uniqueId val="{00000002-DFB7-4B12-8BC0-77D74BFA55FB}"/>
            </c:ext>
          </c:extLst>
        </c:ser>
        <c:ser>
          <c:idx val="2"/>
          <c:order val="3"/>
          <c:tx>
            <c:strRef>
              <c:f>'Nettleie 2024-2030'!$A$43</c:f>
              <c:strCache>
                <c:ptCount val="1"/>
                <c:pt idx="0">
                  <c:v>Nord-Norge</c:v>
                </c:pt>
              </c:strCache>
            </c:strRef>
          </c:tx>
          <c:spPr>
            <a:ln w="28575" cap="rnd">
              <a:solidFill>
                <a:schemeClr val="accent3"/>
              </a:solidFill>
              <a:round/>
            </a:ln>
            <a:effectLst/>
          </c:spPr>
          <c:marker>
            <c:symbol val="none"/>
          </c:marker>
          <c:cat>
            <c:numRef>
              <c:f>'Nettleie 2024-2030'!$A$59:$A$65</c:f>
              <c:numCache>
                <c:formatCode>General</c:formatCode>
                <c:ptCount val="7"/>
                <c:pt idx="0">
                  <c:v>2024</c:v>
                </c:pt>
                <c:pt idx="1">
                  <c:v>2025</c:v>
                </c:pt>
                <c:pt idx="2">
                  <c:v>2026</c:v>
                </c:pt>
                <c:pt idx="3">
                  <c:v>2027</c:v>
                </c:pt>
                <c:pt idx="4">
                  <c:v>2028</c:v>
                </c:pt>
                <c:pt idx="5">
                  <c:v>2029</c:v>
                </c:pt>
                <c:pt idx="6">
                  <c:v>2030</c:v>
                </c:pt>
              </c:numCache>
            </c:numRef>
          </c:cat>
          <c:val>
            <c:numRef>
              <c:f>'Nettleie 2024-2030'!$D$46:$D$52</c:f>
              <c:numCache>
                <c:formatCode>_ * #\ ##0.00_ ;_ * \-#\ ##0.00_ ;_ * "-"??_ ;_ @_ </c:formatCode>
                <c:ptCount val="7"/>
                <c:pt idx="0">
                  <c:v>43.891887470889529</c:v>
                </c:pt>
                <c:pt idx="1">
                  <c:v>42.943768570044213</c:v>
                </c:pt>
                <c:pt idx="2">
                  <c:v>45.641131042117792</c:v>
                </c:pt>
                <c:pt idx="3">
                  <c:v>48.141199710010163</c:v>
                </c:pt>
                <c:pt idx="4">
                  <c:v>51.779643121225604</c:v>
                </c:pt>
                <c:pt idx="5">
                  <c:v>53.45110979079022</c:v>
                </c:pt>
                <c:pt idx="6">
                  <c:v>54.245669756110303</c:v>
                </c:pt>
              </c:numCache>
            </c:numRef>
          </c:val>
          <c:smooth val="0"/>
          <c:extLst>
            <c:ext xmlns:c16="http://schemas.microsoft.com/office/drawing/2014/chart" uri="{C3380CC4-5D6E-409C-BE32-E72D297353CC}">
              <c16:uniqueId val="{00000003-DFB7-4B12-8BC0-77D74BFA55FB}"/>
            </c:ext>
          </c:extLst>
        </c:ser>
        <c:ser>
          <c:idx val="3"/>
          <c:order val="4"/>
          <c:tx>
            <c:strRef>
              <c:f>'Nettleie 2024-2030'!$A$56</c:f>
              <c:strCache>
                <c:ptCount val="1"/>
                <c:pt idx="0">
                  <c:v>Vestlandet</c:v>
                </c:pt>
              </c:strCache>
            </c:strRef>
          </c:tx>
          <c:spPr>
            <a:ln w="28575" cap="rnd">
              <a:solidFill>
                <a:schemeClr val="accent4"/>
              </a:solidFill>
              <a:round/>
            </a:ln>
            <a:effectLst/>
          </c:spPr>
          <c:marker>
            <c:symbol val="none"/>
          </c:marker>
          <c:cat>
            <c:numRef>
              <c:f>'Nettleie 2024-2030'!$A$59:$A$65</c:f>
              <c:numCache>
                <c:formatCode>General</c:formatCode>
                <c:ptCount val="7"/>
                <c:pt idx="0">
                  <c:v>2024</c:v>
                </c:pt>
                <c:pt idx="1">
                  <c:v>2025</c:v>
                </c:pt>
                <c:pt idx="2">
                  <c:v>2026</c:v>
                </c:pt>
                <c:pt idx="3">
                  <c:v>2027</c:v>
                </c:pt>
                <c:pt idx="4">
                  <c:v>2028</c:v>
                </c:pt>
                <c:pt idx="5">
                  <c:v>2029</c:v>
                </c:pt>
                <c:pt idx="6">
                  <c:v>2030</c:v>
                </c:pt>
              </c:numCache>
            </c:numRef>
          </c:cat>
          <c:val>
            <c:numRef>
              <c:f>'Nettleie 2024-2030'!$D$59:$D$65</c:f>
              <c:numCache>
                <c:formatCode>_ * #\ ##0.00_ ;_ * \-#\ ##0.00_ ;_ * "-"??_ ;_ @_ </c:formatCode>
                <c:ptCount val="7"/>
                <c:pt idx="0">
                  <c:v>40.336554186467112</c:v>
                </c:pt>
                <c:pt idx="1">
                  <c:v>39.639453951374591</c:v>
                </c:pt>
                <c:pt idx="2">
                  <c:v>41.324141310219531</c:v>
                </c:pt>
                <c:pt idx="3">
                  <c:v>43.387063668078881</c:v>
                </c:pt>
                <c:pt idx="4">
                  <c:v>46.042812611874737</c:v>
                </c:pt>
                <c:pt idx="5">
                  <c:v>47.269247600115399</c:v>
                </c:pt>
                <c:pt idx="6">
                  <c:v>47.714394273478213</c:v>
                </c:pt>
              </c:numCache>
            </c:numRef>
          </c:val>
          <c:smooth val="0"/>
          <c:extLst>
            <c:ext xmlns:c16="http://schemas.microsoft.com/office/drawing/2014/chart" uri="{C3380CC4-5D6E-409C-BE32-E72D297353CC}">
              <c16:uniqueId val="{00000004-DFB7-4B12-8BC0-77D74BFA55FB}"/>
            </c:ext>
          </c:extLst>
        </c:ser>
        <c:ser>
          <c:idx val="5"/>
          <c:order val="5"/>
          <c:tx>
            <c:v>Hele landet</c:v>
          </c:tx>
          <c:spPr>
            <a:ln w="28575" cap="rnd">
              <a:solidFill>
                <a:schemeClr val="accent6"/>
              </a:solidFill>
              <a:prstDash val="sysDash"/>
              <a:round/>
            </a:ln>
            <a:effectLst/>
          </c:spPr>
          <c:marker>
            <c:symbol val="none"/>
          </c:marker>
          <c:val>
            <c:numRef>
              <c:f>'Nettleie 2024-2030'!$D$73:$D$79</c:f>
              <c:numCache>
                <c:formatCode>_ * #\ ##0.00_ ;_ * \-#\ ##0.00_ ;_ * "-"??_ ;_ @_ </c:formatCode>
                <c:ptCount val="7"/>
                <c:pt idx="0">
                  <c:v>37.928365616285454</c:v>
                </c:pt>
                <c:pt idx="1">
                  <c:v>36.806786856008245</c:v>
                </c:pt>
                <c:pt idx="2">
                  <c:v>38.990889363904124</c:v>
                </c:pt>
                <c:pt idx="3">
                  <c:v>41.391623001160191</c:v>
                </c:pt>
                <c:pt idx="4">
                  <c:v>44.513470812169651</c:v>
                </c:pt>
                <c:pt idx="5">
                  <c:v>46.099449044626461</c:v>
                </c:pt>
                <c:pt idx="6">
                  <c:v>46.750602123644967</c:v>
                </c:pt>
              </c:numCache>
            </c:numRef>
          </c:val>
          <c:smooth val="0"/>
          <c:extLst>
            <c:ext xmlns:c16="http://schemas.microsoft.com/office/drawing/2014/chart" uri="{C3380CC4-5D6E-409C-BE32-E72D297353CC}">
              <c16:uniqueId val="{00000005-DFB7-4B12-8BC0-77D74BFA55FB}"/>
            </c:ext>
          </c:extLst>
        </c:ser>
        <c:dLbls>
          <c:showLegendKey val="0"/>
          <c:showVal val="0"/>
          <c:showCatName val="0"/>
          <c:showSerName val="0"/>
          <c:showPercent val="0"/>
          <c:showBubbleSize val="0"/>
        </c:dLbls>
        <c:smooth val="0"/>
        <c:axId val="1529344815"/>
        <c:axId val="1529340495"/>
      </c:lineChart>
      <c:catAx>
        <c:axId val="1529344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529340495"/>
        <c:crosses val="autoZero"/>
        <c:auto val="1"/>
        <c:lblAlgn val="ctr"/>
        <c:lblOffset val="100"/>
        <c:noMultiLvlLbl val="0"/>
      </c:catAx>
      <c:valAx>
        <c:axId val="1529340495"/>
        <c:scaling>
          <c:orientation val="minMax"/>
          <c:max val="57"/>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Øre/KWh i faste 2023-priser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529344815"/>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sz="1400" b="0" i="0" u="none" strike="noStrike" kern="1200" baseline="0">
                <a:solidFill>
                  <a:srgbClr val="000000">
                    <a:lumMod val="65000"/>
                    <a:lumOff val="35000"/>
                  </a:srgbClr>
                </a:solidFill>
              </a:rPr>
              <a:t>Utvikling i nettleie per landsdel fra 2024-2030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manualLayout>
          <c:layoutTarget val="inner"/>
          <c:xMode val="edge"/>
          <c:yMode val="edge"/>
          <c:x val="0.1716776671560947"/>
          <c:y val="0.13245599223510629"/>
          <c:w val="0.79776684060110681"/>
          <c:h val="0.67821039875486022"/>
        </c:manualLayout>
      </c:layout>
      <c:lineChart>
        <c:grouping val="standard"/>
        <c:varyColors val="0"/>
        <c:ser>
          <c:idx val="4"/>
          <c:order val="0"/>
          <c:tx>
            <c:strRef>
              <c:f>'Nettleie 2024-2030'!$A$4</c:f>
              <c:strCache>
                <c:ptCount val="1"/>
                <c:pt idx="0">
                  <c:v>Østlandet</c:v>
                </c:pt>
              </c:strCache>
            </c:strRef>
          </c:tx>
          <c:spPr>
            <a:ln w="28575" cap="rnd">
              <a:solidFill>
                <a:schemeClr val="accent5"/>
              </a:solidFill>
              <a:round/>
            </a:ln>
            <a:effectLst/>
          </c:spPr>
          <c:marker>
            <c:symbol val="none"/>
          </c:marker>
          <c:cat>
            <c:numRef>
              <c:f>'Nettleie 2024-2030'!$A$59:$A$65</c:f>
              <c:numCache>
                <c:formatCode>General</c:formatCode>
                <c:ptCount val="7"/>
                <c:pt idx="0">
                  <c:v>2024</c:v>
                </c:pt>
                <c:pt idx="1">
                  <c:v>2025</c:v>
                </c:pt>
                <c:pt idx="2">
                  <c:v>2026</c:v>
                </c:pt>
                <c:pt idx="3">
                  <c:v>2027</c:v>
                </c:pt>
                <c:pt idx="4">
                  <c:v>2028</c:v>
                </c:pt>
                <c:pt idx="5">
                  <c:v>2029</c:v>
                </c:pt>
                <c:pt idx="6">
                  <c:v>2030</c:v>
                </c:pt>
              </c:numCache>
            </c:numRef>
          </c:cat>
          <c:val>
            <c:numRef>
              <c:f>'Nettleie 2024-2030'!$E$7:$E$13</c:f>
              <c:numCache>
                <c:formatCode>0.0\ %</c:formatCode>
                <c:ptCount val="7"/>
                <c:pt idx="0" formatCode="_ * #\ ##0.00_ ;_ * \-#\ ##0.00_ ;_ * &quot;-&quot;??_ ;_ @_ ">
                  <c:v>0</c:v>
                </c:pt>
                <c:pt idx="1">
                  <c:v>-3.1909929881802412E-2</c:v>
                </c:pt>
                <c:pt idx="2">
                  <c:v>3.1334743069388216E-2</c:v>
                </c:pt>
                <c:pt idx="3">
                  <c:v>0.1059645140089811</c:v>
                </c:pt>
                <c:pt idx="4">
                  <c:v>0.19669038311739517</c:v>
                </c:pt>
                <c:pt idx="5">
                  <c:v>0.24095563848770407</c:v>
                </c:pt>
                <c:pt idx="6">
                  <c:v>0.25245839106000845</c:v>
                </c:pt>
              </c:numCache>
            </c:numRef>
          </c:val>
          <c:smooth val="0"/>
          <c:extLst>
            <c:ext xmlns:c16="http://schemas.microsoft.com/office/drawing/2014/chart" uri="{C3380CC4-5D6E-409C-BE32-E72D297353CC}">
              <c16:uniqueId val="{00000000-5FEE-4CA7-9109-482D58731C5C}"/>
            </c:ext>
          </c:extLst>
        </c:ser>
        <c:ser>
          <c:idx val="0"/>
          <c:order val="1"/>
          <c:tx>
            <c:strRef>
              <c:f>'Nettleie 2024-2030'!$A$17</c:f>
              <c:strCache>
                <c:ptCount val="1"/>
                <c:pt idx="0">
                  <c:v>Sørlandet</c:v>
                </c:pt>
              </c:strCache>
            </c:strRef>
          </c:tx>
          <c:spPr>
            <a:ln w="28575" cap="rnd">
              <a:solidFill>
                <a:schemeClr val="accent1"/>
              </a:solidFill>
              <a:round/>
            </a:ln>
            <a:effectLst/>
          </c:spPr>
          <c:marker>
            <c:symbol val="none"/>
          </c:marker>
          <c:cat>
            <c:numRef>
              <c:f>'Nettleie 2024-2030'!$A$59:$A$65</c:f>
              <c:numCache>
                <c:formatCode>General</c:formatCode>
                <c:ptCount val="7"/>
                <c:pt idx="0">
                  <c:v>2024</c:v>
                </c:pt>
                <c:pt idx="1">
                  <c:v>2025</c:v>
                </c:pt>
                <c:pt idx="2">
                  <c:v>2026</c:v>
                </c:pt>
                <c:pt idx="3">
                  <c:v>2027</c:v>
                </c:pt>
                <c:pt idx="4">
                  <c:v>2028</c:v>
                </c:pt>
                <c:pt idx="5">
                  <c:v>2029</c:v>
                </c:pt>
                <c:pt idx="6">
                  <c:v>2030</c:v>
                </c:pt>
              </c:numCache>
            </c:numRef>
          </c:cat>
          <c:val>
            <c:numRef>
              <c:f>'Nettleie 2024-2030'!$E$20:$E$26</c:f>
              <c:numCache>
                <c:formatCode>0.0\ %</c:formatCode>
                <c:ptCount val="7"/>
                <c:pt idx="0" formatCode="_ * #\ ##0.00_ ;_ * \-#\ ##0.00_ ;_ * &quot;-&quot;??_ ;_ @_ ">
                  <c:v>0</c:v>
                </c:pt>
                <c:pt idx="1">
                  <c:v>-2.8861024108900679E-2</c:v>
                </c:pt>
                <c:pt idx="2">
                  <c:v>1.968048866075045E-2</c:v>
                </c:pt>
                <c:pt idx="3">
                  <c:v>7.577401748664947E-2</c:v>
                </c:pt>
                <c:pt idx="4">
                  <c:v>0.14446655540215025</c:v>
                </c:pt>
                <c:pt idx="5">
                  <c:v>0.17618258353537875</c:v>
                </c:pt>
                <c:pt idx="6">
                  <c:v>0.18868871889529903</c:v>
                </c:pt>
              </c:numCache>
            </c:numRef>
          </c:val>
          <c:smooth val="0"/>
          <c:extLst>
            <c:ext xmlns:c16="http://schemas.microsoft.com/office/drawing/2014/chart" uri="{C3380CC4-5D6E-409C-BE32-E72D297353CC}">
              <c16:uniqueId val="{00000001-5FEE-4CA7-9109-482D58731C5C}"/>
            </c:ext>
          </c:extLst>
        </c:ser>
        <c:ser>
          <c:idx val="1"/>
          <c:order val="2"/>
          <c:tx>
            <c:strRef>
              <c:f>'Nettleie 2024-2030'!$A$30</c:f>
              <c:strCache>
                <c:ptCount val="1"/>
                <c:pt idx="0">
                  <c:v>Midt-Norge</c:v>
                </c:pt>
              </c:strCache>
            </c:strRef>
          </c:tx>
          <c:spPr>
            <a:ln w="28575" cap="rnd">
              <a:solidFill>
                <a:schemeClr val="accent2"/>
              </a:solidFill>
              <a:round/>
            </a:ln>
            <a:effectLst/>
          </c:spPr>
          <c:marker>
            <c:symbol val="none"/>
          </c:marker>
          <c:cat>
            <c:numRef>
              <c:f>'Nettleie 2024-2030'!$A$59:$A$65</c:f>
              <c:numCache>
                <c:formatCode>General</c:formatCode>
                <c:ptCount val="7"/>
                <c:pt idx="0">
                  <c:v>2024</c:v>
                </c:pt>
                <c:pt idx="1">
                  <c:v>2025</c:v>
                </c:pt>
                <c:pt idx="2">
                  <c:v>2026</c:v>
                </c:pt>
                <c:pt idx="3">
                  <c:v>2027</c:v>
                </c:pt>
                <c:pt idx="4">
                  <c:v>2028</c:v>
                </c:pt>
                <c:pt idx="5">
                  <c:v>2029</c:v>
                </c:pt>
                <c:pt idx="6">
                  <c:v>2030</c:v>
                </c:pt>
              </c:numCache>
            </c:numRef>
          </c:cat>
          <c:val>
            <c:numRef>
              <c:f>'Nettleie 2024-2030'!$E$33:$E$39</c:f>
              <c:numCache>
                <c:formatCode>0.0\ %</c:formatCode>
                <c:ptCount val="7"/>
                <c:pt idx="0" formatCode="_ * #\ ##0.00_ ;_ * \-#\ ##0.00_ ;_ * &quot;-&quot;??_ ;_ @_ ">
                  <c:v>0</c:v>
                </c:pt>
                <c:pt idx="1">
                  <c:v>-4.0555813548143416E-2</c:v>
                </c:pt>
                <c:pt idx="2">
                  <c:v>2.6801384061352795E-2</c:v>
                </c:pt>
                <c:pt idx="3">
                  <c:v>9.3127968996478572E-2</c:v>
                </c:pt>
                <c:pt idx="4">
                  <c:v>0.1904851960892433</c:v>
                </c:pt>
                <c:pt idx="5">
                  <c:v>0.25367163434321793</c:v>
                </c:pt>
                <c:pt idx="6">
                  <c:v>0.29156185822116232</c:v>
                </c:pt>
              </c:numCache>
            </c:numRef>
          </c:val>
          <c:smooth val="0"/>
          <c:extLst>
            <c:ext xmlns:c16="http://schemas.microsoft.com/office/drawing/2014/chart" uri="{C3380CC4-5D6E-409C-BE32-E72D297353CC}">
              <c16:uniqueId val="{00000002-5FEE-4CA7-9109-482D58731C5C}"/>
            </c:ext>
          </c:extLst>
        </c:ser>
        <c:ser>
          <c:idx val="2"/>
          <c:order val="3"/>
          <c:tx>
            <c:strRef>
              <c:f>'Nettleie 2024-2030'!$A$43</c:f>
              <c:strCache>
                <c:ptCount val="1"/>
                <c:pt idx="0">
                  <c:v>Nord-Norge</c:v>
                </c:pt>
              </c:strCache>
            </c:strRef>
          </c:tx>
          <c:spPr>
            <a:ln w="28575" cap="rnd">
              <a:solidFill>
                <a:schemeClr val="accent3"/>
              </a:solidFill>
              <a:round/>
            </a:ln>
            <a:effectLst/>
          </c:spPr>
          <c:marker>
            <c:symbol val="none"/>
          </c:marker>
          <c:cat>
            <c:numRef>
              <c:f>'Nettleie 2024-2030'!$A$59:$A$65</c:f>
              <c:numCache>
                <c:formatCode>General</c:formatCode>
                <c:ptCount val="7"/>
                <c:pt idx="0">
                  <c:v>2024</c:v>
                </c:pt>
                <c:pt idx="1">
                  <c:v>2025</c:v>
                </c:pt>
                <c:pt idx="2">
                  <c:v>2026</c:v>
                </c:pt>
                <c:pt idx="3">
                  <c:v>2027</c:v>
                </c:pt>
                <c:pt idx="4">
                  <c:v>2028</c:v>
                </c:pt>
                <c:pt idx="5">
                  <c:v>2029</c:v>
                </c:pt>
                <c:pt idx="6">
                  <c:v>2030</c:v>
                </c:pt>
              </c:numCache>
            </c:numRef>
          </c:cat>
          <c:val>
            <c:numRef>
              <c:f>'Nettleie 2024-2030'!$E$46:$E$52</c:f>
              <c:numCache>
                <c:formatCode>0.0\ %</c:formatCode>
                <c:ptCount val="7"/>
                <c:pt idx="0" formatCode="_ * #\ ##0.00_ ;_ * \-#\ ##0.00_ ;_ * &quot;-&quot;??_ ;_ @_ ">
                  <c:v>0</c:v>
                </c:pt>
                <c:pt idx="1">
                  <c:v>-2.1601233291098199E-2</c:v>
                </c:pt>
                <c:pt idx="2">
                  <c:v>3.9853459762659194E-2</c:v>
                </c:pt>
                <c:pt idx="3">
                  <c:v>9.6813158056574977E-2</c:v>
                </c:pt>
                <c:pt idx="4">
                  <c:v>0.17970873673563204</c:v>
                </c:pt>
                <c:pt idx="5">
                  <c:v>0.21779018562919328</c:v>
                </c:pt>
                <c:pt idx="6">
                  <c:v>0.2358928467609811</c:v>
                </c:pt>
              </c:numCache>
            </c:numRef>
          </c:val>
          <c:smooth val="0"/>
          <c:extLst>
            <c:ext xmlns:c16="http://schemas.microsoft.com/office/drawing/2014/chart" uri="{C3380CC4-5D6E-409C-BE32-E72D297353CC}">
              <c16:uniqueId val="{00000003-5FEE-4CA7-9109-482D58731C5C}"/>
            </c:ext>
          </c:extLst>
        </c:ser>
        <c:ser>
          <c:idx val="3"/>
          <c:order val="4"/>
          <c:tx>
            <c:strRef>
              <c:f>'Nettleie 2024-2030'!$A$56</c:f>
              <c:strCache>
                <c:ptCount val="1"/>
                <c:pt idx="0">
                  <c:v>Vestlandet</c:v>
                </c:pt>
              </c:strCache>
            </c:strRef>
          </c:tx>
          <c:spPr>
            <a:ln w="28575" cap="rnd">
              <a:solidFill>
                <a:schemeClr val="accent4"/>
              </a:solidFill>
              <a:round/>
            </a:ln>
            <a:effectLst/>
          </c:spPr>
          <c:marker>
            <c:symbol val="none"/>
          </c:marker>
          <c:cat>
            <c:numRef>
              <c:f>'Nettleie 2024-2030'!$A$59:$A$65</c:f>
              <c:numCache>
                <c:formatCode>General</c:formatCode>
                <c:ptCount val="7"/>
                <c:pt idx="0">
                  <c:v>2024</c:v>
                </c:pt>
                <c:pt idx="1">
                  <c:v>2025</c:v>
                </c:pt>
                <c:pt idx="2">
                  <c:v>2026</c:v>
                </c:pt>
                <c:pt idx="3">
                  <c:v>2027</c:v>
                </c:pt>
                <c:pt idx="4">
                  <c:v>2028</c:v>
                </c:pt>
                <c:pt idx="5">
                  <c:v>2029</c:v>
                </c:pt>
                <c:pt idx="6">
                  <c:v>2030</c:v>
                </c:pt>
              </c:numCache>
            </c:numRef>
          </c:cat>
          <c:val>
            <c:numRef>
              <c:f>'Nettleie 2024-2030'!$E$59:$E$65</c:f>
              <c:numCache>
                <c:formatCode>0.0\ %</c:formatCode>
                <c:ptCount val="7"/>
                <c:pt idx="0" formatCode="_ * #\ ##0.00_ ;_ * \-#\ ##0.00_ ;_ * &quot;-&quot;??_ ;_ @_ ">
                  <c:v>0</c:v>
                </c:pt>
                <c:pt idx="1">
                  <c:v>-1.7282096826366944E-2</c:v>
                </c:pt>
                <c:pt idx="2">
                  <c:v>2.4483676002343246E-2</c:v>
                </c:pt>
                <c:pt idx="3">
                  <c:v>7.5626427272640351E-2</c:v>
                </c:pt>
                <c:pt idx="4">
                  <c:v>0.14146618471743611</c:v>
                </c:pt>
                <c:pt idx="5">
                  <c:v>0.17187123574314134</c:v>
                </c:pt>
                <c:pt idx="6">
                  <c:v>0.18290704884966003</c:v>
                </c:pt>
              </c:numCache>
            </c:numRef>
          </c:val>
          <c:smooth val="0"/>
          <c:extLst>
            <c:ext xmlns:c16="http://schemas.microsoft.com/office/drawing/2014/chart" uri="{C3380CC4-5D6E-409C-BE32-E72D297353CC}">
              <c16:uniqueId val="{00000004-5FEE-4CA7-9109-482D58731C5C}"/>
            </c:ext>
          </c:extLst>
        </c:ser>
        <c:ser>
          <c:idx val="5"/>
          <c:order val="5"/>
          <c:tx>
            <c:v>Hele landet</c:v>
          </c:tx>
          <c:spPr>
            <a:ln w="28575" cap="rnd">
              <a:solidFill>
                <a:schemeClr val="accent6"/>
              </a:solidFill>
              <a:prstDash val="dash"/>
              <a:round/>
            </a:ln>
            <a:effectLst/>
          </c:spPr>
          <c:marker>
            <c:symbol val="none"/>
          </c:marker>
          <c:val>
            <c:numRef>
              <c:f>'Nettleie 2024-2030'!$E$73:$E$79</c:f>
              <c:numCache>
                <c:formatCode>0.0\ %</c:formatCode>
                <c:ptCount val="7"/>
                <c:pt idx="0" formatCode="_ * #\ ##0.00_ ;_ * \-#\ ##0.00_ ;_ * &quot;-&quot;??_ ;_ @_ ">
                  <c:v>0</c:v>
                </c:pt>
                <c:pt idx="1">
                  <c:v>-2.9570975233260022E-2</c:v>
                </c:pt>
                <c:pt idx="2">
                  <c:v>2.8013960800948645E-2</c:v>
                </c:pt>
                <c:pt idx="3">
                  <c:v>9.1310483027713385E-2</c:v>
                </c:pt>
                <c:pt idx="4">
                  <c:v>0.17361953484905035</c:v>
                </c:pt>
                <c:pt idx="5">
                  <c:v>0.21543463040317645</c:v>
                </c:pt>
                <c:pt idx="6">
                  <c:v>0.23260260135151922</c:v>
                </c:pt>
              </c:numCache>
            </c:numRef>
          </c:val>
          <c:smooth val="0"/>
          <c:extLst>
            <c:ext xmlns:c16="http://schemas.microsoft.com/office/drawing/2014/chart" uri="{C3380CC4-5D6E-409C-BE32-E72D297353CC}">
              <c16:uniqueId val="{00000005-5FEE-4CA7-9109-482D58731C5C}"/>
            </c:ext>
          </c:extLst>
        </c:ser>
        <c:dLbls>
          <c:showLegendKey val="0"/>
          <c:showVal val="0"/>
          <c:showCatName val="0"/>
          <c:showSerName val="0"/>
          <c:showPercent val="0"/>
          <c:showBubbleSize val="0"/>
        </c:dLbls>
        <c:smooth val="0"/>
        <c:axId val="1529344815"/>
        <c:axId val="1529340495"/>
      </c:lineChart>
      <c:catAx>
        <c:axId val="1529344815"/>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529340495"/>
        <c:crosses val="autoZero"/>
        <c:auto val="0"/>
        <c:lblAlgn val="ctr"/>
        <c:lblOffset val="100"/>
        <c:noMultiLvlLbl val="0"/>
      </c:catAx>
      <c:valAx>
        <c:axId val="1529340495"/>
        <c:scaling>
          <c:orientation val="minMax"/>
          <c:min val="-5.000000000000001E-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Utvikling i %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5293448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476250</xdr:colOff>
      <xdr:row>36</xdr:row>
      <xdr:rowOff>0</xdr:rowOff>
    </xdr:from>
    <xdr:to>
      <xdr:col>18</xdr:col>
      <xdr:colOff>438150</xdr:colOff>
      <xdr:row>54</xdr:row>
      <xdr:rowOff>66675</xdr:rowOff>
    </xdr:to>
    <xdr:graphicFrame macro="">
      <xdr:nvGraphicFramePr>
        <xdr:cNvPr id="2" name="Diagram 1">
          <a:extLst>
            <a:ext uri="{FF2B5EF4-FFF2-40B4-BE49-F238E27FC236}">
              <a16:creationId xmlns:a16="http://schemas.microsoft.com/office/drawing/2014/main" id="{834776C7-3292-4E5B-940A-1172D1CB4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257175</xdr:colOff>
      <xdr:row>15</xdr:row>
      <xdr:rowOff>66675</xdr:rowOff>
    </xdr:from>
    <xdr:to>
      <xdr:col>11</xdr:col>
      <xdr:colOff>647700</xdr:colOff>
      <xdr:row>33</xdr:row>
      <xdr:rowOff>155574</xdr:rowOff>
    </xdr:to>
    <xdr:graphicFrame macro="">
      <xdr:nvGraphicFramePr>
        <xdr:cNvPr id="100" name="Diagram 4">
          <a:extLst>
            <a:ext uri="{FF2B5EF4-FFF2-40B4-BE49-F238E27FC236}">
              <a16:creationId xmlns:a16="http://schemas.microsoft.com/office/drawing/2014/main" id="{FCCBC603-C04A-44F0-A89D-382DBBA57E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76200</xdr:colOff>
      <xdr:row>35</xdr:row>
      <xdr:rowOff>76199</xdr:rowOff>
    </xdr:from>
    <xdr:to>
      <xdr:col>12</xdr:col>
      <xdr:colOff>171450</xdr:colOff>
      <xdr:row>54</xdr:row>
      <xdr:rowOff>133349</xdr:rowOff>
    </xdr:to>
    <xdr:graphicFrame macro="">
      <xdr:nvGraphicFramePr>
        <xdr:cNvPr id="3" name="Diagram 4">
          <a:extLst>
            <a:ext uri="{FF2B5EF4-FFF2-40B4-BE49-F238E27FC236}">
              <a16:creationId xmlns:a16="http://schemas.microsoft.com/office/drawing/2014/main" id="{9F3B9051-6F15-4A47-9BAE-B7C3992DA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oneCellAnchor>
    <xdr:from>
      <xdr:col>5</xdr:col>
      <xdr:colOff>228600</xdr:colOff>
      <xdr:row>0</xdr:row>
      <xdr:rowOff>95250</xdr:rowOff>
    </xdr:from>
    <xdr:ext cx="5800725" cy="628650"/>
    <xdr:sp macro="" textlink="">
      <xdr:nvSpPr>
        <xdr:cNvPr id="3" name="TekstSylinder 2">
          <a:extLst>
            <a:ext uri="{FF2B5EF4-FFF2-40B4-BE49-F238E27FC236}">
              <a16:creationId xmlns:a16="http://schemas.microsoft.com/office/drawing/2014/main" id="{CC9B07E2-9664-4427-B2B2-9155BA099B48}"/>
            </a:ext>
          </a:extLst>
        </xdr:cNvPr>
        <xdr:cNvSpPr txBox="1"/>
      </xdr:nvSpPr>
      <xdr:spPr>
        <a:xfrm>
          <a:off x="5162550" y="95250"/>
          <a:ext cx="5800725" cy="628650"/>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baseline="0"/>
            <a:t>For framskriving av kostnader til forskning og utvikling (FoU) i distribusjonsnett og regionalnett har vi brukt FoU-kostnadene fra 2022 og latt de øke i takt med økningen i bokført verdi (BFV) i perioden 2023-2030. Statnett har bidratt med egne prognoser for transmisjonsnettet. </a:t>
          </a:r>
          <a:endParaRPr lang="nb-NO"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7</xdr:col>
      <xdr:colOff>171451</xdr:colOff>
      <xdr:row>1</xdr:row>
      <xdr:rowOff>142874</xdr:rowOff>
    </xdr:from>
    <xdr:ext cx="1628774" cy="695325"/>
    <xdr:sp macro="" textlink="">
      <xdr:nvSpPr>
        <xdr:cNvPr id="3" name="TekstSylinder 2">
          <a:extLst>
            <a:ext uri="{FF2B5EF4-FFF2-40B4-BE49-F238E27FC236}">
              <a16:creationId xmlns:a16="http://schemas.microsoft.com/office/drawing/2014/main" id="{33D5127E-AA69-4615-A0E7-FBE83ED08202}"/>
            </a:ext>
          </a:extLst>
        </xdr:cNvPr>
        <xdr:cNvSpPr txBox="1"/>
      </xdr:nvSpPr>
      <xdr:spPr>
        <a:xfrm>
          <a:off x="6905626" y="333374"/>
          <a:ext cx="1628774" cy="695325"/>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baseline="0"/>
            <a:t>Statnett har bidratt med egne prognoser for transmisjonsnettet. </a:t>
          </a:r>
          <a:endParaRPr lang="nb-NO" sz="1100"/>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4</xdr:col>
      <xdr:colOff>171450</xdr:colOff>
      <xdr:row>0</xdr:row>
      <xdr:rowOff>98424</xdr:rowOff>
    </xdr:from>
    <xdr:to>
      <xdr:col>13</xdr:col>
      <xdr:colOff>676275</xdr:colOff>
      <xdr:row>3</xdr:row>
      <xdr:rowOff>38100</xdr:rowOff>
    </xdr:to>
    <xdr:sp macro="" textlink="">
      <xdr:nvSpPr>
        <xdr:cNvPr id="7" name="TekstSylinder 1">
          <a:extLst>
            <a:ext uri="{FF2B5EF4-FFF2-40B4-BE49-F238E27FC236}">
              <a16:creationId xmlns:a16="http://schemas.microsoft.com/office/drawing/2014/main" id="{9D64A232-297B-45BF-AEF8-84C702C1C372}"/>
            </a:ext>
          </a:extLst>
        </xdr:cNvPr>
        <xdr:cNvSpPr txBox="1"/>
      </xdr:nvSpPr>
      <xdr:spPr>
        <a:xfrm>
          <a:off x="4191000" y="98424"/>
          <a:ext cx="10629900" cy="558801"/>
        </a:xfrm>
        <a:prstGeom prst="rect">
          <a:avLst/>
        </a:prstGeom>
        <a:solidFill>
          <a:schemeClr val="accent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Her finner vi ut hvor stor</a:t>
          </a:r>
          <a:r>
            <a:rPr lang="nb-NO" sz="1100" baseline="0"/>
            <a:t> andel av kostnader i overliggende (KON) nett som hører til husholdningene - dvs. andelen av tillatt inntekt som dekkes inn av husholdningene.</a:t>
          </a:r>
        </a:p>
        <a:p>
          <a:r>
            <a:rPr lang="nb-NO" sz="1100"/>
            <a:t>KON er den delen av sentralnettet</a:t>
          </a:r>
          <a:r>
            <a:rPr lang="nb-NO" sz="1100" baseline="0"/>
            <a:t> sine inntekter som kommer fra regionalnettet, og den delen av regionalnettet sine inntekter som kommer fra distribusjonsnettet.</a:t>
          </a:r>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xdr:colOff>
      <xdr:row>7</xdr:row>
      <xdr:rowOff>47625</xdr:rowOff>
    </xdr:from>
    <xdr:ext cx="5905499" cy="1095375"/>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4305301" y="1438275"/>
          <a:ext cx="5905499" cy="1095375"/>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a:t>Prognoser</a:t>
          </a:r>
          <a:r>
            <a:rPr lang="nb-NO" sz="1100" baseline="0"/>
            <a:t> for investeringer er sammenstilt av Energi- og konsesjonsavdelingen i NVE. Annleggsbidragsfinansierte </a:t>
          </a:r>
          <a:r>
            <a:rPr lang="nb-NO" sz="1100" baseline="0">
              <a:solidFill>
                <a:sysClr val="windowText" lastClr="000000"/>
              </a:solidFill>
            </a:rPr>
            <a:t>investeringer</a:t>
          </a:r>
          <a:r>
            <a:rPr lang="nb-NO" sz="1100" baseline="0"/>
            <a:t> holdes utenfor. For transmisjonsnettet benyttes Statnett sine egne prognoser for avkastning og avskrivinger, med unntak av justering for tidsetterslepet på kapital for 2031 og 2032 der investeringsprognoser for tranmisjonsnettet for 2029 og 2030 benyttes.</a:t>
          </a:r>
          <a:endParaRPr lang="nb-NO" sz="1100"/>
        </a:p>
      </xdr:txBody>
    </xdr:sp>
    <xdr:clientData/>
  </xdr:oneCellAnchor>
  <xdr:oneCellAnchor>
    <xdr:from>
      <xdr:col>4</xdr:col>
      <xdr:colOff>0</xdr:colOff>
      <xdr:row>39</xdr:row>
      <xdr:rowOff>76199</xdr:rowOff>
    </xdr:from>
    <xdr:ext cx="6010275" cy="1019175"/>
    <xdr:sp macro="" textlink="">
      <xdr:nvSpPr>
        <xdr:cNvPr id="3" name="TekstSylinder 2">
          <a:extLst>
            <a:ext uri="{FF2B5EF4-FFF2-40B4-BE49-F238E27FC236}">
              <a16:creationId xmlns:a16="http://schemas.microsoft.com/office/drawing/2014/main" id="{6085CE4B-8755-4105-AD09-CAA817D9A932}"/>
            </a:ext>
          </a:extLst>
        </xdr:cNvPr>
        <xdr:cNvSpPr txBox="1"/>
      </xdr:nvSpPr>
      <xdr:spPr>
        <a:xfrm>
          <a:off x="4305300" y="7553324"/>
          <a:ext cx="6010275" cy="1019175"/>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a:t>For</a:t>
          </a:r>
          <a:r>
            <a:rPr lang="nb-NO" sz="1100" baseline="0"/>
            <a:t> distribusjonsnett: Spørreundersøkelsen tok for seg perioden 2022-2028. For 2029 og 2030 er investeringsprognosene satt lik 2028.</a:t>
          </a:r>
        </a:p>
        <a:p>
          <a:endParaRPr lang="nb-NO" sz="1100" baseline="0"/>
        </a:p>
        <a:p>
          <a:r>
            <a:rPr lang="nb-NO" sz="1100" baseline="0"/>
            <a:t>For regionalnett: Pga. mangelfull rapportering etter 2026, har vi holdt inveseringsprognosene for perioden 2027-2030 lik 2026.</a:t>
          </a:r>
          <a:endParaRPr lang="nb-NO"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419100</xdr:colOff>
      <xdr:row>1</xdr:row>
      <xdr:rowOff>66675</xdr:rowOff>
    </xdr:from>
    <xdr:ext cx="5181600" cy="809626"/>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7724775" y="257175"/>
          <a:ext cx="5181600" cy="809626"/>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a:t>Bransjen</a:t>
          </a:r>
          <a:r>
            <a:rPr lang="nb-NO" sz="1100" baseline="0"/>
            <a:t> sitt nettap i MWh tillegges en årlig økning. Nettapet fordeles deretter ut på nettnivåene. </a:t>
          </a:r>
          <a:r>
            <a:rPr lang="nb-NO" sz="1100" baseline="0">
              <a:solidFill>
                <a:schemeClr val="dk1"/>
              </a:solidFill>
              <a:effectLst/>
              <a:latin typeface="+mn-lt"/>
              <a:ea typeface="+mn-ea"/>
              <a:cs typeface="+mn-cs"/>
            </a:rPr>
            <a:t>Energi- og konsesjonsavdelingen</a:t>
          </a:r>
          <a:r>
            <a:rPr lang="nb-NO" sz="1100" baseline="0"/>
            <a:t> i NVE har bidratt med prognose på nettap og kraftpris. </a:t>
          </a:r>
          <a:endParaRPr lang="nb-NO"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285750</xdr:colOff>
      <xdr:row>4</xdr:row>
      <xdr:rowOff>180975</xdr:rowOff>
    </xdr:from>
    <xdr:ext cx="3009900" cy="1181100"/>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8515350" y="990600"/>
          <a:ext cx="3009900" cy="1181100"/>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a:t>Verdiene</a:t>
          </a:r>
          <a:r>
            <a:rPr lang="nb-NO" sz="1100" baseline="0"/>
            <a:t> her er hentet fra vedtak om inntektsrammer for 2023 og varsel om inntektsrammer for 2024. Dette er kostnadsdata fra hhv. 2021 og 2022 som er inflasjonsjustert til 2023-nivå. </a:t>
          </a:r>
          <a:endParaRPr lang="nb-NO"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0</xdr:colOff>
      <xdr:row>1</xdr:row>
      <xdr:rowOff>0</xdr:rowOff>
    </xdr:from>
    <xdr:ext cx="5076825" cy="504825"/>
    <xdr:sp macro="" textlink="">
      <xdr:nvSpPr>
        <xdr:cNvPr id="3" name="TekstSylinder 2">
          <a:extLst>
            <a:ext uri="{FF2B5EF4-FFF2-40B4-BE49-F238E27FC236}">
              <a16:creationId xmlns:a16="http://schemas.microsoft.com/office/drawing/2014/main" id="{36414FE4-D580-4024-B5F5-D4A066BFDA3A}"/>
            </a:ext>
          </a:extLst>
        </xdr:cNvPr>
        <xdr:cNvSpPr txBox="1"/>
      </xdr:nvSpPr>
      <xdr:spPr>
        <a:xfrm>
          <a:off x="4724400" y="190500"/>
          <a:ext cx="5076825" cy="504825"/>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baseline="0"/>
            <a:t>Inntektsrammene (IR) er med direkte i framskrivingen av tillatt inntekt (TI), mens avskrivninger (AVS) og avkastning (AVK) brukes til å regne ut tidsetterslepet.</a:t>
          </a:r>
          <a:endParaRPr lang="nb-NO"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0</xdr:colOff>
      <xdr:row>1</xdr:row>
      <xdr:rowOff>0</xdr:rowOff>
    </xdr:from>
    <xdr:ext cx="5076825" cy="504825"/>
    <xdr:sp macro="" textlink="">
      <xdr:nvSpPr>
        <xdr:cNvPr id="2" name="TekstSylinder 1">
          <a:extLst>
            <a:ext uri="{FF2B5EF4-FFF2-40B4-BE49-F238E27FC236}">
              <a16:creationId xmlns:a16="http://schemas.microsoft.com/office/drawing/2014/main" id="{1812C96B-38EB-4474-8F49-EB9B077C5282}"/>
            </a:ext>
          </a:extLst>
        </xdr:cNvPr>
        <xdr:cNvSpPr txBox="1"/>
      </xdr:nvSpPr>
      <xdr:spPr>
        <a:xfrm>
          <a:off x="4724400" y="190500"/>
          <a:ext cx="5076825" cy="504825"/>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baseline="0"/>
            <a:t>Inntektsrammene (IR) er med direkte i framskrivingen av tillatt inntekt (TI), mens avskrivninger (AVS) og avkastning (AVK) brukes til å regne ut tidsetterslepet.</a:t>
          </a:r>
          <a:endParaRPr lang="nb-NO"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0</xdr:colOff>
      <xdr:row>1</xdr:row>
      <xdr:rowOff>0</xdr:rowOff>
    </xdr:from>
    <xdr:ext cx="5076825" cy="504825"/>
    <xdr:sp macro="" textlink="">
      <xdr:nvSpPr>
        <xdr:cNvPr id="2" name="TekstSylinder 1">
          <a:extLst>
            <a:ext uri="{FF2B5EF4-FFF2-40B4-BE49-F238E27FC236}">
              <a16:creationId xmlns:a16="http://schemas.microsoft.com/office/drawing/2014/main" id="{13A759E3-E60D-430E-84E0-9C506D75AC0F}"/>
            </a:ext>
          </a:extLst>
        </xdr:cNvPr>
        <xdr:cNvSpPr txBox="1"/>
      </xdr:nvSpPr>
      <xdr:spPr>
        <a:xfrm>
          <a:off x="4724400" y="190500"/>
          <a:ext cx="5076825" cy="504825"/>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baseline="0"/>
            <a:t>Inntektsrammene (IR) er med direkte i framskrivingen av tillatt inntekt (TI), mens avskrivninger (AVS) og avkastning (AVK) brukes til å regne ut tidsetterslepet.</a:t>
          </a:r>
          <a:endParaRPr lang="nb-NO"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0</xdr:colOff>
      <xdr:row>1</xdr:row>
      <xdr:rowOff>0</xdr:rowOff>
    </xdr:from>
    <xdr:ext cx="5076825" cy="504825"/>
    <xdr:sp macro="" textlink="">
      <xdr:nvSpPr>
        <xdr:cNvPr id="2" name="TekstSylinder 1">
          <a:extLst>
            <a:ext uri="{FF2B5EF4-FFF2-40B4-BE49-F238E27FC236}">
              <a16:creationId xmlns:a16="http://schemas.microsoft.com/office/drawing/2014/main" id="{C792CFEA-D074-4A12-8204-A210E84AF081}"/>
            </a:ext>
          </a:extLst>
        </xdr:cNvPr>
        <xdr:cNvSpPr txBox="1"/>
      </xdr:nvSpPr>
      <xdr:spPr>
        <a:xfrm>
          <a:off x="4724400" y="190500"/>
          <a:ext cx="5076825" cy="504825"/>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baseline="0"/>
            <a:t>Inntektsrammene (IR) er med direkte i framskrivingen av tillatt inntekt (TI), mens avskrivninger (AVS) og avkastning (AVK) brukes til å regne ut tidsetterslepet.</a:t>
          </a:r>
          <a:endParaRPr lang="nb-NO"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5</xdr:col>
      <xdr:colOff>0</xdr:colOff>
      <xdr:row>1</xdr:row>
      <xdr:rowOff>0</xdr:rowOff>
    </xdr:from>
    <xdr:ext cx="5076825" cy="504825"/>
    <xdr:sp macro="" textlink="">
      <xdr:nvSpPr>
        <xdr:cNvPr id="2" name="TekstSylinder 1">
          <a:extLst>
            <a:ext uri="{FF2B5EF4-FFF2-40B4-BE49-F238E27FC236}">
              <a16:creationId xmlns:a16="http://schemas.microsoft.com/office/drawing/2014/main" id="{04ABDA6C-F5C2-4C0F-9AF4-202059313AE5}"/>
            </a:ext>
          </a:extLst>
        </xdr:cNvPr>
        <xdr:cNvSpPr txBox="1"/>
      </xdr:nvSpPr>
      <xdr:spPr>
        <a:xfrm>
          <a:off x="4724400" y="190500"/>
          <a:ext cx="5076825" cy="504825"/>
        </a:xfrm>
        <a:prstGeom prst="rect">
          <a:avLst/>
        </a:prstGeom>
        <a:solidFill>
          <a:schemeClr val="accent3"/>
        </a:solidFill>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nb-NO" sz="1100" baseline="0"/>
            <a:t>Inntektsrammene (IR) er med direkte i framskrivingen av tillatt inntekt (TI), mens avskrivninger (AVS) og avkastning (AVK) brukes til å regne ut tidsetterslepet.</a:t>
          </a:r>
          <a:endParaRPr lang="nb-NO"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85D0C71-FEAB-42A8-93B0-3B4FA241C4C8}" name="Tabell1" displayName="Tabell1" ref="A1:A10" totalsRowShown="0" headerRowCellStyle="Prosent" dataCellStyle="Prosent">
  <autoFilter ref="A1:A10" xr:uid="{A85D0C71-FEAB-42A8-93B0-3B4FA241C4C8}"/>
  <tableColumns count="1">
    <tableColumn id="1" xr3:uid="{A07846D1-4906-4845-9B77-05FBCA1FB5EB}" name="Skalering" dataCellStyle="Prosent"/>
  </tableColumns>
  <tableStyleInfo name="TableStyleMedium2" showFirstColumn="0" showLastColumn="0" showRowStripes="1" showColumnStripes="0"/>
</table>
</file>

<file path=xl/theme/theme1.xml><?xml version="1.0" encoding="utf-8"?>
<a:theme xmlns:a="http://schemas.openxmlformats.org/drawingml/2006/main" name="Tema1">
  <a:themeElements>
    <a:clrScheme name="Egendefinert 1">
      <a:dk1>
        <a:srgbClr val="000000"/>
      </a:dk1>
      <a:lt1>
        <a:srgbClr val="FFFFFF"/>
      </a:lt1>
      <a:dk2>
        <a:srgbClr val="4C4D4F"/>
      </a:dk2>
      <a:lt2>
        <a:srgbClr val="E6E7E7"/>
      </a:lt2>
      <a:accent1>
        <a:srgbClr val="F32345"/>
      </a:accent1>
      <a:accent2>
        <a:srgbClr val="6C0819"/>
      </a:accent2>
      <a:accent3>
        <a:srgbClr val="FDD3DA"/>
      </a:accent3>
      <a:accent4>
        <a:srgbClr val="008FFB"/>
      </a:accent4>
      <a:accent5>
        <a:srgbClr val="00365F"/>
      </a:accent5>
      <a:accent6>
        <a:srgbClr val="00A25E"/>
      </a:accent6>
      <a:hlink>
        <a:srgbClr val="00667E"/>
      </a:hlink>
      <a:folHlink>
        <a:srgbClr val="003B23"/>
      </a:folHlink>
    </a:clrScheme>
    <a:fontScheme name="NVE Typografi">
      <a:majorFont>
        <a:latin typeface="Source Sans Pro SemiBold"/>
        <a:ea typeface=""/>
        <a:cs typeface=""/>
      </a:majorFont>
      <a:minorFont>
        <a:latin typeface="Source Sans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ublikasjoner.nve.no/rme_rapport/2024/rme_rapport2024_06.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0F648-DE40-442D-9BBA-BB3865CCB1F1}">
  <sheetPr>
    <tabColor theme="5"/>
  </sheetPr>
  <dimension ref="A1:X36"/>
  <sheetViews>
    <sheetView tabSelected="1" workbookViewId="0">
      <selection activeCell="A2" sqref="A2:X2"/>
    </sheetView>
  </sheetViews>
  <sheetFormatPr baseColWidth="10" defaultColWidth="11.42578125" defaultRowHeight="15" x14ac:dyDescent="0.25"/>
  <cols>
    <col min="1" max="16384" width="11.42578125" style="9"/>
  </cols>
  <sheetData>
    <row r="1" spans="1:24" ht="18.75" x14ac:dyDescent="0.3">
      <c r="A1" s="174" t="s">
        <v>169</v>
      </c>
      <c r="B1" s="174"/>
      <c r="C1" s="174"/>
      <c r="D1" s="174"/>
      <c r="E1" s="174"/>
      <c r="F1" s="174"/>
      <c r="G1" s="174"/>
      <c r="H1" s="174"/>
      <c r="I1" s="174"/>
      <c r="J1" s="174"/>
      <c r="K1" s="174"/>
      <c r="L1" s="174"/>
      <c r="M1" s="174"/>
      <c r="N1" s="174"/>
      <c r="O1" s="174"/>
      <c r="P1" s="174"/>
      <c r="Q1" s="174"/>
      <c r="R1" s="174"/>
      <c r="S1" s="174"/>
      <c r="T1" s="174"/>
      <c r="U1" s="174"/>
      <c r="V1" s="174"/>
      <c r="W1" s="174"/>
      <c r="X1" s="174"/>
    </row>
    <row r="2" spans="1:24" ht="18.75" x14ac:dyDescent="0.3">
      <c r="A2" s="174" t="s">
        <v>210</v>
      </c>
      <c r="B2" s="174"/>
      <c r="C2" s="174"/>
      <c r="D2" s="174"/>
      <c r="E2" s="174"/>
      <c r="F2" s="174"/>
      <c r="G2" s="174"/>
      <c r="H2" s="174"/>
      <c r="I2" s="174"/>
      <c r="J2" s="174"/>
      <c r="K2" s="174"/>
      <c r="L2" s="174"/>
      <c r="M2" s="174"/>
      <c r="N2" s="174"/>
      <c r="O2" s="174"/>
      <c r="P2" s="174"/>
      <c r="Q2" s="174"/>
      <c r="R2" s="174"/>
      <c r="S2" s="174"/>
      <c r="T2" s="174"/>
      <c r="U2" s="174"/>
      <c r="V2" s="174"/>
      <c r="W2" s="174"/>
      <c r="X2" s="174"/>
    </row>
    <row r="5" spans="1:24" x14ac:dyDescent="0.25">
      <c r="A5" s="9" t="s">
        <v>213</v>
      </c>
    </row>
    <row r="6" spans="1:24" x14ac:dyDescent="0.25">
      <c r="A6" s="9" t="s">
        <v>214</v>
      </c>
    </row>
    <row r="7" spans="1:24" x14ac:dyDescent="0.25">
      <c r="A7" s="173" t="s">
        <v>212</v>
      </c>
    </row>
    <row r="9" spans="1:24" x14ac:dyDescent="0.25">
      <c r="A9" s="9" t="s">
        <v>172</v>
      </c>
    </row>
    <row r="10" spans="1:24" x14ac:dyDescent="0.25">
      <c r="A10" s="9" t="s">
        <v>167</v>
      </c>
    </row>
    <row r="11" spans="1:24" x14ac:dyDescent="0.25">
      <c r="A11" s="9" t="s">
        <v>168</v>
      </c>
    </row>
    <row r="14" spans="1:24" x14ac:dyDescent="0.25">
      <c r="A14" s="9" t="s">
        <v>191</v>
      </c>
    </row>
    <row r="15" spans="1:24" x14ac:dyDescent="0.25">
      <c r="A15" s="169"/>
    </row>
    <row r="17" spans="1:1" x14ac:dyDescent="0.25">
      <c r="A17" s="170" t="s">
        <v>147</v>
      </c>
    </row>
    <row r="18" spans="1:1" x14ac:dyDescent="0.25">
      <c r="A18" s="44" t="s">
        <v>148</v>
      </c>
    </row>
    <row r="19" spans="1:1" x14ac:dyDescent="0.25">
      <c r="A19" s="44" t="s">
        <v>149</v>
      </c>
    </row>
    <row r="20" spans="1:1" x14ac:dyDescent="0.25">
      <c r="A20" s="44" t="s">
        <v>150</v>
      </c>
    </row>
    <row r="21" spans="1:1" x14ac:dyDescent="0.25">
      <c r="A21" s="44" t="s">
        <v>151</v>
      </c>
    </row>
    <row r="22" spans="1:1" x14ac:dyDescent="0.25">
      <c r="A22" s="44" t="s">
        <v>152</v>
      </c>
    </row>
    <row r="23" spans="1:1" x14ac:dyDescent="0.25">
      <c r="A23" s="44" t="s">
        <v>153</v>
      </c>
    </row>
    <row r="24" spans="1:1" x14ac:dyDescent="0.25">
      <c r="A24" s="44" t="s">
        <v>154</v>
      </c>
    </row>
    <row r="25" spans="1:1" x14ac:dyDescent="0.25">
      <c r="A25" s="44" t="s">
        <v>155</v>
      </c>
    </row>
    <row r="26" spans="1:1" x14ac:dyDescent="0.25">
      <c r="A26" s="44" t="s">
        <v>156</v>
      </c>
    </row>
    <row r="27" spans="1:1" x14ac:dyDescent="0.25">
      <c r="A27" s="44" t="s">
        <v>157</v>
      </c>
    </row>
    <row r="28" spans="1:1" x14ac:dyDescent="0.25">
      <c r="A28" s="44" t="s">
        <v>158</v>
      </c>
    </row>
    <row r="29" spans="1:1" x14ac:dyDescent="0.25">
      <c r="A29" s="44" t="s">
        <v>159</v>
      </c>
    </row>
    <row r="30" spans="1:1" x14ac:dyDescent="0.25">
      <c r="A30" s="44" t="s">
        <v>160</v>
      </c>
    </row>
    <row r="31" spans="1:1" x14ac:dyDescent="0.25">
      <c r="A31" s="44" t="s">
        <v>161</v>
      </c>
    </row>
    <row r="32" spans="1:1" x14ac:dyDescent="0.25">
      <c r="A32" s="44" t="s">
        <v>162</v>
      </c>
    </row>
    <row r="33" spans="1:6" x14ac:dyDescent="0.25">
      <c r="A33" s="44" t="s">
        <v>163</v>
      </c>
      <c r="F33" s="27"/>
    </row>
    <row r="34" spans="1:6" x14ac:dyDescent="0.25">
      <c r="A34" s="44" t="s">
        <v>164</v>
      </c>
    </row>
    <row r="35" spans="1:6" x14ac:dyDescent="0.25">
      <c r="A35" s="44" t="s">
        <v>165</v>
      </c>
    </row>
    <row r="36" spans="1:6" x14ac:dyDescent="0.25">
      <c r="A36" s="44" t="s">
        <v>166</v>
      </c>
    </row>
  </sheetData>
  <mergeCells count="2">
    <mergeCell ref="A1:X1"/>
    <mergeCell ref="A2:X2"/>
  </mergeCells>
  <hyperlinks>
    <hyperlink ref="A18" location="'Nettleie 2024-2030'!A1" display="'Nettleie 2024-2030'!A1" xr:uid="{EBAFBF94-1553-4755-B632-0FF216FAD266}"/>
    <hyperlink ref="A19" location="Forutsetninger!A1" display="Forutsetninger!A1" xr:uid="{A742F6CF-D465-4B25-B19C-466FDB0738F6}"/>
    <hyperlink ref="A20" location="Investeringer!A1" display="- Investeringer" xr:uid="{AB93FB31-B832-4F0F-B4D8-9553A1F2540C}"/>
    <hyperlink ref="A21" location="Nettap!A1" display="' - Nettap" xr:uid="{31A45516-0A0E-4AFF-BC50-23B8C09C5F58}"/>
    <hyperlink ref="A22" location="'IR 2023-2024'!A1" display="' - IR 2023-2024" xr:uid="{98D16261-B936-43D7-8730-501E8DE15D35}"/>
    <hyperlink ref="A23" location="'Østlandet IR 2023-2030'!A1" display="' - Østlandet IR 2023-2030" xr:uid="{6616B2E2-2D36-4D8E-8B4E-4A86788F310A}"/>
    <hyperlink ref="A24" location="'Sørlandet IR 2023-2030'!A1" display="' - Sørlandet IR 2023-2030" xr:uid="{506E4A9D-5449-4B69-9780-C6D245AC8D97}"/>
    <hyperlink ref="A25" location="'Midt-Norge IR 2023-2030'!A1" display="' - Midt-Norge IR 2023-2030" xr:uid="{7471E9C5-1CFD-414C-A727-00DAACDBCF1E}"/>
    <hyperlink ref="A26" location="'Nord-Norge IR 2023-2030'!A1" display="' - Nord-Norge IR 2023-2030" xr:uid="{CDFB73AD-0654-4507-9EB6-9B13AFD3AEF4}"/>
    <hyperlink ref="A27" location="'Vestlandet IR 2023-2030'!A1" display="' - Vestlandet IR 2023-2030" xr:uid="{3E8E4E9D-D421-437E-B7A4-898197AB1205}"/>
    <hyperlink ref="A28" location="'IR T-nett 2024-2030'!A1" display="' - IR T-nett 2024-2030" xr:uid="{87B5B6E6-7554-41CE-A975-493B99AEFEF0}"/>
    <hyperlink ref="A29" location="Tidsetterslep!A1" display="' - Tidsetterslep" xr:uid="{7AACE9FF-E052-44F3-AFF1-8C0EBEE61161}"/>
    <hyperlink ref="A30" location="FoU!A1" display="' - FoU" xr:uid="{09A4EE46-6586-4885-B65B-B7640F0F7EA5}"/>
    <hyperlink ref="A31" location="Skatt!A1" display="' - Skatt" xr:uid="{016C22F7-4018-42E4-8080-FD4610EB8DA6}"/>
    <hyperlink ref="A32" location="KON!A1" display="' - KON" xr:uid="{66F21FD9-23F7-4E77-A1EA-BEB7079B7515}"/>
    <hyperlink ref="A33" location="'Elhub&amp;Elbits'!A1" display="' - Elhub&amp;Elbits" xr:uid="{D3A23A04-2278-4469-80FB-A0CC8194E7AC}"/>
    <hyperlink ref="A34" location="'TI 2024-2030'!A1" display="' - TI 2024-2030" xr:uid="{43BD7529-494B-496A-9C7E-9BE7C3A8686C}"/>
    <hyperlink ref="A35" location="'Forbruk MWh'!A1" display="' - Forbruk MWh" xr:uid="{1C1DC7E7-4D9F-4111-9C39-FD216A4DB147}"/>
    <hyperlink ref="A36" location="Fordelingsnøkler!A1" display="' - Fordelingsnøkler" xr:uid="{338C41E4-A619-43B0-970F-AA642B160FEF}"/>
    <hyperlink ref="A7" r:id="rId1" tooltip="https://publikasjoner.nve.no/rme_rapport/2024/rme_rapport2024_06.pdf" xr:uid="{3C2E3BCD-5D3E-47A1-ADDE-7CC80D678A9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6E79-A02B-4077-8A92-4B257D2C25D0}">
  <sheetPr>
    <tabColor theme="8"/>
  </sheetPr>
  <dimension ref="A1:V46"/>
  <sheetViews>
    <sheetView workbookViewId="0">
      <selection activeCell="B8" sqref="B8"/>
    </sheetView>
  </sheetViews>
  <sheetFormatPr baseColWidth="10" defaultColWidth="11.42578125" defaultRowHeight="15" x14ac:dyDescent="0.25"/>
  <cols>
    <col min="1" max="1" width="21.85546875" style="9" bestFit="1" customWidth="1"/>
    <col min="2" max="2" width="12.85546875" style="9" customWidth="1"/>
    <col min="3" max="3" width="13.28515625" style="9" customWidth="1"/>
    <col min="4" max="6" width="11.42578125" style="9"/>
    <col min="7" max="8" width="12.28515625" style="9" customWidth="1"/>
    <col min="9" max="10" width="11.42578125" style="9"/>
    <col min="11" max="11" width="12.28515625" style="9" customWidth="1"/>
    <col min="12" max="12" width="11.42578125" style="9"/>
    <col min="13" max="13" width="8.140625" style="9" customWidth="1"/>
    <col min="14" max="14" width="10.5703125" style="9" customWidth="1"/>
    <col min="15" max="15" width="12.5703125" style="9" customWidth="1"/>
    <col min="16" max="16" width="13.28515625" style="9" customWidth="1"/>
    <col min="17" max="16384" width="11.42578125" style="9"/>
  </cols>
  <sheetData>
    <row r="1" spans="1:14" x14ac:dyDescent="0.25">
      <c r="A1" s="45" t="s">
        <v>170</v>
      </c>
    </row>
    <row r="2" spans="1:14" ht="18.75" x14ac:dyDescent="0.3">
      <c r="A2" s="175" t="s">
        <v>197</v>
      </c>
      <c r="B2" s="176"/>
      <c r="C2" s="176"/>
      <c r="D2" s="177"/>
    </row>
    <row r="5" spans="1:14" x14ac:dyDescent="0.25">
      <c r="A5" s="183" t="s">
        <v>10</v>
      </c>
      <c r="B5" s="183"/>
      <c r="C5" s="183"/>
      <c r="D5" s="183"/>
      <c r="E5" s="183"/>
      <c r="F5" s="183"/>
      <c r="G5" s="183"/>
      <c r="H5" s="183"/>
      <c r="I5" s="183"/>
      <c r="J5" s="183"/>
      <c r="K5" s="183"/>
      <c r="L5" s="183"/>
      <c r="M5" s="183"/>
      <c r="N5" s="183"/>
    </row>
    <row r="6" spans="1:14" ht="15.75" thickBot="1" x14ac:dyDescent="0.3">
      <c r="A6" s="16"/>
      <c r="B6" s="16"/>
      <c r="C6" s="16"/>
      <c r="D6" s="94"/>
      <c r="E6" s="16"/>
      <c r="F6" s="16"/>
      <c r="G6" s="29"/>
      <c r="H6" s="95"/>
      <c r="J6" s="99"/>
      <c r="K6" s="179" t="s">
        <v>66</v>
      </c>
      <c r="L6" s="184"/>
      <c r="M6" s="179" t="s">
        <v>67</v>
      </c>
      <c r="N6" s="179"/>
    </row>
    <row r="7" spans="1:14" ht="15.75" thickBot="1" x14ac:dyDescent="0.3">
      <c r="A7" s="99"/>
      <c r="B7" s="98" t="s">
        <v>62</v>
      </c>
      <c r="C7" s="98" t="s">
        <v>63</v>
      </c>
      <c r="D7" s="98" t="s">
        <v>64</v>
      </c>
      <c r="E7" s="98" t="s">
        <v>68</v>
      </c>
      <c r="F7" s="98" t="s">
        <v>69</v>
      </c>
      <c r="G7" s="63" t="s">
        <v>70</v>
      </c>
      <c r="H7" s="50" t="s">
        <v>71</v>
      </c>
      <c r="J7" s="99"/>
      <c r="K7" s="98" t="s">
        <v>64</v>
      </c>
      <c r="L7" s="158" t="s">
        <v>63</v>
      </c>
      <c r="M7" s="98" t="s">
        <v>64</v>
      </c>
      <c r="N7" s="98" t="s">
        <v>63</v>
      </c>
    </row>
    <row r="8" spans="1:14" x14ac:dyDescent="0.25">
      <c r="A8" s="100">
        <v>2023</v>
      </c>
      <c r="B8" s="33">
        <f>'IR 2023-2024'!$B$24</f>
        <v>1097791.4996252379</v>
      </c>
      <c r="C8" s="33">
        <f>L8+N8</f>
        <v>9059586.8800000008</v>
      </c>
      <c r="D8" s="33">
        <f t="shared" ref="D8:D17" si="0">K8+M8</f>
        <v>392155</v>
      </c>
      <c r="E8" s="33">
        <f>Nettap!N17</f>
        <v>432983</v>
      </c>
      <c r="F8" s="33">
        <f>E8*Nettap!S29</f>
        <v>152791.32265881592</v>
      </c>
      <c r="G8" s="101">
        <f>(C8+(C8*Forutsetninger!$B$4))*Forutsetninger!B8</f>
        <v>764955.27779968001</v>
      </c>
      <c r="H8" s="33">
        <f>B8+D8+F8+G8</f>
        <v>2407693.1000837339</v>
      </c>
      <c r="J8" s="100">
        <v>2023</v>
      </c>
      <c r="K8" s="33">
        <f>'IR 2023-2024'!$B$26</f>
        <v>392155</v>
      </c>
      <c r="L8" s="101">
        <f>'IR 2023-2024'!$B$25</f>
        <v>9059586.8800000008</v>
      </c>
      <c r="M8" s="31"/>
      <c r="N8" s="31"/>
    </row>
    <row r="9" spans="1:14" x14ac:dyDescent="0.25">
      <c r="A9" s="103">
        <v>2024</v>
      </c>
      <c r="B9" s="84">
        <f>'IR 2023-2024'!$F$24</f>
        <v>1139237.4311723011</v>
      </c>
      <c r="C9" s="84">
        <f t="shared" ref="C9:C17" si="1">L9+N9</f>
        <v>9440899.25</v>
      </c>
      <c r="D9" s="84">
        <f t="shared" si="0"/>
        <v>407015</v>
      </c>
      <c r="E9" s="84">
        <f>Nettap!N18</f>
        <v>424256</v>
      </c>
      <c r="F9" s="84">
        <f>E9*Nettap!S30</f>
        <v>161606.86495232454</v>
      </c>
      <c r="G9" s="104">
        <f>(C9+(C9*Forutsetninger!$B$4))*Forutsetninger!B9</f>
        <v>718008.71066025004</v>
      </c>
      <c r="H9" s="84">
        <f t="shared" ref="H9:H15" si="2">B9+D9+F9+G9</f>
        <v>2425868.0067848754</v>
      </c>
      <c r="J9" s="103">
        <v>2024</v>
      </c>
      <c r="K9" s="84">
        <f>'IR 2023-2024'!$F$26</f>
        <v>407015</v>
      </c>
      <c r="L9" s="104">
        <f>'IR 2023-2024'!$F$25</f>
        <v>9440899.25</v>
      </c>
      <c r="M9" s="110"/>
      <c r="N9" s="110"/>
    </row>
    <row r="10" spans="1:14" x14ac:dyDescent="0.25">
      <c r="A10" s="100">
        <v>2025</v>
      </c>
      <c r="B10" s="33">
        <f>AVERAGE(B8:B9)</f>
        <v>1118514.4653987694</v>
      </c>
      <c r="C10" s="33">
        <f t="shared" si="1"/>
        <v>10460947.787113048</v>
      </c>
      <c r="D10" s="33">
        <f t="shared" si="0"/>
        <v>434789.07950056065</v>
      </c>
      <c r="E10" s="33">
        <f>Nettap!N19</f>
        <v>428629.620191316</v>
      </c>
      <c r="F10" s="33">
        <f>E10*Nettap!S31</f>
        <v>142394.36031636479</v>
      </c>
      <c r="G10" s="101">
        <f>(C10+(C10*Forutsetninger!$B$4))*Forutsetninger!B10</f>
        <v>715288.22683942888</v>
      </c>
      <c r="H10" s="33">
        <f t="shared" si="2"/>
        <v>2410986.1320551238</v>
      </c>
      <c r="J10" s="100">
        <v>2025</v>
      </c>
      <c r="K10" s="96">
        <f>K9-Fordelingsnøkler!$E$5</f>
        <v>398418.13908522041</v>
      </c>
      <c r="L10" s="102">
        <f t="shared" ref="L10:L17" si="3">L9-K10</f>
        <v>9042481.1109147798</v>
      </c>
      <c r="M10" s="33">
        <f>Investeringer!B38/Forutsetninger!$E$4</f>
        <v>36370.940415340236</v>
      </c>
      <c r="N10" s="33">
        <f>Investeringer!B38-'Nord-Norge IR 2023-2030'!M10</f>
        <v>1418466.6761982692</v>
      </c>
    </row>
    <row r="11" spans="1:14" x14ac:dyDescent="0.25">
      <c r="A11" s="103">
        <v>2026</v>
      </c>
      <c r="B11" s="84">
        <f>B10</f>
        <v>1118514.4653987694</v>
      </c>
      <c r="C11" s="84">
        <f t="shared" si="1"/>
        <v>11238940.726924933</v>
      </c>
      <c r="D11" s="84">
        <f t="shared" si="0"/>
        <v>457068.76110879809</v>
      </c>
      <c r="E11" s="84">
        <f>Nettap!N20</f>
        <v>437310.82367495453</v>
      </c>
      <c r="F11" s="84">
        <f>E11*Nettap!S32</f>
        <v>153156.92083506676</v>
      </c>
      <c r="G11" s="104">
        <f>(C11+(C11*Forutsetninger!$B$4))*Forutsetninger!B11</f>
        <v>681079.80805165088</v>
      </c>
      <c r="H11" s="84">
        <f t="shared" si="2"/>
        <v>2409819.9553942848</v>
      </c>
      <c r="J11" s="103">
        <v>2026</v>
      </c>
      <c r="K11" s="111">
        <f>K10-Fordelingsnøkler!$E$5</f>
        <v>389821.27817044081</v>
      </c>
      <c r="L11" s="112">
        <f t="shared" si="3"/>
        <v>8652659.8327443395</v>
      </c>
      <c r="M11" s="84">
        <f>M10+Investeringer!B39/Forutsetninger!$E$4</f>
        <v>67247.48293835728</v>
      </c>
      <c r="N11" s="84">
        <f>N10+Investeringer!B39-'Nord-Norge IR 2023-2030'!M11</f>
        <v>2586280.8941805935</v>
      </c>
    </row>
    <row r="12" spans="1:14" x14ac:dyDescent="0.25">
      <c r="A12" s="100">
        <v>2027</v>
      </c>
      <c r="B12" s="33">
        <f t="shared" ref="B12:B15" si="4">B11</f>
        <v>1118514.4653987694</v>
      </c>
      <c r="C12" s="33">
        <f t="shared" si="1"/>
        <v>11903506.462784939</v>
      </c>
      <c r="D12" s="33">
        <f t="shared" si="0"/>
        <v>477011.32675950625</v>
      </c>
      <c r="E12" s="33">
        <f>Nettap!N21</f>
        <v>447273.81904709584</v>
      </c>
      <c r="F12" s="33">
        <f>E12*Nettap!S33</f>
        <v>150781.14804969504</v>
      </c>
      <c r="G12" s="101">
        <f>(C12+(C12*Forutsetninger!$B$4))*Forutsetninger!B12</f>
        <v>721352.49164476723</v>
      </c>
      <c r="H12" s="33">
        <f t="shared" si="2"/>
        <v>2467659.4318527379</v>
      </c>
      <c r="J12" s="100">
        <v>2027</v>
      </c>
      <c r="K12" s="96">
        <f>K11-Fordelingsnøkler!$E$5</f>
        <v>381224.41725566122</v>
      </c>
      <c r="L12" s="102">
        <f t="shared" si="3"/>
        <v>8271435.415488678</v>
      </c>
      <c r="M12" s="33">
        <f>M11+Investeringer!B40/Forutsetninger!$E$4</f>
        <v>95786.909503845061</v>
      </c>
      <c r="N12" s="33">
        <f>N11+Investeringer!B40-'Nord-Norge IR 2023-2030'!M12</f>
        <v>3632071.0472962596</v>
      </c>
    </row>
    <row r="13" spans="1:14" x14ac:dyDescent="0.25">
      <c r="A13" s="103">
        <v>2028</v>
      </c>
      <c r="B13" s="84">
        <f t="shared" si="4"/>
        <v>1118514.4653987694</v>
      </c>
      <c r="C13" s="84">
        <f t="shared" si="1"/>
        <v>12548515.246732488</v>
      </c>
      <c r="D13" s="84">
        <f t="shared" si="0"/>
        <v>496963.77994196455</v>
      </c>
      <c r="E13" s="84">
        <f>Nettap!N22</f>
        <v>449319.52415206877</v>
      </c>
      <c r="F13" s="84">
        <f>E13*Nettap!S34</f>
        <v>214957.90513736836</v>
      </c>
      <c r="G13" s="104">
        <f>(C13+(C13*Forutsetninger!$B$4))*Forutsetninger!B13</f>
        <v>760440.02395198878</v>
      </c>
      <c r="H13" s="84">
        <f t="shared" si="2"/>
        <v>2590876.1744300909</v>
      </c>
      <c r="J13" s="103">
        <v>2028</v>
      </c>
      <c r="K13" s="111">
        <f>K12-Fordelingsnøkler!$E$5</f>
        <v>372627.55634088162</v>
      </c>
      <c r="L13" s="112">
        <f t="shared" si="3"/>
        <v>7898807.8591477964</v>
      </c>
      <c r="M13" s="84">
        <f>M12+Investeringer!B41/Forutsetninger!$E$4</f>
        <v>124336.22360108294</v>
      </c>
      <c r="N13" s="84">
        <f>N12+Investeringer!B41-'Nord-Norge IR 2023-2030'!M13</f>
        <v>4649707.3875846909</v>
      </c>
    </row>
    <row r="14" spans="1:14" x14ac:dyDescent="0.25">
      <c r="A14" s="100">
        <v>2029</v>
      </c>
      <c r="B14" s="33">
        <f t="shared" si="4"/>
        <v>1118514.4653987694</v>
      </c>
      <c r="C14" s="33">
        <f t="shared" si="1"/>
        <v>13166868.05589271</v>
      </c>
      <c r="D14" s="33">
        <f t="shared" si="0"/>
        <v>516744.34795506718</v>
      </c>
      <c r="E14" s="33">
        <f>Nettap!N23</f>
        <v>451915.97082873597</v>
      </c>
      <c r="F14" s="33">
        <f>E14*Nettap!S35</f>
        <v>280054.05946712237</v>
      </c>
      <c r="G14" s="101">
        <f>(C14+(C14*Forutsetninger!$B$4))*Forutsetninger!B14</f>
        <v>797912.20418709819</v>
      </c>
      <c r="H14" s="33">
        <f t="shared" si="2"/>
        <v>2713225.0770080574</v>
      </c>
      <c r="J14" s="100">
        <v>2029</v>
      </c>
      <c r="K14" s="96">
        <f>K13-Fordelingsnøkler!$E$5</f>
        <v>364030.69542610203</v>
      </c>
      <c r="L14" s="102">
        <f t="shared" si="3"/>
        <v>7534777.1637216946</v>
      </c>
      <c r="M14" s="33">
        <f>M13+Investeringer!B42/Forutsetninger!$E$4</f>
        <v>152713.65252896518</v>
      </c>
      <c r="N14" s="33">
        <f>N13+Investeringer!B42-'Nord-Norge IR 2023-2030'!M14</f>
        <v>5632090.892171016</v>
      </c>
    </row>
    <row r="15" spans="1:14" x14ac:dyDescent="0.25">
      <c r="A15" s="103">
        <v>2030</v>
      </c>
      <c r="B15" s="84">
        <f t="shared" si="4"/>
        <v>1118514.4653987694</v>
      </c>
      <c r="C15" s="84">
        <f t="shared" si="1"/>
        <v>13684940.584759772</v>
      </c>
      <c r="D15" s="84">
        <f t="shared" si="0"/>
        <v>534460.82078150171</v>
      </c>
      <c r="E15" s="84">
        <f>Nettap!N24</f>
        <v>455063.15907709795</v>
      </c>
      <c r="F15" s="84">
        <f>E15*Nettap!S36</f>
        <v>346303.06405767152</v>
      </c>
      <c r="G15" s="104">
        <f>(C15+(C15*Forutsetninger!$B$4))*Forutsetninger!B15</f>
        <v>829307.39943644218</v>
      </c>
      <c r="H15" s="84">
        <f t="shared" si="2"/>
        <v>2828585.7496743845</v>
      </c>
      <c r="J15" s="103">
        <v>2030</v>
      </c>
      <c r="K15" s="111">
        <f>K14-Fordelingsnøkler!$E$5</f>
        <v>355433.83451132243</v>
      </c>
      <c r="L15" s="112">
        <f t="shared" si="3"/>
        <v>7179343.3292103726</v>
      </c>
      <c r="M15" s="84">
        <f>M14+Investeringer!B43/Forutsetninger!$E$4</f>
        <v>179026.98627017924</v>
      </c>
      <c r="N15" s="84">
        <f>N14+Investeringer!B43-'Nord-Norge IR 2023-2030'!M15</f>
        <v>6505597.2555494001</v>
      </c>
    </row>
    <row r="16" spans="1:14" x14ac:dyDescent="0.25">
      <c r="A16" s="100">
        <v>2031</v>
      </c>
      <c r="B16" s="97"/>
      <c r="C16" s="33">
        <f t="shared" si="1"/>
        <v>14185296.6408004</v>
      </c>
      <c r="D16" s="33">
        <f t="shared" si="0"/>
        <v>552177.29360793612</v>
      </c>
      <c r="E16" s="97"/>
      <c r="F16" s="97"/>
      <c r="G16" s="101">
        <f>(C16+(C16*Forutsetninger!B4))*Forutsetninger!B15</f>
        <v>859628.97643250413</v>
      </c>
      <c r="H16" s="14"/>
      <c r="J16" s="100">
        <v>2031</v>
      </c>
      <c r="K16" s="96">
        <f>K15-Fordelingsnøkler!$E$5</f>
        <v>346836.97359654284</v>
      </c>
      <c r="L16" s="102">
        <f t="shared" si="3"/>
        <v>6832506.3556138296</v>
      </c>
      <c r="M16" s="33">
        <f>M15+Investeringer!B44/Forutsetninger!$E$4</f>
        <v>205340.32001139331</v>
      </c>
      <c r="N16" s="33">
        <f>N15+Investeringer!B44-'Nord-Norge IR 2023-2030'!M16</f>
        <v>7352790.2851865701</v>
      </c>
    </row>
    <row r="17" spans="1:22" ht="15.75" thickBot="1" x14ac:dyDescent="0.3">
      <c r="A17" s="106">
        <v>2032</v>
      </c>
      <c r="B17" s="107"/>
      <c r="C17" s="85">
        <f t="shared" si="1"/>
        <v>14667936.224014591</v>
      </c>
      <c r="D17" s="85">
        <f t="shared" si="0"/>
        <v>569893.76643437066</v>
      </c>
      <c r="E17" s="107"/>
      <c r="F17" s="107"/>
      <c r="G17" s="108">
        <f>(C17+(C17*Forutsetninger!B4))*Forutsetninger!B15</f>
        <v>888876.93517528428</v>
      </c>
      <c r="H17" s="109"/>
      <c r="J17" s="103">
        <v>2032</v>
      </c>
      <c r="K17" s="111">
        <f>K16-Fordelingsnøkler!$E$5</f>
        <v>338240.11268176325</v>
      </c>
      <c r="L17" s="112">
        <f t="shared" si="3"/>
        <v>6494266.2429320663</v>
      </c>
      <c r="M17" s="84">
        <f>M16+Investeringer!B45/Forutsetninger!$E$4</f>
        <v>231653.65375260738</v>
      </c>
      <c r="N17" s="84">
        <f>N16+Investeringer!B45-'Nord-Norge IR 2023-2030'!M17</f>
        <v>8173669.981082526</v>
      </c>
    </row>
    <row r="18" spans="1:22" x14ac:dyDescent="0.25">
      <c r="A18" s="54" t="s">
        <v>72</v>
      </c>
      <c r="B18" s="67">
        <f t="shared" ref="B18:G18" si="5">(B15-B9)/B9</f>
        <v>-1.8190207946562377E-2</v>
      </c>
      <c r="C18" s="67">
        <f t="shared" si="5"/>
        <v>0.44953782710474022</v>
      </c>
      <c r="D18" s="67">
        <f t="shared" si="5"/>
        <v>0.31312315462944046</v>
      </c>
      <c r="E18" s="67">
        <f t="shared" si="5"/>
        <v>7.2614551301803512E-2</v>
      </c>
      <c r="F18" s="67">
        <f t="shared" si="5"/>
        <v>1.142873473598006</v>
      </c>
      <c r="G18" s="105">
        <f t="shared" si="5"/>
        <v>0.15501022080058977</v>
      </c>
      <c r="H18" s="67">
        <f>(H15-H9)/H9</f>
        <v>0.16600975063900986</v>
      </c>
      <c r="K18" s="31"/>
      <c r="L18" s="31"/>
      <c r="M18" s="31"/>
      <c r="N18" s="31"/>
      <c r="O18" s="31"/>
      <c r="P18" s="31"/>
    </row>
    <row r="20" spans="1:22" x14ac:dyDescent="0.25">
      <c r="A20" s="183" t="s">
        <v>12</v>
      </c>
      <c r="B20" s="183"/>
      <c r="C20" s="183"/>
      <c r="D20" s="183"/>
      <c r="E20" s="183"/>
      <c r="F20" s="183"/>
      <c r="G20" s="183"/>
      <c r="H20" s="183"/>
      <c r="I20" s="183"/>
      <c r="J20" s="183"/>
      <c r="K20" s="183"/>
      <c r="L20" s="183"/>
      <c r="M20" s="183"/>
      <c r="N20" s="183"/>
    </row>
    <row r="21" spans="1:22" ht="15.75" thickBot="1" x14ac:dyDescent="0.3">
      <c r="A21" s="16"/>
      <c r="B21" s="16"/>
      <c r="C21" s="16"/>
      <c r="D21" s="94"/>
      <c r="E21" s="16"/>
      <c r="F21" s="16"/>
      <c r="G21" s="29"/>
      <c r="H21" s="95"/>
      <c r="J21" s="99"/>
      <c r="K21" s="179" t="s">
        <v>66</v>
      </c>
      <c r="L21" s="184"/>
      <c r="M21" s="179" t="s">
        <v>67</v>
      </c>
      <c r="N21" s="179"/>
      <c r="P21" s="16"/>
    </row>
    <row r="22" spans="1:22" ht="15.75" thickBot="1" x14ac:dyDescent="0.3">
      <c r="A22" s="99"/>
      <c r="B22" s="98" t="s">
        <v>62</v>
      </c>
      <c r="C22" s="98" t="s">
        <v>63</v>
      </c>
      <c r="D22" s="98" t="s">
        <v>64</v>
      </c>
      <c r="E22" s="98" t="s">
        <v>68</v>
      </c>
      <c r="F22" s="98" t="s">
        <v>69</v>
      </c>
      <c r="G22" s="63" t="s">
        <v>70</v>
      </c>
      <c r="H22" s="50" t="s">
        <v>71</v>
      </c>
      <c r="J22" s="160"/>
      <c r="K22" s="98" t="s">
        <v>64</v>
      </c>
      <c r="L22" s="158" t="s">
        <v>63</v>
      </c>
      <c r="M22" s="98" t="s">
        <v>64</v>
      </c>
      <c r="N22" s="98" t="s">
        <v>63</v>
      </c>
      <c r="P22" s="32"/>
      <c r="Q22" s="16"/>
      <c r="S22" s="14"/>
      <c r="T22" s="14"/>
      <c r="U22" s="14"/>
      <c r="V22" s="14"/>
    </row>
    <row r="23" spans="1:22" x14ac:dyDescent="0.25">
      <c r="A23" s="100">
        <v>2023</v>
      </c>
      <c r="B23" s="33">
        <f>'IR 2023-2024'!$C$24</f>
        <v>221955.36700904631</v>
      </c>
      <c r="C23" s="33">
        <f t="shared" ref="C23:C32" si="6">L23+N23</f>
        <v>5081047.4000000004</v>
      </c>
      <c r="D23" s="33">
        <f t="shared" ref="D23:D32" si="7">K23+M23</f>
        <v>158548</v>
      </c>
      <c r="E23" s="33">
        <f>Nettap!O17</f>
        <v>348360</v>
      </c>
      <c r="F23" s="33">
        <f>E23*Nettap!S29</f>
        <v>122929.50337871257</v>
      </c>
      <c r="G23" s="101">
        <f>(C23*(1+Forutsetninger!$B$4))*(Forutsetninger!B8)</f>
        <v>429023.31826640002</v>
      </c>
      <c r="H23" s="33">
        <f t="shared" ref="H23:H30" si="8">B23+D23+F23+G23</f>
        <v>932456.18865415896</v>
      </c>
      <c r="J23" s="100">
        <v>2023</v>
      </c>
      <c r="K23" s="33">
        <f>'IR 2023-2024'!$C$26</f>
        <v>158548</v>
      </c>
      <c r="L23" s="101">
        <f>'IR 2023-2024'!$C$25</f>
        <v>5081047.4000000004</v>
      </c>
      <c r="M23" s="31"/>
      <c r="N23" s="31"/>
      <c r="P23" s="31"/>
      <c r="S23" s="14"/>
      <c r="T23" s="14"/>
      <c r="U23" s="14"/>
      <c r="V23" s="14"/>
    </row>
    <row r="24" spans="1:22" x14ac:dyDescent="0.25">
      <c r="A24" s="103">
        <v>2024</v>
      </c>
      <c r="B24" s="84">
        <f>'IR 2023-2024'!$G$24</f>
        <v>211085.01015389929</v>
      </c>
      <c r="C24" s="84">
        <f t="shared" si="6"/>
        <v>5421787.0600000015</v>
      </c>
      <c r="D24" s="84">
        <f t="shared" si="7"/>
        <v>177249</v>
      </c>
      <c r="E24" s="84">
        <f>Nettap!O18</f>
        <v>381354</v>
      </c>
      <c r="F24" s="84">
        <f>E24*Nettap!S30</f>
        <v>145264.70898945158</v>
      </c>
      <c r="G24" s="104">
        <f>(C24*(1+Forutsetninger!$B$4))*(Forutsetninger!B9)</f>
        <v>412343.17127418012</v>
      </c>
      <c r="H24" s="84">
        <f t="shared" si="8"/>
        <v>945941.8904175309</v>
      </c>
      <c r="J24" s="103">
        <v>2024</v>
      </c>
      <c r="K24" s="84">
        <f>'IR 2023-2024'!$G$26</f>
        <v>177249</v>
      </c>
      <c r="L24" s="104">
        <f>'IR 2023-2024'!$G$25</f>
        <v>5421787.0600000015</v>
      </c>
      <c r="M24" s="110"/>
      <c r="N24" s="110"/>
      <c r="P24" s="31"/>
      <c r="S24" s="14"/>
      <c r="T24" s="14"/>
      <c r="U24" s="14"/>
      <c r="V24" s="14"/>
    </row>
    <row r="25" spans="1:22" x14ac:dyDescent="0.25">
      <c r="A25" s="100">
        <v>2025</v>
      </c>
      <c r="B25" s="33">
        <f>AVERAGE(B23:B24)</f>
        <v>216520.18858147279</v>
      </c>
      <c r="C25" s="33">
        <f t="shared" si="6"/>
        <v>5621165.781648214</v>
      </c>
      <c r="D25" s="33">
        <f t="shared" si="7"/>
        <v>183201.27835178742</v>
      </c>
      <c r="E25" s="33">
        <f>Nettap!O19</f>
        <v>385285.34700378811</v>
      </c>
      <c r="F25" s="33">
        <f>E25*Nettap!S31</f>
        <v>127995.02867157325</v>
      </c>
      <c r="G25" s="101">
        <f>(C25*(1+Forutsetninger!$B$4))*(Forutsetninger!B10)</f>
        <v>384358.4526517599</v>
      </c>
      <c r="H25" s="33">
        <f t="shared" si="8"/>
        <v>912074.94825659343</v>
      </c>
      <c r="J25" s="100">
        <v>2025</v>
      </c>
      <c r="K25" s="96">
        <f>K24-Fordelingsnøkler!$E$6</f>
        <v>173636.77835178742</v>
      </c>
      <c r="L25" s="102">
        <f>L24-K25</f>
        <v>5248150.281648214</v>
      </c>
      <c r="M25" s="33">
        <f>Investeringer!C38/Forutsetninger!$E$5</f>
        <v>9564.5</v>
      </c>
      <c r="N25" s="33">
        <f>Investeringer!C38-'Nord-Norge IR 2023-2030'!M25</f>
        <v>373015.5</v>
      </c>
      <c r="P25" s="33"/>
      <c r="Q25" s="34"/>
      <c r="S25" s="14"/>
      <c r="T25" s="14"/>
      <c r="U25" s="14"/>
      <c r="V25" s="14"/>
    </row>
    <row r="26" spans="1:22" x14ac:dyDescent="0.25">
      <c r="A26" s="103">
        <v>2026</v>
      </c>
      <c r="B26" s="84">
        <f>B25</f>
        <v>216520.18858147279</v>
      </c>
      <c r="C26" s="84">
        <f t="shared" si="6"/>
        <v>6412150.224944639</v>
      </c>
      <c r="D26" s="84">
        <f t="shared" si="7"/>
        <v>204475.55670357484</v>
      </c>
      <c r="E26" s="84">
        <f>Nettap!O20</f>
        <v>393088.68195556127</v>
      </c>
      <c r="F26" s="84">
        <f>E26*Nettap!S32</f>
        <v>137669.24778467728</v>
      </c>
      <c r="G26" s="104">
        <f>(C26*(1+Forutsetninger!$B$4))*(Forutsetninger!B11)</f>
        <v>388576.3036316451</v>
      </c>
      <c r="H26" s="84">
        <f t="shared" si="8"/>
        <v>947241.29670137004</v>
      </c>
      <c r="J26" s="103">
        <v>2026</v>
      </c>
      <c r="K26" s="111">
        <f>K25-Fordelingsnøkler!$E$6</f>
        <v>170024.55670357484</v>
      </c>
      <c r="L26" s="112">
        <f t="shared" ref="L26:L32" si="9">L25-K26</f>
        <v>5078125.724944639</v>
      </c>
      <c r="M26" s="84">
        <f>M25+Investeringer!C39/Forutsetninger!$E$4</f>
        <v>34451</v>
      </c>
      <c r="N26" s="84">
        <f>N25+Investeringer!C39-M26</f>
        <v>1334024.5</v>
      </c>
      <c r="P26" s="33"/>
      <c r="Q26" s="34"/>
      <c r="S26" s="14"/>
      <c r="T26" s="14"/>
      <c r="U26" s="14"/>
      <c r="V26" s="14"/>
    </row>
    <row r="27" spans="1:22" x14ac:dyDescent="0.25">
      <c r="A27" s="100">
        <v>2027</v>
      </c>
      <c r="B27" s="33">
        <f t="shared" ref="B27:B30" si="10">B26</f>
        <v>216520.18858147279</v>
      </c>
      <c r="C27" s="33">
        <f t="shared" si="6"/>
        <v>7277176.3898892766</v>
      </c>
      <c r="D27" s="33">
        <f t="shared" si="7"/>
        <v>228193.83505536226</v>
      </c>
      <c r="E27" s="33">
        <f>Nettap!O21</f>
        <v>402044.19027400011</v>
      </c>
      <c r="F27" s="33">
        <f>E27*Nettap!S33</f>
        <v>135533.72004955358</v>
      </c>
      <c r="G27" s="101">
        <f>(C27*(1+Forutsetninger!$B$4))*(Forutsetninger!B12)</f>
        <v>440996.88922729017</v>
      </c>
      <c r="H27" s="33">
        <f t="shared" si="8"/>
        <v>1021244.6329136788</v>
      </c>
      <c r="J27" s="100">
        <v>2027</v>
      </c>
      <c r="K27" s="96">
        <f>K26-Fordelingsnøkler!$E$6</f>
        <v>166412.33505536226</v>
      </c>
      <c r="L27" s="102">
        <f t="shared" si="9"/>
        <v>4911713.3898892766</v>
      </c>
      <c r="M27" s="33">
        <f>M26+Investeringer!C40/Forutsetninger!$E$4</f>
        <v>61781.5</v>
      </c>
      <c r="N27" s="33">
        <f>N26+Investeringer!C40-M27</f>
        <v>2365463</v>
      </c>
      <c r="P27" s="33"/>
      <c r="Q27" s="34"/>
      <c r="S27" s="14"/>
      <c r="T27" s="14"/>
      <c r="U27" s="14"/>
      <c r="V27" s="14"/>
    </row>
    <row r="28" spans="1:22" x14ac:dyDescent="0.25">
      <c r="A28" s="103">
        <v>2028</v>
      </c>
      <c r="B28" s="84">
        <f t="shared" si="10"/>
        <v>216520.18858147279</v>
      </c>
      <c r="C28" s="84">
        <f t="shared" si="6"/>
        <v>7870112.7764821267</v>
      </c>
      <c r="D28" s="84">
        <f t="shared" si="7"/>
        <v>245543.61340714968</v>
      </c>
      <c r="E28" s="84">
        <f>Nettap!O22</f>
        <v>403883.02773204871</v>
      </c>
      <c r="F28" s="84">
        <f>E28*Nettap!S34</f>
        <v>193220.73690355819</v>
      </c>
      <c r="G28" s="104">
        <f>(C28*(1+Forutsetninger!$B$4))*(Forutsetninger!B13)</f>
        <v>476928.83425481687</v>
      </c>
      <c r="H28" s="84">
        <f t="shared" si="8"/>
        <v>1132213.3731469975</v>
      </c>
      <c r="J28" s="103">
        <v>2028</v>
      </c>
      <c r="K28" s="111">
        <f>K27-Fordelingsnøkler!$E$6</f>
        <v>162800.11340714968</v>
      </c>
      <c r="L28" s="112">
        <f t="shared" si="9"/>
        <v>4748913.2764821267</v>
      </c>
      <c r="M28" s="84">
        <f>M27+Investeringer!C41/Forutsetninger!$E$4</f>
        <v>82743.5</v>
      </c>
      <c r="N28" s="84">
        <f>N27+Investeringer!C41-M28</f>
        <v>3121199.5</v>
      </c>
      <c r="P28" s="33"/>
      <c r="Q28" s="34"/>
      <c r="S28" s="14"/>
      <c r="T28" s="14"/>
      <c r="U28" s="14"/>
      <c r="V28" s="14"/>
    </row>
    <row r="29" spans="1:22" x14ac:dyDescent="0.25">
      <c r="A29" s="100">
        <v>2029</v>
      </c>
      <c r="B29" s="33">
        <f t="shared" si="10"/>
        <v>216520.18858147279</v>
      </c>
      <c r="C29" s="33">
        <f t="shared" si="6"/>
        <v>8445699.3847231902</v>
      </c>
      <c r="D29" s="33">
        <f t="shared" si="7"/>
        <v>262893.3917589371</v>
      </c>
      <c r="E29" s="33">
        <f>Nettap!O23</f>
        <v>406216.91417309782</v>
      </c>
      <c r="F29" s="33">
        <f>E29*Nettap!S35</f>
        <v>251734.17887790626</v>
      </c>
      <c r="G29" s="101">
        <f>(C29*(1+Forutsetninger!$B$4))*(Forutsetninger!B14)</f>
        <v>511809.38271422533</v>
      </c>
      <c r="H29" s="33">
        <f t="shared" si="8"/>
        <v>1242957.1419325415</v>
      </c>
      <c r="J29" s="100">
        <v>2029</v>
      </c>
      <c r="K29" s="96">
        <f>K28-Fordelingsnøkler!$E$6</f>
        <v>159187.8917589371</v>
      </c>
      <c r="L29" s="102">
        <f t="shared" si="9"/>
        <v>4589725.3847231893</v>
      </c>
      <c r="M29" s="33">
        <f>M28+Investeringer!C42/Forutsetninger!$E$4</f>
        <v>103705.5</v>
      </c>
      <c r="N29" s="33">
        <f>N28+Investeringer!C42-M29</f>
        <v>3855974</v>
      </c>
      <c r="P29" s="33"/>
      <c r="Q29" s="34"/>
      <c r="S29" s="14"/>
      <c r="T29" s="14"/>
      <c r="U29" s="14"/>
      <c r="V29" s="14"/>
    </row>
    <row r="30" spans="1:22" x14ac:dyDescent="0.25">
      <c r="A30" s="103">
        <v>2030</v>
      </c>
      <c r="B30" s="84">
        <f t="shared" si="10"/>
        <v>216520.18858147279</v>
      </c>
      <c r="C30" s="84">
        <f t="shared" si="6"/>
        <v>9003936.2146124654</v>
      </c>
      <c r="D30" s="84">
        <f t="shared" si="7"/>
        <v>280243.17011072452</v>
      </c>
      <c r="E30" s="84">
        <f>Nettap!O24</f>
        <v>409045.84959714802</v>
      </c>
      <c r="F30" s="84">
        <f>E30*Nettap!S36</f>
        <v>311283.89154342958</v>
      </c>
      <c r="G30" s="104">
        <f>(C30*(1+Forutsetninger!$B$4))*(Forutsetninger!B15)</f>
        <v>545638.53460551531</v>
      </c>
      <c r="H30" s="84">
        <f t="shared" si="8"/>
        <v>1353685.7848411421</v>
      </c>
      <c r="J30" s="103">
        <v>2030</v>
      </c>
      <c r="K30" s="111">
        <f>K29-Fordelingsnøkler!$E$6</f>
        <v>155575.67011072452</v>
      </c>
      <c r="L30" s="112">
        <f t="shared" si="9"/>
        <v>4434149.7146124644</v>
      </c>
      <c r="M30" s="84">
        <f>M29+Investeringer!C43/Forutsetninger!$E$4</f>
        <v>124667.5</v>
      </c>
      <c r="N30" s="84">
        <f>N29+Investeringer!C43-M30</f>
        <v>4569786.5</v>
      </c>
      <c r="P30" s="33"/>
      <c r="Q30" s="34"/>
      <c r="S30" s="14"/>
      <c r="T30" s="14"/>
      <c r="U30" s="14"/>
      <c r="V30" s="14"/>
    </row>
    <row r="31" spans="1:22" x14ac:dyDescent="0.25">
      <c r="A31" s="100">
        <v>2031</v>
      </c>
      <c r="B31" s="97"/>
      <c r="C31" s="33">
        <f t="shared" si="6"/>
        <v>9544823.266149953</v>
      </c>
      <c r="D31" s="33">
        <f t="shared" si="7"/>
        <v>297592.94846251194</v>
      </c>
      <c r="E31" s="97"/>
      <c r="F31" s="97"/>
      <c r="G31" s="101">
        <f>(C31*(1+Forutsetninger!$B$4))*(Forutsetninger!B15)</f>
        <v>578416.28992868704</v>
      </c>
      <c r="H31" s="14"/>
      <c r="J31" s="100">
        <v>2031</v>
      </c>
      <c r="K31" s="96">
        <f>K30-Fordelingsnøkler!$E$6</f>
        <v>151963.44846251194</v>
      </c>
      <c r="L31" s="102">
        <f>L30-K31</f>
        <v>4282186.2661499521</v>
      </c>
      <c r="M31" s="33">
        <f>M30+Investeringer!C44/Forutsetninger!$E$4</f>
        <v>145629.5</v>
      </c>
      <c r="N31" s="33">
        <f>N30+Investeringer!C44-M31</f>
        <v>5262637</v>
      </c>
      <c r="P31" s="33"/>
      <c r="Q31" s="34"/>
      <c r="S31" s="14"/>
      <c r="T31" s="14"/>
      <c r="U31" s="14"/>
      <c r="V31" s="14"/>
    </row>
    <row r="32" spans="1:22" ht="15.75" thickBot="1" x14ac:dyDescent="0.3">
      <c r="A32" s="106">
        <v>2032</v>
      </c>
      <c r="B32" s="107"/>
      <c r="C32" s="85">
        <f t="shared" si="6"/>
        <v>10068360.539335653</v>
      </c>
      <c r="D32" s="85">
        <f t="shared" si="7"/>
        <v>314942.72681429936</v>
      </c>
      <c r="E32" s="107"/>
      <c r="F32" s="107"/>
      <c r="G32" s="108">
        <f>(C32*(1+Forutsetninger!$B$4))*(Forutsetninger!B15)</f>
        <v>610142.64868374052</v>
      </c>
      <c r="H32" s="109"/>
      <c r="J32" s="103">
        <v>2032</v>
      </c>
      <c r="K32" s="111">
        <f>K31-Fordelingsnøkler!$E$6</f>
        <v>148351.22681429936</v>
      </c>
      <c r="L32" s="112">
        <f t="shared" si="9"/>
        <v>4133835.0393356527</v>
      </c>
      <c r="M32" s="84">
        <f>M31+Investeringer!C45/Forutsetninger!$E$4</f>
        <v>166591.5</v>
      </c>
      <c r="N32" s="84">
        <f>N31+Investeringer!C45-M32</f>
        <v>5934525.5</v>
      </c>
      <c r="P32" s="33"/>
      <c r="Q32" s="34"/>
      <c r="S32" s="14"/>
      <c r="T32" s="14"/>
      <c r="U32" s="14"/>
      <c r="V32" s="14"/>
    </row>
    <row r="33" spans="1:21" x14ac:dyDescent="0.25">
      <c r="A33" s="54" t="s">
        <v>72</v>
      </c>
      <c r="B33" s="67">
        <f t="shared" ref="B33:G33" si="11">(B30-B24)/B24</f>
        <v>2.5748765502632234E-2</v>
      </c>
      <c r="C33" s="67">
        <f t="shared" si="11"/>
        <v>0.66069528643798547</v>
      </c>
      <c r="D33" s="67">
        <f t="shared" si="11"/>
        <v>0.5810705285261103</v>
      </c>
      <c r="E33" s="67">
        <f t="shared" si="11"/>
        <v>7.2614551301803609E-2</v>
      </c>
      <c r="F33" s="67">
        <f t="shared" si="11"/>
        <v>1.142873473598006</v>
      </c>
      <c r="G33" s="105">
        <f t="shared" si="11"/>
        <v>0.32326317644460967</v>
      </c>
      <c r="H33" s="67">
        <f>(H30-H24)/H24</f>
        <v>0.4310453935427645</v>
      </c>
      <c r="K33" s="31"/>
      <c r="L33" s="31"/>
      <c r="M33" s="31"/>
      <c r="N33" s="31"/>
      <c r="R33" s="14"/>
      <c r="S33" s="14"/>
      <c r="T33" s="14"/>
      <c r="U33" s="14"/>
    </row>
    <row r="35" spans="1:21" x14ac:dyDescent="0.25">
      <c r="B35" s="14"/>
      <c r="I35" s="30"/>
    </row>
    <row r="36" spans="1:21" x14ac:dyDescent="0.25">
      <c r="A36" s="34"/>
      <c r="B36" s="14"/>
      <c r="C36" s="34"/>
      <c r="D36" s="34"/>
      <c r="E36" s="34"/>
      <c r="F36" s="34"/>
      <c r="G36" s="34"/>
      <c r="H36" s="34"/>
      <c r="I36" s="34"/>
    </row>
    <row r="37" spans="1:21" x14ac:dyDescent="0.25">
      <c r="A37" s="34"/>
      <c r="B37" s="14"/>
      <c r="C37" s="34"/>
      <c r="D37" s="34"/>
      <c r="E37" s="34"/>
      <c r="F37" s="34"/>
      <c r="G37" s="34"/>
      <c r="H37" s="34"/>
      <c r="I37" s="34"/>
    </row>
    <row r="38" spans="1:21" x14ac:dyDescent="0.25">
      <c r="A38" s="34"/>
      <c r="B38" s="14"/>
      <c r="C38" s="34"/>
      <c r="D38" s="34"/>
      <c r="E38" s="34"/>
      <c r="F38" s="34"/>
      <c r="G38" s="34"/>
      <c r="H38" s="34"/>
      <c r="I38" s="34"/>
    </row>
    <row r="39" spans="1:21" x14ac:dyDescent="0.25">
      <c r="A39" s="34"/>
      <c r="B39" s="34"/>
      <c r="C39" s="34"/>
      <c r="D39" s="34"/>
      <c r="E39" s="34"/>
      <c r="F39" s="34"/>
      <c r="G39" s="34"/>
      <c r="H39" s="34"/>
      <c r="I39" s="34"/>
    </row>
    <row r="40" spans="1:21" x14ac:dyDescent="0.25">
      <c r="A40" s="34"/>
      <c r="B40" s="34"/>
      <c r="C40" s="34"/>
      <c r="D40" s="34"/>
      <c r="E40" s="34"/>
      <c r="F40" s="34"/>
      <c r="G40" s="34"/>
      <c r="H40" s="34"/>
      <c r="I40" s="34"/>
    </row>
    <row r="41" spans="1:21" x14ac:dyDescent="0.25">
      <c r="A41" s="34"/>
      <c r="B41" s="34"/>
      <c r="C41" s="34"/>
      <c r="D41" s="34"/>
      <c r="E41" s="34"/>
      <c r="F41" s="34"/>
      <c r="G41" s="34"/>
      <c r="H41" s="34"/>
      <c r="I41" s="34"/>
    </row>
    <row r="42" spans="1:21" x14ac:dyDescent="0.25">
      <c r="A42" s="34"/>
      <c r="B42" s="34"/>
      <c r="C42" s="34"/>
      <c r="D42" s="34"/>
      <c r="E42" s="34"/>
      <c r="F42" s="34"/>
      <c r="G42" s="34"/>
      <c r="H42" s="34"/>
      <c r="I42" s="34"/>
    </row>
    <row r="43" spans="1:21" x14ac:dyDescent="0.25">
      <c r="A43" s="34"/>
      <c r="B43" s="34"/>
      <c r="C43" s="34"/>
      <c r="D43" s="34"/>
      <c r="E43" s="34"/>
      <c r="F43" s="34"/>
      <c r="G43" s="34"/>
      <c r="H43" s="34"/>
      <c r="I43" s="34"/>
    </row>
    <row r="44" spans="1:21" x14ac:dyDescent="0.25">
      <c r="A44" s="34"/>
      <c r="B44" s="34"/>
      <c r="C44" s="34"/>
      <c r="D44" s="34"/>
      <c r="E44" s="34"/>
      <c r="F44" s="34"/>
      <c r="G44" s="34"/>
      <c r="H44" s="34"/>
      <c r="I44" s="34"/>
    </row>
    <row r="45" spans="1:21" x14ac:dyDescent="0.25">
      <c r="A45" s="34"/>
      <c r="B45" s="34"/>
      <c r="C45" s="34"/>
      <c r="E45" s="14"/>
      <c r="F45" s="34"/>
    </row>
    <row r="46" spans="1:21" x14ac:dyDescent="0.25">
      <c r="C46" s="35"/>
      <c r="E46" s="14"/>
      <c r="F46" s="34"/>
    </row>
  </sheetData>
  <mergeCells count="7">
    <mergeCell ref="A2:D2"/>
    <mergeCell ref="A5:N5"/>
    <mergeCell ref="M6:N6"/>
    <mergeCell ref="M21:N21"/>
    <mergeCell ref="K21:L21"/>
    <mergeCell ref="K6:L6"/>
    <mergeCell ref="A20:N20"/>
  </mergeCells>
  <hyperlinks>
    <hyperlink ref="A1" location="Introduksjon!A1" display="Tilbake til introduksjon" xr:uid="{832FAE65-CA22-4A4F-AC4D-A96B78EB29D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0B0C-A826-4D30-9D9B-CA5331048782}">
  <sheetPr>
    <tabColor theme="8"/>
  </sheetPr>
  <dimension ref="A1:V46"/>
  <sheetViews>
    <sheetView workbookViewId="0"/>
  </sheetViews>
  <sheetFormatPr baseColWidth="10" defaultColWidth="11.42578125" defaultRowHeight="15" x14ac:dyDescent="0.25"/>
  <cols>
    <col min="1" max="1" width="21.85546875" style="9" bestFit="1" customWidth="1"/>
    <col min="2" max="2" width="12.85546875" style="9" customWidth="1"/>
    <col min="3" max="3" width="13.28515625" style="9" customWidth="1"/>
    <col min="4" max="6" width="11.42578125" style="9"/>
    <col min="7" max="8" width="12.28515625" style="9" customWidth="1"/>
    <col min="9" max="10" width="11.42578125" style="9"/>
    <col min="11" max="11" width="12.28515625" style="9" customWidth="1"/>
    <col min="12" max="12" width="11.42578125" style="9"/>
    <col min="13" max="13" width="8.140625" style="9" customWidth="1"/>
    <col min="14" max="14" width="10.5703125" style="9" customWidth="1"/>
    <col min="15" max="15" width="12.5703125" style="9" customWidth="1"/>
    <col min="16" max="16" width="13.28515625" style="9" customWidth="1"/>
    <col min="17" max="16384" width="11.42578125" style="9"/>
  </cols>
  <sheetData>
    <row r="1" spans="1:14" x14ac:dyDescent="0.25">
      <c r="A1" s="45" t="s">
        <v>170</v>
      </c>
    </row>
    <row r="2" spans="1:14" ht="18.75" x14ac:dyDescent="0.3">
      <c r="A2" s="175" t="s">
        <v>198</v>
      </c>
      <c r="B2" s="176"/>
      <c r="C2" s="176"/>
      <c r="D2" s="177"/>
    </row>
    <row r="5" spans="1:14" x14ac:dyDescent="0.25">
      <c r="A5" s="183" t="s">
        <v>10</v>
      </c>
      <c r="B5" s="183"/>
      <c r="C5" s="183"/>
      <c r="D5" s="183"/>
      <c r="E5" s="183"/>
      <c r="F5" s="183"/>
      <c r="G5" s="183"/>
      <c r="H5" s="183"/>
      <c r="I5" s="183"/>
      <c r="J5" s="183"/>
      <c r="K5" s="183"/>
      <c r="L5" s="183"/>
      <c r="M5" s="183"/>
      <c r="N5" s="183"/>
    </row>
    <row r="6" spans="1:14" ht="15.75" thickBot="1" x14ac:dyDescent="0.3">
      <c r="A6" s="16"/>
      <c r="B6" s="16"/>
      <c r="C6" s="16"/>
      <c r="D6" s="94"/>
      <c r="E6" s="16"/>
      <c r="F6" s="16"/>
      <c r="G6" s="29"/>
      <c r="H6" s="95"/>
      <c r="J6" s="99"/>
      <c r="K6" s="179" t="s">
        <v>66</v>
      </c>
      <c r="L6" s="184"/>
      <c r="M6" s="179" t="s">
        <v>67</v>
      </c>
      <c r="N6" s="179"/>
    </row>
    <row r="7" spans="1:14" ht="15.75" thickBot="1" x14ac:dyDescent="0.3">
      <c r="A7" s="99"/>
      <c r="B7" s="98" t="s">
        <v>62</v>
      </c>
      <c r="C7" s="98" t="s">
        <v>63</v>
      </c>
      <c r="D7" s="98" t="s">
        <v>64</v>
      </c>
      <c r="E7" s="98" t="s">
        <v>68</v>
      </c>
      <c r="F7" s="98" t="s">
        <v>69</v>
      </c>
      <c r="G7" s="63" t="s">
        <v>70</v>
      </c>
      <c r="H7" s="50" t="s">
        <v>71</v>
      </c>
      <c r="J7" s="99"/>
      <c r="K7" s="98" t="s">
        <v>64</v>
      </c>
      <c r="L7" s="158" t="s">
        <v>63</v>
      </c>
      <c r="M7" s="98" t="s">
        <v>64</v>
      </c>
      <c r="N7" s="98" t="s">
        <v>63</v>
      </c>
    </row>
    <row r="8" spans="1:14" x14ac:dyDescent="0.25">
      <c r="A8" s="100">
        <v>2023</v>
      </c>
      <c r="B8" s="33">
        <f>'IR 2023-2024'!$B$30</f>
        <v>842065.71718066046</v>
      </c>
      <c r="C8" s="33">
        <f>L8+N8</f>
        <v>6438535.8799999999</v>
      </c>
      <c r="D8" s="33">
        <f t="shared" ref="D8:D17" si="0">K8+M8</f>
        <v>327845</v>
      </c>
      <c r="E8" s="33">
        <f>Nettap!R17</f>
        <v>415513</v>
      </c>
      <c r="F8" s="33">
        <f>E8*Nettap!X29</f>
        <v>321099.87685244117</v>
      </c>
      <c r="G8" s="101">
        <f>(C8+(C8*Forutsetninger!$B$4))*Forutsetninger!B8</f>
        <v>543644.21556367993</v>
      </c>
      <c r="H8" s="33">
        <f t="shared" ref="H8:H15" si="1">B8+D8+F8+G8</f>
        <v>2034654.8095967816</v>
      </c>
      <c r="J8" s="100">
        <v>2023</v>
      </c>
      <c r="K8" s="33">
        <f>'IR 2023-2024'!$B$32</f>
        <v>327845</v>
      </c>
      <c r="L8" s="101">
        <f>'IR 2023-2024'!$B$31</f>
        <v>6438535.8799999999</v>
      </c>
      <c r="M8" s="31"/>
      <c r="N8" s="31"/>
    </row>
    <row r="9" spans="1:14" x14ac:dyDescent="0.25">
      <c r="A9" s="103">
        <v>2024</v>
      </c>
      <c r="B9" s="84">
        <f>'IR 2023-2024'!$F$30</f>
        <v>796970.16761575104</v>
      </c>
      <c r="C9" s="84">
        <f t="shared" ref="C9:C17" si="2">L9+N9</f>
        <v>6961709.8200000003</v>
      </c>
      <c r="D9" s="84">
        <f t="shared" si="0"/>
        <v>342021</v>
      </c>
      <c r="E9" s="84">
        <f>Nettap!R18</f>
        <v>397343</v>
      </c>
      <c r="F9" s="84">
        <f>E9*Nettap!X30</f>
        <v>249184.35127750083</v>
      </c>
      <c r="G9" s="104">
        <f>(C9+(C9*Forutsetninger!$B$4))*Forutsetninger!B9</f>
        <v>529458.9169404601</v>
      </c>
      <c r="H9" s="84">
        <f t="shared" si="1"/>
        <v>1917634.4358337121</v>
      </c>
      <c r="J9" s="103">
        <v>2024</v>
      </c>
      <c r="K9" s="84">
        <f>'IR 2023-2024'!$F$32</f>
        <v>342021</v>
      </c>
      <c r="L9" s="104">
        <f>'IR 2023-2024'!$F$31</f>
        <v>6961709.8200000003</v>
      </c>
      <c r="M9" s="110"/>
      <c r="N9" s="110"/>
    </row>
    <row r="10" spans="1:14" x14ac:dyDescent="0.25">
      <c r="A10" s="100">
        <v>2025</v>
      </c>
      <c r="B10" s="33">
        <f>AVERAGE(B8:B9)</f>
        <v>819517.94239820575</v>
      </c>
      <c r="C10" s="33">
        <f t="shared" si="2"/>
        <v>7235571.5011999635</v>
      </c>
      <c r="D10" s="33">
        <f t="shared" si="0"/>
        <v>351426.3343653272</v>
      </c>
      <c r="E10" s="33">
        <f>Nettap!R19</f>
        <v>401423.39647623908</v>
      </c>
      <c r="F10" s="33">
        <f>E10*Nettap!X31</f>
        <v>250212.94337820946</v>
      </c>
      <c r="G10" s="101">
        <f>(C10+(C10*Forutsetninger!$B$4))*Forutsetninger!B10</f>
        <v>494746.67253754992</v>
      </c>
      <c r="H10" s="33">
        <f t="shared" si="1"/>
        <v>1915903.8926792922</v>
      </c>
      <c r="J10" s="100">
        <v>2025</v>
      </c>
      <c r="K10" s="96">
        <f>K9-Fordelingsnøkler!$F$5</f>
        <v>335794.13397619495</v>
      </c>
      <c r="L10" s="102">
        <f t="shared" ref="L10:L17" si="3">L9-K10</f>
        <v>6625915.6860238053</v>
      </c>
      <c r="M10" s="33">
        <f>Investeringer!B49/Forutsetninger!$E$4</f>
        <v>15632.200389132264</v>
      </c>
      <c r="N10" s="33">
        <f>Investeringer!B49-'Vestlandet IR 2023-2030'!M10</f>
        <v>609655.81517615833</v>
      </c>
    </row>
    <row r="11" spans="1:14" x14ac:dyDescent="0.25">
      <c r="A11" s="103">
        <v>2026</v>
      </c>
      <c r="B11" s="84">
        <f>B10</f>
        <v>819517.94239820575</v>
      </c>
      <c r="C11" s="84">
        <f t="shared" si="2"/>
        <v>7467628.0136004323</v>
      </c>
      <c r="D11" s="84">
        <f t="shared" si="0"/>
        <v>360000.90374516294</v>
      </c>
      <c r="E11" s="84">
        <f>Nettap!R20</f>
        <v>409484.02566958801</v>
      </c>
      <c r="F11" s="84">
        <f>E11*Nettap!X32</f>
        <v>246132.41245906058</v>
      </c>
      <c r="G11" s="104">
        <f>(C11+(C11*Forutsetninger!$B$4))*Forutsetninger!B11</f>
        <v>452538.25762418617</v>
      </c>
      <c r="H11" s="84">
        <f t="shared" si="1"/>
        <v>1878189.5162266153</v>
      </c>
      <c r="J11" s="103">
        <v>2026</v>
      </c>
      <c r="K11" s="111">
        <f>K10-Fordelingsnøkler!$F$5</f>
        <v>329567.2679523899</v>
      </c>
      <c r="L11" s="112">
        <f t="shared" si="3"/>
        <v>6296348.4180714153</v>
      </c>
      <c r="M11" s="84">
        <f>M10+Investeringer!B50/Forutsetninger!$E$4</f>
        <v>30433.63579277305</v>
      </c>
      <c r="N11" s="84">
        <f>N10+Investeringer!B50-'Vestlandet IR 2023-2030'!M11</f>
        <v>1171279.5955290168</v>
      </c>
    </row>
    <row r="12" spans="1:14" x14ac:dyDescent="0.25">
      <c r="A12" s="100">
        <v>2027</v>
      </c>
      <c r="B12" s="33">
        <f t="shared" ref="B12:B15" si="4">B11</f>
        <v>819517.94239820575</v>
      </c>
      <c r="C12" s="33">
        <f t="shared" si="2"/>
        <v>7690923.6544699855</v>
      </c>
      <c r="D12" s="33">
        <f t="shared" si="0"/>
        <v>368570.6961467659</v>
      </c>
      <c r="E12" s="33">
        <f>Nettap!R21</f>
        <v>418729.03823173675</v>
      </c>
      <c r="F12" s="33">
        <f>E12*Nettap!X33</f>
        <v>250973.20491591783</v>
      </c>
      <c r="G12" s="101">
        <f>(C12+(C12*Forutsetninger!$B$4))*Forutsetninger!B12</f>
        <v>466069.9734608811</v>
      </c>
      <c r="H12" s="33">
        <f t="shared" si="1"/>
        <v>1905131.8169217706</v>
      </c>
      <c r="J12" s="100">
        <v>2027</v>
      </c>
      <c r="K12" s="96">
        <f>K11-Fordelingsnøkler!$F$5</f>
        <v>323340.40192858485</v>
      </c>
      <c r="L12" s="102">
        <f t="shared" si="3"/>
        <v>5973008.0161428303</v>
      </c>
      <c r="M12" s="33">
        <f>M11+Investeringer!B51/Forutsetninger!$E$4</f>
        <v>45230.294218181036</v>
      </c>
      <c r="N12" s="33">
        <f>N11+Investeringer!B51-'Vestlandet IR 2023-2030'!M12</f>
        <v>1717915.638327155</v>
      </c>
    </row>
    <row r="13" spans="1:14" x14ac:dyDescent="0.25">
      <c r="A13" s="103">
        <v>2028</v>
      </c>
      <c r="B13" s="84">
        <f t="shared" si="4"/>
        <v>819517.94239820575</v>
      </c>
      <c r="C13" s="84">
        <f t="shared" si="2"/>
        <v>7877348.7309740018</v>
      </c>
      <c r="D13" s="84">
        <f t="shared" si="0"/>
        <v>376414.8277287808</v>
      </c>
      <c r="E13" s="84">
        <f>Nettap!R22</f>
        <v>420658.42724960978</v>
      </c>
      <c r="F13" s="84">
        <f>E13*Nettap!X34</f>
        <v>283206.60351209075</v>
      </c>
      <c r="G13" s="104">
        <f>(C13+(C13*Forutsetninger!$B$4))*Forutsetninger!B13</f>
        <v>477367.33309702447</v>
      </c>
      <c r="H13" s="84">
        <f t="shared" si="1"/>
        <v>1956506.7067361018</v>
      </c>
      <c r="J13" s="103">
        <v>2028</v>
      </c>
      <c r="K13" s="111">
        <f>K12-Fordelingsnøkler!$F$5</f>
        <v>317113.5359047798</v>
      </c>
      <c r="L13" s="112">
        <f t="shared" si="3"/>
        <v>5655894.4802380502</v>
      </c>
      <c r="M13" s="84">
        <f>M12+Investeringer!B52/Forutsetninger!$E$4</f>
        <v>59301.291824000982</v>
      </c>
      <c r="N13" s="84">
        <f>N12+Investeringer!B52-'Vestlandet IR 2023-2030'!M13</f>
        <v>2221454.2507359521</v>
      </c>
    </row>
    <row r="14" spans="1:14" x14ac:dyDescent="0.25">
      <c r="A14" s="100">
        <v>2029</v>
      </c>
      <c r="B14" s="33">
        <f t="shared" si="4"/>
        <v>819517.94239820575</v>
      </c>
      <c r="C14" s="33">
        <f t="shared" si="2"/>
        <v>8052450.8235782683</v>
      </c>
      <c r="D14" s="33">
        <f t="shared" si="0"/>
        <v>384169.75796931528</v>
      </c>
      <c r="E14" s="33">
        <f>Nettap!R23</f>
        <v>423096.70477260835</v>
      </c>
      <c r="F14" s="33">
        <f>E14*Nettap!X35</f>
        <v>316105.27935982548</v>
      </c>
      <c r="G14" s="101">
        <f>(C14+(C14*Forutsetninger!$B$4))*Forutsetninger!B14</f>
        <v>487978.51990884304</v>
      </c>
      <c r="H14" s="33">
        <f t="shared" si="1"/>
        <v>2007771.4996361895</v>
      </c>
      <c r="J14" s="100">
        <v>2029</v>
      </c>
      <c r="K14" s="96">
        <f>K13-Fordelingsnøkler!$F$5</f>
        <v>310886.66988097475</v>
      </c>
      <c r="L14" s="102">
        <f t="shared" si="3"/>
        <v>5345007.8103570752</v>
      </c>
      <c r="M14" s="33">
        <f>M13+Investeringer!B53/Forutsetninger!$E$4</f>
        <v>73283.088088340533</v>
      </c>
      <c r="N14" s="33">
        <f>N13+Investeringer!B53-'Vestlandet IR 2023-2030'!M14</f>
        <v>2707443.0132211936</v>
      </c>
    </row>
    <row r="15" spans="1:14" x14ac:dyDescent="0.25">
      <c r="A15" s="103">
        <v>2030</v>
      </c>
      <c r="B15" s="84">
        <f t="shared" si="4"/>
        <v>819517.94239820575</v>
      </c>
      <c r="C15" s="84">
        <f t="shared" si="2"/>
        <v>8219439.1487633465</v>
      </c>
      <c r="D15" s="84">
        <f t="shared" si="0"/>
        <v>391915.48725655093</v>
      </c>
      <c r="E15" s="84">
        <f>Nettap!R24</f>
        <v>426043.87080073199</v>
      </c>
      <c r="F15" s="84">
        <f>E15*Nettap!X36</f>
        <v>349782.01792740094</v>
      </c>
      <c r="G15" s="104">
        <f>(C15+(C15*Forutsetninger!$B$4))*Forutsetninger!B15</f>
        <v>498098.01241505879</v>
      </c>
      <c r="H15" s="84">
        <f t="shared" si="1"/>
        <v>2059313.4599972162</v>
      </c>
      <c r="J15" s="103">
        <v>2030</v>
      </c>
      <c r="K15" s="111">
        <f>K14-Fordelingsnøkler!$F$5</f>
        <v>304659.8038571697</v>
      </c>
      <c r="L15" s="112">
        <f t="shared" si="3"/>
        <v>5040348.0064999051</v>
      </c>
      <c r="M15" s="84">
        <f>M14+Investeringer!B54/Forutsetninger!$E$4</f>
        <v>87255.683399381247</v>
      </c>
      <c r="N15" s="84">
        <f>N14+Investeringer!B54-'Vestlandet IR 2023-2030'!M15</f>
        <v>3179091.1422634413</v>
      </c>
    </row>
    <row r="16" spans="1:14" x14ac:dyDescent="0.25">
      <c r="A16" s="100">
        <v>2031</v>
      </c>
      <c r="B16" s="97"/>
      <c r="C16" s="33">
        <f t="shared" si="2"/>
        <v>8378681.7446611878</v>
      </c>
      <c r="D16" s="33">
        <f t="shared" si="0"/>
        <v>399661.21654378658</v>
      </c>
      <c r="E16" s="97"/>
      <c r="F16" s="97"/>
      <c r="G16" s="101">
        <f>(C16-(C16*Forutsetninger!B4))*Forutsetninger!B15</f>
        <v>497693.69563287456</v>
      </c>
      <c r="H16" s="14"/>
      <c r="J16" s="100">
        <v>2031</v>
      </c>
      <c r="K16" s="96">
        <f>K15-Fordelingsnøkler!$F$5</f>
        <v>298432.93783336465</v>
      </c>
      <c r="L16" s="102">
        <f t="shared" si="3"/>
        <v>4741915.0686665401</v>
      </c>
      <c r="M16" s="33">
        <f>M15+Investeringer!B55/Forutsetninger!$E$4</f>
        <v>101228.27871042196</v>
      </c>
      <c r="N16" s="33">
        <f>N15+Investeringer!B55-'Vestlandet IR 2023-2030'!M16</f>
        <v>3636766.6759946477</v>
      </c>
    </row>
    <row r="17" spans="1:22" ht="15.75" thickBot="1" x14ac:dyDescent="0.3">
      <c r="A17" s="106">
        <v>2032</v>
      </c>
      <c r="B17" s="107"/>
      <c r="C17" s="85">
        <f t="shared" si="2"/>
        <v>8530178.611271793</v>
      </c>
      <c r="D17" s="85">
        <f t="shared" si="0"/>
        <v>407406.94583102228</v>
      </c>
      <c r="E17" s="107"/>
      <c r="F17" s="107"/>
      <c r="G17" s="108">
        <f>(C17-(C17*Forutsetninger!B4))*Forutsetninger!B15</f>
        <v>506692.60950954445</v>
      </c>
      <c r="H17" s="109"/>
      <c r="J17" s="103">
        <v>2032</v>
      </c>
      <c r="K17" s="111">
        <f>K16-Fordelingsnøkler!$F$5</f>
        <v>292206.07180955959</v>
      </c>
      <c r="L17" s="112">
        <f t="shared" si="3"/>
        <v>4449708.99685698</v>
      </c>
      <c r="M17" s="84">
        <f>M16+Investeringer!B56/Forutsetninger!$E$4</f>
        <v>115200.87402146267</v>
      </c>
      <c r="N17" s="84">
        <f>N16+Investeringer!B56-'Vestlandet IR 2023-2030'!M17</f>
        <v>4080469.6144148135</v>
      </c>
    </row>
    <row r="18" spans="1:22" x14ac:dyDescent="0.25">
      <c r="A18" s="54" t="s">
        <v>72</v>
      </c>
      <c r="B18" s="67">
        <f t="shared" ref="B18:G18" si="5">(B15-B9)/B9</f>
        <v>2.8291868000416588E-2</v>
      </c>
      <c r="C18" s="67">
        <f t="shared" si="5"/>
        <v>0.18066385432355556</v>
      </c>
      <c r="D18" s="67">
        <f t="shared" si="5"/>
        <v>0.14588135598852389</v>
      </c>
      <c r="E18" s="67">
        <f t="shared" si="5"/>
        <v>7.2231977915131251E-2</v>
      </c>
      <c r="F18" s="67">
        <f t="shared" si="5"/>
        <v>0.40370780161018566</v>
      </c>
      <c r="G18" s="105">
        <f t="shared" si="5"/>
        <v>-5.9231988586808462E-2</v>
      </c>
      <c r="H18" s="67">
        <f>(H15-H9)/H9</f>
        <v>7.3882186049661569E-2</v>
      </c>
      <c r="K18" s="31"/>
      <c r="L18" s="31"/>
      <c r="M18" s="31"/>
      <c r="N18" s="31"/>
      <c r="O18" s="31"/>
      <c r="P18" s="31"/>
    </row>
    <row r="20" spans="1:22" x14ac:dyDescent="0.25">
      <c r="A20" s="183" t="s">
        <v>12</v>
      </c>
      <c r="B20" s="183"/>
      <c r="C20" s="183"/>
      <c r="D20" s="183"/>
      <c r="E20" s="183"/>
      <c r="F20" s="183"/>
      <c r="G20" s="183"/>
      <c r="H20" s="183"/>
      <c r="I20" s="183"/>
      <c r="J20" s="183"/>
      <c r="K20" s="183"/>
      <c r="L20" s="183"/>
      <c r="M20" s="183"/>
      <c r="N20" s="183"/>
    </row>
    <row r="21" spans="1:22" ht="15.75" thickBot="1" x14ac:dyDescent="0.3">
      <c r="A21" s="16"/>
      <c r="B21" s="16"/>
      <c r="C21" s="16"/>
      <c r="D21" s="94"/>
      <c r="E21" s="16"/>
      <c r="F21" s="16"/>
      <c r="G21" s="29"/>
      <c r="H21" s="95"/>
      <c r="J21" s="99"/>
      <c r="K21" s="179" t="s">
        <v>66</v>
      </c>
      <c r="L21" s="184"/>
      <c r="M21" s="179" t="s">
        <v>67</v>
      </c>
      <c r="N21" s="179"/>
      <c r="P21" s="16"/>
    </row>
    <row r="22" spans="1:22" ht="15.75" thickBot="1" x14ac:dyDescent="0.3">
      <c r="A22" s="99"/>
      <c r="B22" s="98" t="s">
        <v>62</v>
      </c>
      <c r="C22" s="98" t="s">
        <v>63</v>
      </c>
      <c r="D22" s="98" t="s">
        <v>64</v>
      </c>
      <c r="E22" s="98" t="s">
        <v>68</v>
      </c>
      <c r="F22" s="98" t="s">
        <v>69</v>
      </c>
      <c r="G22" s="63" t="s">
        <v>70</v>
      </c>
      <c r="H22" s="50" t="s">
        <v>71</v>
      </c>
      <c r="J22" s="160"/>
      <c r="K22" s="98" t="s">
        <v>64</v>
      </c>
      <c r="L22" s="158" t="s">
        <v>63</v>
      </c>
      <c r="M22" s="98" t="s">
        <v>64</v>
      </c>
      <c r="N22" s="98" t="s">
        <v>63</v>
      </c>
      <c r="P22" s="32"/>
      <c r="Q22" s="16"/>
      <c r="S22" s="14"/>
      <c r="T22" s="14"/>
      <c r="U22" s="14"/>
      <c r="V22" s="14"/>
    </row>
    <row r="23" spans="1:22" x14ac:dyDescent="0.25">
      <c r="A23" s="100">
        <v>2023</v>
      </c>
      <c r="B23" s="33">
        <f>'IR 2023-2024'!$C$30</f>
        <v>133694.44811472029</v>
      </c>
      <c r="C23" s="33">
        <f t="shared" ref="C23:C32" si="6">L23+N23</f>
        <v>2357450.09</v>
      </c>
      <c r="D23" s="33">
        <f t="shared" ref="D23:D32" si="7">K23+M23</f>
        <v>86988</v>
      </c>
      <c r="E23" s="33">
        <f>Nettap!S17</f>
        <v>132000</v>
      </c>
      <c r="F23" s="33">
        <f>E23*Nettap!X29</f>
        <v>102006.8776296343</v>
      </c>
      <c r="G23" s="101">
        <f>(C23*(1+Forutsetninger!$B$4))*(Forutsetninger!B8)</f>
        <v>199053.65579923996</v>
      </c>
      <c r="H23" s="33">
        <f t="shared" ref="H23:H30" si="8">B23+D23+F23+G23</f>
        <v>521742.98154359451</v>
      </c>
      <c r="J23" s="100">
        <v>2023</v>
      </c>
      <c r="K23" s="33">
        <f>'IR 2023-2024'!$C$32</f>
        <v>86988</v>
      </c>
      <c r="L23" s="101">
        <f>'IR 2023-2024'!$C$31</f>
        <v>2357450.09</v>
      </c>
      <c r="M23" s="31"/>
      <c r="N23" s="31"/>
      <c r="P23" s="31"/>
      <c r="S23" s="14"/>
      <c r="T23" s="14"/>
      <c r="U23" s="14"/>
      <c r="V23" s="14"/>
    </row>
    <row r="24" spans="1:22" x14ac:dyDescent="0.25">
      <c r="A24" s="103">
        <v>2024</v>
      </c>
      <c r="B24" s="84">
        <f>'IR 2023-2024'!$G$30</f>
        <v>116759.7148099138</v>
      </c>
      <c r="C24" s="84">
        <f t="shared" si="6"/>
        <v>2484672.7200000002</v>
      </c>
      <c r="D24" s="84">
        <f t="shared" si="7"/>
        <v>95779</v>
      </c>
      <c r="E24" s="84">
        <f>Nettap!S18</f>
        <v>121605</v>
      </c>
      <c r="F24" s="84">
        <f>E24*Nettap!X30</f>
        <v>76261.726108426446</v>
      </c>
      <c r="G24" s="104">
        <f>(C24*(1+Forutsetninger!$B$4))*(Forutsetninger!B9)</f>
        <v>188966.81437416005</v>
      </c>
      <c r="H24" s="84">
        <f t="shared" si="8"/>
        <v>477767.25529250025</v>
      </c>
      <c r="J24" s="103">
        <v>2024</v>
      </c>
      <c r="K24" s="84">
        <f>'IR 2023-2024'!$G$32</f>
        <v>95779</v>
      </c>
      <c r="L24" s="104">
        <f>'IR 2023-2024'!$G$31</f>
        <v>2484672.7200000002</v>
      </c>
      <c r="M24" s="110"/>
      <c r="N24" s="110"/>
      <c r="P24" s="31"/>
      <c r="S24" s="14"/>
      <c r="T24" s="14"/>
      <c r="U24" s="14"/>
      <c r="V24" s="14"/>
    </row>
    <row r="25" spans="1:22" x14ac:dyDescent="0.25">
      <c r="A25" s="100">
        <v>2025</v>
      </c>
      <c r="B25" s="33">
        <f>AVERAGE(B23:B24)</f>
        <v>125227.08146231704</v>
      </c>
      <c r="C25" s="33">
        <f t="shared" si="6"/>
        <v>2400640.5629037847</v>
      </c>
      <c r="D25" s="33">
        <f t="shared" si="7"/>
        <v>94372.157096215349</v>
      </c>
      <c r="E25" s="33">
        <f>Nettap!S19</f>
        <v>122853.78659871459</v>
      </c>
      <c r="F25" s="33">
        <f>E25*Nettap!X31</f>
        <v>76576.52199612718</v>
      </c>
      <c r="G25" s="101">
        <f>(C25*(1+Forutsetninger!$B$4))*(Forutsetninger!B10)</f>
        <v>164148.59976967209</v>
      </c>
      <c r="H25" s="33">
        <f t="shared" si="8"/>
        <v>460324.36032433162</v>
      </c>
      <c r="J25" s="100">
        <v>2025</v>
      </c>
      <c r="K25" s="96">
        <f>K24-Fordelingsnøkler!$F$6</f>
        <v>94113.657096215349</v>
      </c>
      <c r="L25" s="102">
        <f>L24-K25</f>
        <v>2390559.0629037847</v>
      </c>
      <c r="M25" s="33">
        <f>Investeringer!C49/Forutsetninger!$E$5</f>
        <v>258.5</v>
      </c>
      <c r="N25" s="33">
        <f>Investeringer!C49-'Vestlandet IR 2023-2030'!M25</f>
        <v>10081.5</v>
      </c>
      <c r="P25" s="33"/>
      <c r="Q25" s="34"/>
      <c r="S25" s="14"/>
      <c r="T25" s="14"/>
      <c r="U25" s="14"/>
      <c r="V25" s="14"/>
    </row>
    <row r="26" spans="1:22" x14ac:dyDescent="0.25">
      <c r="A26" s="103">
        <v>2026</v>
      </c>
      <c r="B26" s="84">
        <f>B25</f>
        <v>125227.08146231704</v>
      </c>
      <c r="C26" s="84">
        <f t="shared" si="6"/>
        <v>2497649.2487113541</v>
      </c>
      <c r="D26" s="84">
        <f t="shared" si="7"/>
        <v>97571.314192430698</v>
      </c>
      <c r="E26" s="84">
        <f>Nettap!S20</f>
        <v>125320.70513775315</v>
      </c>
      <c r="F26" s="84">
        <f>E26*Nettap!X32</f>
        <v>75327.69425177759</v>
      </c>
      <c r="G26" s="104">
        <f>(C26*(1+Forutsetninger!$B$4))*(Forutsetninger!B11)</f>
        <v>151357.54447190804</v>
      </c>
      <c r="H26" s="84">
        <f t="shared" si="8"/>
        <v>449483.63437843334</v>
      </c>
      <c r="J26" s="103">
        <v>2026</v>
      </c>
      <c r="K26" s="111">
        <f>K25-Fordelingsnøkler!$F$6</f>
        <v>92448.314192430698</v>
      </c>
      <c r="L26" s="112">
        <f t="shared" ref="L26:L32" si="9">L25-K26</f>
        <v>2298110.7487113541</v>
      </c>
      <c r="M26" s="84">
        <f>M25+Investeringer!C50/Forutsetninger!$E$4</f>
        <v>5122.9999999999991</v>
      </c>
      <c r="N26" s="84">
        <f>N25+Investeringer!C50-M26</f>
        <v>199538.49999999997</v>
      </c>
      <c r="P26" s="33"/>
      <c r="Q26" s="34"/>
      <c r="S26" s="14"/>
      <c r="T26" s="14"/>
      <c r="U26" s="14"/>
      <c r="V26" s="14"/>
    </row>
    <row r="27" spans="1:22" x14ac:dyDescent="0.25">
      <c r="A27" s="100">
        <v>2027</v>
      </c>
      <c r="B27" s="33">
        <f t="shared" ref="B27:B30" si="10">B26</f>
        <v>125227.08146231704</v>
      </c>
      <c r="C27" s="33">
        <f t="shared" si="6"/>
        <v>2680359.277422708</v>
      </c>
      <c r="D27" s="33">
        <f t="shared" si="7"/>
        <v>103049.97128864605</v>
      </c>
      <c r="E27" s="33">
        <f>Nettap!S21</f>
        <v>128150.09876648222</v>
      </c>
      <c r="F27" s="33">
        <f>E27*Nettap!X33</f>
        <v>76809.196547567684</v>
      </c>
      <c r="G27" s="101">
        <f>(C27*(1+Forutsetninger!$B$4))*(Forutsetninger!B12)</f>
        <v>162429.7722118161</v>
      </c>
      <c r="H27" s="33">
        <f t="shared" si="8"/>
        <v>467516.02151034685</v>
      </c>
      <c r="J27" s="100">
        <v>2027</v>
      </c>
      <c r="K27" s="96">
        <f>K26-Fordelingsnøkler!$F$6</f>
        <v>90782.971288646047</v>
      </c>
      <c r="L27" s="102">
        <f t="shared" si="9"/>
        <v>2207327.777422708</v>
      </c>
      <c r="M27" s="33">
        <f>M26+Investeringer!C51/Forutsetninger!$E$4</f>
        <v>12267</v>
      </c>
      <c r="N27" s="33">
        <f>N26+Investeringer!C51-M27</f>
        <v>473031.5</v>
      </c>
      <c r="P27" s="33"/>
      <c r="Q27" s="34"/>
      <c r="S27" s="14"/>
      <c r="T27" s="14"/>
      <c r="U27" s="14"/>
      <c r="V27" s="14"/>
    </row>
    <row r="28" spans="1:22" x14ac:dyDescent="0.25">
      <c r="A28" s="103">
        <v>2028</v>
      </c>
      <c r="B28" s="84">
        <f t="shared" si="10"/>
        <v>125227.08146231704</v>
      </c>
      <c r="C28" s="84">
        <f t="shared" si="6"/>
        <v>2994149.1490378464</v>
      </c>
      <c r="D28" s="84">
        <f t="shared" si="7"/>
        <v>112030.1283848614</v>
      </c>
      <c r="E28" s="84">
        <f>Nettap!S22</f>
        <v>128740.57941297264</v>
      </c>
      <c r="F28" s="84">
        <f>E28*Nettap!X34</f>
        <v>86674.080127466164</v>
      </c>
      <c r="G28" s="104">
        <f>(C28*(1+Forutsetninger!$B$4))*(Forutsetninger!B13)</f>
        <v>181445.43843169347</v>
      </c>
      <c r="H28" s="84">
        <f t="shared" si="8"/>
        <v>505376.72840633808</v>
      </c>
      <c r="J28" s="103">
        <v>2028</v>
      </c>
      <c r="K28" s="111">
        <f>K27-Fordelingsnøkler!$F$6</f>
        <v>89117.628384861397</v>
      </c>
      <c r="L28" s="112">
        <f t="shared" si="9"/>
        <v>2118210.1490378464</v>
      </c>
      <c r="M28" s="84">
        <f>M27+Investeringer!C52/Forutsetninger!$E$4</f>
        <v>22912.5</v>
      </c>
      <c r="N28" s="84">
        <f>N27+Investeringer!C52-M28</f>
        <v>875939</v>
      </c>
      <c r="P28" s="33"/>
      <c r="Q28" s="34"/>
      <c r="S28" s="14"/>
      <c r="T28" s="14"/>
      <c r="U28" s="14"/>
      <c r="V28" s="14"/>
    </row>
    <row r="29" spans="1:22" x14ac:dyDescent="0.25">
      <c r="A29" s="100">
        <v>2029</v>
      </c>
      <c r="B29" s="33">
        <f t="shared" si="10"/>
        <v>125227.08146231704</v>
      </c>
      <c r="C29" s="33">
        <f t="shared" si="6"/>
        <v>3298958.8635567697</v>
      </c>
      <c r="D29" s="33">
        <f t="shared" si="7"/>
        <v>121010.28548107675</v>
      </c>
      <c r="E29" s="33">
        <f>Nettap!S23</f>
        <v>129486.80304893514</v>
      </c>
      <c r="F29" s="33">
        <f>E29*Nettap!X35</f>
        <v>96742.568754329564</v>
      </c>
      <c r="G29" s="101">
        <f>(C29*(1+Forutsetninger!$B$4))*(Forutsetninger!B14)</f>
        <v>199916.90713154024</v>
      </c>
      <c r="H29" s="33">
        <f t="shared" si="8"/>
        <v>542896.84282926354</v>
      </c>
      <c r="J29" s="100">
        <v>2029</v>
      </c>
      <c r="K29" s="96">
        <f>K28-Fordelingsnøkler!$F$6</f>
        <v>87452.285481076746</v>
      </c>
      <c r="L29" s="102">
        <f t="shared" si="9"/>
        <v>2030757.8635567697</v>
      </c>
      <c r="M29" s="33">
        <f>M28+Investeringer!C53/Forutsetninger!$E$4</f>
        <v>33558</v>
      </c>
      <c r="N29" s="33">
        <f>N28+Investeringer!C53-M29</f>
        <v>1268201</v>
      </c>
      <c r="P29" s="33"/>
      <c r="Q29" s="34"/>
      <c r="S29" s="14"/>
      <c r="T29" s="14"/>
      <c r="U29" s="14"/>
      <c r="V29" s="14"/>
    </row>
    <row r="30" spans="1:22" x14ac:dyDescent="0.25">
      <c r="A30" s="103">
        <v>2030</v>
      </c>
      <c r="B30" s="84">
        <f t="shared" si="10"/>
        <v>125227.08146231704</v>
      </c>
      <c r="C30" s="84">
        <f t="shared" si="6"/>
        <v>3594788.4209794775</v>
      </c>
      <c r="D30" s="84">
        <f t="shared" si="7"/>
        <v>129990.44257729209</v>
      </c>
      <c r="E30" s="84">
        <f>Nettap!S24</f>
        <v>130388.76967436953</v>
      </c>
      <c r="F30" s="84">
        <f>E30*Nettap!X36</f>
        <v>107049.17990265737</v>
      </c>
      <c r="G30" s="104">
        <f>(C30*(1+Forutsetninger!$B$4))*(Forutsetninger!B15)</f>
        <v>217844.17831135634</v>
      </c>
      <c r="H30" s="84">
        <f t="shared" si="8"/>
        <v>580110.88225362287</v>
      </c>
      <c r="J30" s="103">
        <v>2030</v>
      </c>
      <c r="K30" s="111">
        <f>K29-Fordelingsnøkler!$F$6</f>
        <v>85786.942577292095</v>
      </c>
      <c r="L30" s="112">
        <f t="shared" si="9"/>
        <v>1944970.9209794775</v>
      </c>
      <c r="M30" s="84">
        <f>M29+Investeringer!C54/Forutsetninger!$E$4</f>
        <v>44203.5</v>
      </c>
      <c r="N30" s="84">
        <f>N29+Investeringer!C54-M30</f>
        <v>1649817.5</v>
      </c>
      <c r="P30" s="33"/>
      <c r="Q30" s="34"/>
      <c r="S30" s="14"/>
      <c r="T30" s="14"/>
      <c r="U30" s="14"/>
      <c r="V30" s="14"/>
    </row>
    <row r="31" spans="1:22" x14ac:dyDescent="0.25">
      <c r="A31" s="100">
        <v>2031</v>
      </c>
      <c r="B31" s="97"/>
      <c r="C31" s="33">
        <f t="shared" si="6"/>
        <v>3881637.8213059697</v>
      </c>
      <c r="D31" s="33">
        <f t="shared" si="7"/>
        <v>138970.59967350744</v>
      </c>
      <c r="E31" s="97"/>
      <c r="F31" s="97"/>
      <c r="G31" s="101">
        <f>(C31*(1+Forutsetninger!$B$4))*(Forutsetninger!B15)</f>
        <v>235227.25197114176</v>
      </c>
      <c r="H31" s="14"/>
      <c r="J31" s="100">
        <v>2031</v>
      </c>
      <c r="K31" s="96">
        <f>K30-Fordelingsnøkler!$F$6</f>
        <v>84121.599673507444</v>
      </c>
      <c r="L31" s="102">
        <f>L30-K31</f>
        <v>1860849.32130597</v>
      </c>
      <c r="M31" s="33">
        <f>M30+Investeringer!C55/Forutsetninger!$E$4</f>
        <v>54849</v>
      </c>
      <c r="N31" s="33">
        <f>N30+Investeringer!C55-M31</f>
        <v>2020788.5</v>
      </c>
      <c r="P31" s="33"/>
      <c r="Q31" s="34"/>
      <c r="S31" s="14"/>
      <c r="T31" s="14"/>
      <c r="U31" s="14"/>
      <c r="V31" s="14"/>
    </row>
    <row r="32" spans="1:22" ht="15.75" thickBot="1" x14ac:dyDescent="0.3">
      <c r="A32" s="106">
        <v>2032</v>
      </c>
      <c r="B32" s="107"/>
      <c r="C32" s="85">
        <f t="shared" si="6"/>
        <v>4159507.0645362474</v>
      </c>
      <c r="D32" s="85">
        <f t="shared" si="7"/>
        <v>147950.75676972279</v>
      </c>
      <c r="E32" s="107"/>
      <c r="F32" s="107"/>
      <c r="G32" s="108">
        <f>(C32*(1+Forutsetninger!$B$4))*(Forutsetninger!B15)</f>
        <v>252066.12811089656</v>
      </c>
      <c r="H32" s="109"/>
      <c r="J32" s="103">
        <v>2032</v>
      </c>
      <c r="K32" s="111">
        <f>K31-Fordelingsnøkler!$F$6</f>
        <v>82456.256769722793</v>
      </c>
      <c r="L32" s="112">
        <f t="shared" si="9"/>
        <v>1778393.0645362472</v>
      </c>
      <c r="M32" s="84">
        <f>M31+Investeringer!C56/Forutsetninger!$E$4</f>
        <v>65494.5</v>
      </c>
      <c r="N32" s="84">
        <f>N31+Investeringer!C56-M32</f>
        <v>2381114</v>
      </c>
      <c r="P32" s="33"/>
      <c r="Q32" s="34"/>
      <c r="S32" s="14"/>
      <c r="T32" s="14"/>
      <c r="U32" s="14"/>
      <c r="V32" s="14"/>
    </row>
    <row r="33" spans="1:21" x14ac:dyDescent="0.25">
      <c r="A33" s="54" t="s">
        <v>72</v>
      </c>
      <c r="B33" s="67">
        <f t="shared" ref="B33:G33" si="11">(B30-B24)/B24</f>
        <v>7.2519590050285909E-2</v>
      </c>
      <c r="C33" s="67">
        <f t="shared" si="11"/>
        <v>0.44678548287014525</v>
      </c>
      <c r="D33" s="67">
        <f t="shared" si="11"/>
        <v>0.35719147806191437</v>
      </c>
      <c r="E33" s="67">
        <f t="shared" si="11"/>
        <v>7.2231977915131182E-2</v>
      </c>
      <c r="F33" s="67">
        <f t="shared" si="11"/>
        <v>0.40370780161018549</v>
      </c>
      <c r="G33" s="105">
        <f t="shared" si="11"/>
        <v>0.15281711782481674</v>
      </c>
      <c r="H33" s="67">
        <f>(H30-H24)/H24</f>
        <v>0.21421230908440023</v>
      </c>
      <c r="K33" s="31"/>
      <c r="L33" s="31"/>
      <c r="M33" s="31"/>
      <c r="N33" s="31"/>
      <c r="R33" s="14"/>
      <c r="S33" s="14"/>
      <c r="T33" s="14"/>
      <c r="U33" s="14"/>
    </row>
    <row r="35" spans="1:21" x14ac:dyDescent="0.25">
      <c r="B35" s="14"/>
      <c r="I35" s="30"/>
    </row>
    <row r="36" spans="1:21" x14ac:dyDescent="0.25">
      <c r="A36" s="34"/>
      <c r="B36" s="14"/>
      <c r="C36" s="34"/>
      <c r="D36" s="34"/>
      <c r="E36" s="34"/>
      <c r="F36" s="34"/>
      <c r="G36" s="34"/>
      <c r="H36" s="34"/>
      <c r="I36" s="34"/>
    </row>
    <row r="37" spans="1:21" x14ac:dyDescent="0.25">
      <c r="A37" s="34"/>
      <c r="B37" s="14"/>
      <c r="C37" s="34"/>
      <c r="D37" s="34"/>
      <c r="E37" s="34"/>
      <c r="F37" s="34"/>
      <c r="G37" s="34"/>
      <c r="H37" s="34"/>
      <c r="I37" s="34"/>
    </row>
    <row r="38" spans="1:21" x14ac:dyDescent="0.25">
      <c r="A38" s="34"/>
      <c r="B38" s="14"/>
      <c r="C38" s="34"/>
      <c r="D38" s="34"/>
      <c r="E38" s="34"/>
      <c r="F38" s="34"/>
      <c r="G38" s="34"/>
      <c r="H38" s="34"/>
      <c r="I38" s="34"/>
    </row>
    <row r="39" spans="1:21" x14ac:dyDescent="0.25">
      <c r="A39" s="34"/>
      <c r="B39" s="34"/>
      <c r="C39" s="34"/>
      <c r="D39" s="34"/>
      <c r="E39" s="34"/>
      <c r="F39" s="34"/>
      <c r="G39" s="34"/>
      <c r="H39" s="34"/>
      <c r="I39" s="34"/>
    </row>
    <row r="40" spans="1:21" x14ac:dyDescent="0.25">
      <c r="A40" s="34"/>
      <c r="B40" s="34"/>
      <c r="C40" s="34"/>
      <c r="D40" s="34"/>
      <c r="E40" s="34"/>
      <c r="F40" s="34"/>
      <c r="G40" s="34"/>
      <c r="H40" s="34"/>
      <c r="I40" s="34"/>
    </row>
    <row r="41" spans="1:21" x14ac:dyDescent="0.25">
      <c r="A41" s="34"/>
      <c r="B41" s="34"/>
      <c r="C41" s="34"/>
      <c r="D41" s="34"/>
      <c r="E41" s="34"/>
      <c r="F41" s="34"/>
      <c r="G41" s="34"/>
      <c r="H41" s="34"/>
      <c r="I41" s="34"/>
    </row>
    <row r="42" spans="1:21" x14ac:dyDescent="0.25">
      <c r="A42" s="34"/>
      <c r="B42" s="34"/>
      <c r="C42" s="34"/>
      <c r="D42" s="34"/>
      <c r="E42" s="34"/>
      <c r="F42" s="34"/>
      <c r="G42" s="34"/>
      <c r="H42" s="34"/>
      <c r="I42" s="34"/>
    </row>
    <row r="43" spans="1:21" x14ac:dyDescent="0.25">
      <c r="A43" s="34"/>
      <c r="B43" s="34"/>
      <c r="C43" s="34"/>
      <c r="D43" s="34"/>
      <c r="E43" s="34"/>
      <c r="F43" s="34"/>
      <c r="G43" s="34"/>
      <c r="H43" s="34"/>
      <c r="I43" s="34"/>
    </row>
    <row r="44" spans="1:21" x14ac:dyDescent="0.25">
      <c r="A44" s="34"/>
      <c r="B44" s="34"/>
      <c r="C44" s="34"/>
      <c r="D44" s="34"/>
      <c r="E44" s="34"/>
      <c r="F44" s="34"/>
      <c r="G44" s="34"/>
      <c r="H44" s="34"/>
      <c r="I44" s="34"/>
    </row>
    <row r="45" spans="1:21" x14ac:dyDescent="0.25">
      <c r="A45" s="34"/>
      <c r="B45" s="34"/>
      <c r="C45" s="34"/>
      <c r="E45" s="14"/>
      <c r="F45" s="34"/>
    </row>
    <row r="46" spans="1:21" x14ac:dyDescent="0.25">
      <c r="C46" s="35"/>
      <c r="E46" s="14"/>
      <c r="F46" s="34"/>
    </row>
  </sheetData>
  <mergeCells count="7">
    <mergeCell ref="A2:D2"/>
    <mergeCell ref="M6:N6"/>
    <mergeCell ref="M21:N21"/>
    <mergeCell ref="K21:L21"/>
    <mergeCell ref="K6:L6"/>
    <mergeCell ref="A5:N5"/>
    <mergeCell ref="A20:N20"/>
  </mergeCells>
  <hyperlinks>
    <hyperlink ref="A1" location="Introduksjon!A1" display="Tilbake til introduksjon" xr:uid="{29504B9D-4462-4C91-9381-1AA10708D724}"/>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AE444-CDF2-4397-B226-A29393FF4730}">
  <sheetPr>
    <tabColor theme="8"/>
  </sheetPr>
  <dimension ref="A1:O40"/>
  <sheetViews>
    <sheetView workbookViewId="0">
      <selection activeCell="B6" sqref="B6"/>
    </sheetView>
  </sheetViews>
  <sheetFormatPr baseColWidth="10" defaultColWidth="11.42578125" defaultRowHeight="15" x14ac:dyDescent="0.25"/>
  <cols>
    <col min="1" max="1" width="21.85546875" style="9" bestFit="1" customWidth="1"/>
    <col min="2" max="2" width="10.5703125" style="9" customWidth="1"/>
    <col min="3" max="3" width="11.5703125" style="9" customWidth="1"/>
    <col min="4" max="4" width="14.7109375" style="9" customWidth="1"/>
    <col min="5" max="5" width="12.42578125" style="9" customWidth="1"/>
    <col min="6" max="6" width="15.42578125" style="9" bestFit="1" customWidth="1"/>
    <col min="7" max="7" width="17.28515625" style="9" customWidth="1"/>
    <col min="8" max="8" width="18.7109375" style="9" bestFit="1" customWidth="1"/>
    <col min="9" max="11" width="11.42578125" style="9"/>
    <col min="12" max="14" width="11.5703125" style="9" customWidth="1"/>
    <col min="15" max="16" width="17.140625" style="9" customWidth="1"/>
    <col min="17" max="16384" width="11.42578125" style="9"/>
  </cols>
  <sheetData>
    <row r="1" spans="1:15" x14ac:dyDescent="0.25">
      <c r="A1" s="45" t="s">
        <v>170</v>
      </c>
    </row>
    <row r="2" spans="1:15" ht="18.75" x14ac:dyDescent="0.3">
      <c r="A2" s="175" t="s">
        <v>199</v>
      </c>
      <c r="B2" s="176"/>
      <c r="C2" s="176"/>
      <c r="D2" s="177"/>
    </row>
    <row r="4" spans="1:15" ht="15.75" thickBot="1" x14ac:dyDescent="0.3">
      <c r="A4" s="99"/>
      <c r="B4" s="185" t="s">
        <v>81</v>
      </c>
      <c r="C4" s="185"/>
      <c r="D4" s="185"/>
      <c r="E4" s="185"/>
      <c r="F4" s="185"/>
      <c r="G4" s="185"/>
      <c r="H4" s="185"/>
      <c r="I4" s="185"/>
    </row>
    <row r="5" spans="1:15" ht="15.75" thickBot="1" x14ac:dyDescent="0.3">
      <c r="A5" s="53"/>
      <c r="B5" s="28" t="s">
        <v>62</v>
      </c>
      <c r="C5" s="28" t="s">
        <v>64</v>
      </c>
      <c r="D5" s="28" t="s">
        <v>70</v>
      </c>
      <c r="E5" s="28" t="s">
        <v>65</v>
      </c>
      <c r="F5" s="28" t="s">
        <v>82</v>
      </c>
      <c r="G5" s="28" t="s">
        <v>83</v>
      </c>
      <c r="H5" s="28" t="s">
        <v>84</v>
      </c>
      <c r="I5" s="28" t="s">
        <v>76</v>
      </c>
    </row>
    <row r="6" spans="1:15" x14ac:dyDescent="0.25">
      <c r="A6" s="54">
        <v>2023</v>
      </c>
      <c r="B6" s="121">
        <v>2590784.1789766951</v>
      </c>
      <c r="C6" s="121">
        <v>3083000</v>
      </c>
      <c r="D6" s="121">
        <v>6188967.5000000009</v>
      </c>
      <c r="E6" s="121">
        <v>2672364.6723646722</v>
      </c>
      <c r="F6" s="121">
        <v>401000</v>
      </c>
      <c r="G6" s="121">
        <v>1374765.2</v>
      </c>
      <c r="H6" s="121">
        <v>850000</v>
      </c>
      <c r="I6" s="121">
        <v>36960</v>
      </c>
    </row>
    <row r="7" spans="1:15" x14ac:dyDescent="0.25">
      <c r="A7" s="55">
        <v>2024</v>
      </c>
      <c r="B7" s="122">
        <v>2579335.7137130564</v>
      </c>
      <c r="C7" s="122">
        <f>3425000</f>
        <v>3425000</v>
      </c>
      <c r="D7" s="122">
        <f>6128602.31845118</f>
        <v>6128602.3184511801</v>
      </c>
      <c r="E7" s="122">
        <v>2700495.7713619131</v>
      </c>
      <c r="F7" s="122">
        <v>437000</v>
      </c>
      <c r="G7" s="122">
        <v>3329357.4495667201</v>
      </c>
      <c r="H7" s="122">
        <v>911000</v>
      </c>
      <c r="I7" s="122">
        <v>37080</v>
      </c>
    </row>
    <row r="8" spans="1:15" x14ac:dyDescent="0.25">
      <c r="A8" s="54">
        <v>2025</v>
      </c>
      <c r="B8" s="121">
        <v>3184272.5949218757</v>
      </c>
      <c r="C8" s="121">
        <f>3692000*(1+Forutsetninger!$E$15)</f>
        <v>3692000</v>
      </c>
      <c r="D8" s="121">
        <f>5919551.22243298*(1+Forutsetninger!$E$15)</f>
        <v>5919551.2224329803</v>
      </c>
      <c r="E8" s="121">
        <v>2720153.4281604602</v>
      </c>
      <c r="F8" s="121">
        <v>453000</v>
      </c>
      <c r="G8" s="121">
        <v>2202140</v>
      </c>
      <c r="H8" s="121">
        <v>700000</v>
      </c>
      <c r="I8" s="121">
        <v>37888</v>
      </c>
    </row>
    <row r="9" spans="1:15" x14ac:dyDescent="0.25">
      <c r="A9" s="55">
        <v>2026</v>
      </c>
      <c r="B9" s="122">
        <v>3879562.4892367907</v>
      </c>
      <c r="C9" s="122">
        <f>3973000*(1+Forutsetninger!$E$15)</f>
        <v>3973000</v>
      </c>
      <c r="D9" s="122">
        <f>6231439.32535697*(1+Forutsetninger!$E$15)</f>
        <v>6231439.3253569696</v>
      </c>
      <c r="E9" s="122">
        <v>2726423.9028944913</v>
      </c>
      <c r="F9" s="122">
        <v>478000</v>
      </c>
      <c r="G9" s="122">
        <v>1966080</v>
      </c>
      <c r="H9" s="122">
        <v>600000</v>
      </c>
      <c r="I9" s="122">
        <v>38836</v>
      </c>
    </row>
    <row r="10" spans="1:15" x14ac:dyDescent="0.25">
      <c r="A10" s="54">
        <v>2027</v>
      </c>
      <c r="B10" s="121">
        <v>3898279.69</v>
      </c>
      <c r="C10" s="121">
        <f>4305000*(1+Forutsetninger!$E$15)</f>
        <v>4305000</v>
      </c>
      <c r="D10" s="121">
        <f>6847187.06865295*(1+Forutsetninger!$E$15)</f>
        <v>6847187.0686529502</v>
      </c>
      <c r="E10" s="121">
        <v>2819598.272949127</v>
      </c>
      <c r="F10" s="121">
        <v>508000</v>
      </c>
      <c r="G10" s="121">
        <v>2626540</v>
      </c>
      <c r="H10" s="121">
        <v>500000</v>
      </c>
      <c r="I10" s="121">
        <v>39780</v>
      </c>
    </row>
    <row r="11" spans="1:15" x14ac:dyDescent="0.25">
      <c r="A11" s="55">
        <v>2028</v>
      </c>
      <c r="B11" s="122">
        <v>4036019.4678196078</v>
      </c>
      <c r="C11" s="122">
        <f>4771000*(1+Forutsetninger!$E$15)</f>
        <v>4771000</v>
      </c>
      <c r="D11" s="122">
        <f>7950685.87565548*(1+Forutsetninger!$E$15)</f>
        <v>7950685.8756554797</v>
      </c>
      <c r="E11" s="122">
        <v>2819598.272949127</v>
      </c>
      <c r="F11" s="122">
        <v>518159.99999999994</v>
      </c>
      <c r="G11" s="122">
        <v>3029400.0000000005</v>
      </c>
      <c r="H11" s="122">
        <v>500000</v>
      </c>
      <c r="I11" s="122">
        <v>40800</v>
      </c>
    </row>
    <row r="12" spans="1:15" x14ac:dyDescent="0.25">
      <c r="A12" s="54">
        <v>2029</v>
      </c>
      <c r="B12" s="121">
        <v>4186641.2990779597</v>
      </c>
      <c r="C12" s="121">
        <f>5145000*(1+Forutsetninger!$E$15)</f>
        <v>5145000</v>
      </c>
      <c r="D12" s="121">
        <f>9289263.4853371*(1+Forutsetninger!$E$15)</f>
        <v>9289263.4853371009</v>
      </c>
      <c r="E12" s="121">
        <v>2819598.272949127</v>
      </c>
      <c r="F12" s="121">
        <v>529523.19999999995</v>
      </c>
      <c r="G12" s="121">
        <v>2907000</v>
      </c>
      <c r="H12" s="121">
        <v>500000</v>
      </c>
      <c r="I12" s="121">
        <v>41820</v>
      </c>
    </row>
    <row r="13" spans="1:15" x14ac:dyDescent="0.25">
      <c r="A13" s="55">
        <v>2030</v>
      </c>
      <c r="B13" s="122">
        <v>4271178.0466281464</v>
      </c>
      <c r="C13" s="122">
        <f>5645000*(1+Forutsetninger!$E$15)</f>
        <v>5645000</v>
      </c>
      <c r="D13" s="123">
        <f>10598322.2882793*(1+Forutsetninger!$E$15)</f>
        <v>10598322.288279301</v>
      </c>
      <c r="E13" s="122">
        <v>2819598.272949127</v>
      </c>
      <c r="F13" s="122">
        <v>530000</v>
      </c>
      <c r="G13" s="122">
        <v>2941176.4705882352</v>
      </c>
      <c r="H13" s="122">
        <v>500000</v>
      </c>
      <c r="I13" s="122">
        <v>41820</v>
      </c>
    </row>
    <row r="14" spans="1:15" x14ac:dyDescent="0.25">
      <c r="B14" s="36"/>
    </row>
    <row r="16" spans="1:15" ht="15.75" thickBot="1" x14ac:dyDescent="0.3">
      <c r="A16" s="99"/>
      <c r="B16" s="179" t="s">
        <v>131</v>
      </c>
      <c r="C16" s="179"/>
      <c r="D16" s="179"/>
      <c r="E16" s="179"/>
      <c r="F16" s="179"/>
      <c r="G16" s="179"/>
      <c r="H16" s="179"/>
      <c r="I16" s="179"/>
      <c r="K16" s="99"/>
      <c r="L16" s="179" t="s">
        <v>66</v>
      </c>
      <c r="M16" s="184"/>
      <c r="N16" s="179" t="s">
        <v>67</v>
      </c>
      <c r="O16" s="179"/>
    </row>
    <row r="17" spans="1:15" ht="15.75" thickBot="1" x14ac:dyDescent="0.3">
      <c r="A17" s="125"/>
      <c r="B17" s="28" t="s">
        <v>62</v>
      </c>
      <c r="C17" s="28" t="s">
        <v>63</v>
      </c>
      <c r="D17" s="28" t="s">
        <v>64</v>
      </c>
      <c r="E17" s="28" t="s">
        <v>65</v>
      </c>
      <c r="F17" s="28" t="s">
        <v>69</v>
      </c>
      <c r="G17" s="28" t="s">
        <v>70</v>
      </c>
      <c r="H17" s="28" t="s">
        <v>83</v>
      </c>
      <c r="I17" s="28" t="s">
        <v>71</v>
      </c>
      <c r="K17" s="99"/>
      <c r="L17" s="98" t="s">
        <v>64</v>
      </c>
      <c r="M17" s="158" t="s">
        <v>63</v>
      </c>
      <c r="N17" s="98" t="s">
        <v>64</v>
      </c>
      <c r="O17" s="98" t="s">
        <v>63</v>
      </c>
    </row>
    <row r="18" spans="1:15" x14ac:dyDescent="0.25">
      <c r="A18" s="87">
        <v>2023</v>
      </c>
      <c r="B18" s="34">
        <f>B6</f>
        <v>2590784.1789766951</v>
      </c>
      <c r="C18" s="34">
        <f>(B33/(1+Forutsetninger!$B$4))/C33</f>
        <v>73827597.518788025</v>
      </c>
      <c r="D18" s="34">
        <f t="shared" ref="D18:D25" si="0">C6</f>
        <v>3083000</v>
      </c>
      <c r="E18" s="34">
        <f t="shared" ref="E18:E25" si="1">E6</f>
        <v>2672364.6723646722</v>
      </c>
      <c r="F18" s="34">
        <f>E18*Nettap!D41</f>
        <v>1743456.0569800569</v>
      </c>
      <c r="G18" s="34">
        <f>(C18*(1+Forutsetninger!$B$4))*(Forutsetninger!B8)</f>
        <v>6233707.0240963856</v>
      </c>
      <c r="H18" s="34">
        <f>G6</f>
        <v>1374765.2</v>
      </c>
      <c r="I18" s="14">
        <f>B18+D18+F18+G18+H18</f>
        <v>15025712.460053137</v>
      </c>
      <c r="K18" s="100">
        <v>2023</v>
      </c>
      <c r="L18" s="33">
        <f t="shared" ref="L18:L25" si="2">D18</f>
        <v>3083000</v>
      </c>
      <c r="M18" s="101">
        <f t="shared" ref="M18:M25" si="3">C18</f>
        <v>73827597.518788025</v>
      </c>
      <c r="N18" s="31"/>
      <c r="O18" s="31"/>
    </row>
    <row r="19" spans="1:15" x14ac:dyDescent="0.25">
      <c r="A19" s="88">
        <v>2024</v>
      </c>
      <c r="B19" s="64">
        <f>B7</f>
        <v>2579335.7137130564</v>
      </c>
      <c r="C19" s="64">
        <f>(B34/(1+Forutsetninger!$B$4))/C34</f>
        <v>76809153.007283866</v>
      </c>
      <c r="D19" s="64">
        <f>C7</f>
        <v>3425000</v>
      </c>
      <c r="E19" s="64">
        <f t="shared" si="1"/>
        <v>2700495.7713619131</v>
      </c>
      <c r="F19" s="64">
        <f>E19*Nettap!D42</f>
        <v>1542831.1914670886</v>
      </c>
      <c r="G19" s="64">
        <f>(C19*(1+Forutsetninger!$B$4))*(Forutsetninger!B9)</f>
        <v>5841566.5136629604</v>
      </c>
      <c r="H19" s="64">
        <f t="shared" ref="H19:H25" si="4">G7</f>
        <v>3329357.4495667201</v>
      </c>
      <c r="I19" s="62">
        <f t="shared" ref="I19:I25" si="5">B19+D19+F19+G19+H19</f>
        <v>16718090.868409825</v>
      </c>
      <c r="J19" s="14"/>
      <c r="K19" s="103">
        <v>2024</v>
      </c>
      <c r="L19" s="84">
        <f>D19</f>
        <v>3425000</v>
      </c>
      <c r="M19" s="104">
        <f t="shared" si="3"/>
        <v>76809153.007283866</v>
      </c>
      <c r="N19" s="110"/>
      <c r="O19" s="110"/>
    </row>
    <row r="20" spans="1:15" x14ac:dyDescent="0.25">
      <c r="A20" s="87">
        <v>2025</v>
      </c>
      <c r="B20" s="34">
        <f t="shared" ref="B20:B25" si="6">B8</f>
        <v>3184272.5949218757</v>
      </c>
      <c r="C20" s="34">
        <f>(B35/(1+Forutsetninger!$B$4))/C35</f>
        <v>80286874.032727256</v>
      </c>
      <c r="D20" s="34">
        <f>C8</f>
        <v>3692000</v>
      </c>
      <c r="E20" s="34">
        <f t="shared" si="1"/>
        <v>2720153.4281604602</v>
      </c>
      <c r="F20" s="34">
        <f>E20*Nettap!D43</f>
        <v>1530092.3084179889</v>
      </c>
      <c r="G20" s="34">
        <f>(C20*(1+Forutsetninger!$B$4))*(Forutsetninger!B10)</f>
        <v>5489775.5857357914</v>
      </c>
      <c r="H20" s="34">
        <f t="shared" si="4"/>
        <v>2202140</v>
      </c>
      <c r="I20" s="14">
        <f t="shared" si="5"/>
        <v>16098280.489075657</v>
      </c>
      <c r="K20" s="100">
        <v>2025</v>
      </c>
      <c r="L20" s="96">
        <f t="shared" si="2"/>
        <v>3692000</v>
      </c>
      <c r="M20" s="102">
        <f t="shared" si="3"/>
        <v>80286874.032727256</v>
      </c>
      <c r="N20" s="33"/>
      <c r="O20" s="33"/>
    </row>
    <row r="21" spans="1:15" x14ac:dyDescent="0.25">
      <c r="A21" s="88">
        <v>2026</v>
      </c>
      <c r="B21" s="64">
        <f t="shared" si="6"/>
        <v>3879562.4892367907</v>
      </c>
      <c r="C21" s="64">
        <f>(B36/(1+Forutsetninger!$B$4))/C36</f>
        <v>85690859.809639305</v>
      </c>
      <c r="D21" s="64">
        <f t="shared" si="0"/>
        <v>3973000</v>
      </c>
      <c r="E21" s="64">
        <f t="shared" si="1"/>
        <v>2726423.9028944913</v>
      </c>
      <c r="F21" s="64">
        <f>E21*Nettap!D44</f>
        <v>1503439.5523979426</v>
      </c>
      <c r="G21" s="64">
        <f>(C21*(1+Forutsetninger!$B$4))*(Forutsetninger!B11)</f>
        <v>5192866.1044641426</v>
      </c>
      <c r="H21" s="64">
        <f t="shared" si="4"/>
        <v>1966080</v>
      </c>
      <c r="I21" s="62">
        <f t="shared" si="5"/>
        <v>16514948.146098875</v>
      </c>
      <c r="K21" s="103">
        <v>2026</v>
      </c>
      <c r="L21" s="111">
        <f t="shared" si="2"/>
        <v>3973000</v>
      </c>
      <c r="M21" s="112">
        <f t="shared" si="3"/>
        <v>85690859.809639305</v>
      </c>
      <c r="N21" s="84"/>
      <c r="O21" s="84"/>
    </row>
    <row r="22" spans="1:15" x14ac:dyDescent="0.25">
      <c r="A22" s="87">
        <v>2027</v>
      </c>
      <c r="B22" s="34">
        <f t="shared" si="6"/>
        <v>3898279.69</v>
      </c>
      <c r="C22" s="34">
        <f>(B37/(1+Forutsetninger!$B$4))/C37</f>
        <v>95484410.384227455</v>
      </c>
      <c r="D22" s="34">
        <f t="shared" si="0"/>
        <v>4305000</v>
      </c>
      <c r="E22" s="34">
        <f t="shared" si="1"/>
        <v>2819598.272949127</v>
      </c>
      <c r="F22" s="34">
        <f>E22*Nettap!D45</f>
        <v>1538494.8399192982</v>
      </c>
      <c r="G22" s="34">
        <f>(C22*(1+Forutsetninger!$B$4))*(Forutsetninger!B12)</f>
        <v>5786355.2692841832</v>
      </c>
      <c r="H22" s="34">
        <f t="shared" si="4"/>
        <v>2626540</v>
      </c>
      <c r="I22" s="14">
        <f t="shared" si="5"/>
        <v>18154669.799203482</v>
      </c>
      <c r="K22" s="100">
        <v>2027</v>
      </c>
      <c r="L22" s="96">
        <f t="shared" si="2"/>
        <v>4305000</v>
      </c>
      <c r="M22" s="102">
        <f t="shared" si="3"/>
        <v>95484410.384227455</v>
      </c>
      <c r="N22" s="33"/>
      <c r="O22" s="33"/>
    </row>
    <row r="23" spans="1:15" x14ac:dyDescent="0.25">
      <c r="A23" s="88">
        <v>2028</v>
      </c>
      <c r="B23" s="64">
        <f t="shared" si="6"/>
        <v>4036019.4678196078</v>
      </c>
      <c r="C23" s="64">
        <f>(B38/(1+Forutsetninger!$B$4))/C38</f>
        <v>112456660.19314681</v>
      </c>
      <c r="D23" s="64">
        <f t="shared" si="0"/>
        <v>4771000</v>
      </c>
      <c r="E23" s="64">
        <f t="shared" si="1"/>
        <v>2819598.272949127</v>
      </c>
      <c r="F23" s="64">
        <f>E23*Nettap!D46</f>
        <v>1791911.0457315093</v>
      </c>
      <c r="G23" s="64">
        <f>(C23*(1+Forutsetninger!$B$4))*(Forutsetninger!B13)</f>
        <v>6814873.6077046962</v>
      </c>
      <c r="H23" s="64">
        <f t="shared" si="4"/>
        <v>3029400.0000000005</v>
      </c>
      <c r="I23" s="62">
        <f t="shared" si="5"/>
        <v>20443204.121255815</v>
      </c>
      <c r="K23" s="103">
        <v>2028</v>
      </c>
      <c r="L23" s="111">
        <f t="shared" si="2"/>
        <v>4771000</v>
      </c>
      <c r="M23" s="112">
        <f t="shared" si="3"/>
        <v>112456660.19314681</v>
      </c>
      <c r="N23" s="84"/>
      <c r="O23" s="84"/>
    </row>
    <row r="24" spans="1:15" x14ac:dyDescent="0.25">
      <c r="A24" s="87">
        <v>2029</v>
      </c>
      <c r="B24" s="34">
        <f t="shared" si="6"/>
        <v>4186641.2990779597</v>
      </c>
      <c r="C24" s="34">
        <f>(B39/(1+Forutsetninger!$B$4))/C39</f>
        <v>131389865.42202403</v>
      </c>
      <c r="D24" s="34">
        <f t="shared" si="0"/>
        <v>5145000</v>
      </c>
      <c r="E24" s="34">
        <f t="shared" si="1"/>
        <v>2819598.272949127</v>
      </c>
      <c r="F24" s="34">
        <f>E24*Nettap!D47</f>
        <v>2045327.2515437168</v>
      </c>
      <c r="G24" s="34">
        <f>(C24*(1+Forutsetninger!$B$4))*(Forutsetninger!B14)</f>
        <v>7962225.8445746554</v>
      </c>
      <c r="H24" s="34">
        <f t="shared" si="4"/>
        <v>2907000</v>
      </c>
      <c r="I24" s="14">
        <f t="shared" si="5"/>
        <v>22246194.395196334</v>
      </c>
      <c r="K24" s="100">
        <v>2029</v>
      </c>
      <c r="L24" s="96">
        <f t="shared" si="2"/>
        <v>5145000</v>
      </c>
      <c r="M24" s="102">
        <f t="shared" si="3"/>
        <v>131389865.42202403</v>
      </c>
      <c r="N24" s="33"/>
      <c r="O24" s="33"/>
    </row>
    <row r="25" spans="1:15" x14ac:dyDescent="0.25">
      <c r="A25" s="88">
        <v>2030</v>
      </c>
      <c r="B25" s="64">
        <f t="shared" si="6"/>
        <v>4271178.0466281464</v>
      </c>
      <c r="C25" s="64">
        <f>(B40/(1+Forutsetninger!$B$4))/C40</f>
        <v>149905548.63195616</v>
      </c>
      <c r="D25" s="64">
        <f t="shared" si="0"/>
        <v>5645000</v>
      </c>
      <c r="E25" s="64">
        <f t="shared" si="1"/>
        <v>2819598.272949127</v>
      </c>
      <c r="F25" s="64">
        <f>E25*Nettap!D48</f>
        <v>2298743.4573559253</v>
      </c>
      <c r="G25" s="64">
        <f>(C25*(1+Forutsetninger!$B$4))*(Forutsetninger!B15)</f>
        <v>9084276.2470965441</v>
      </c>
      <c r="H25" s="64">
        <f t="shared" si="4"/>
        <v>2941176.4705882352</v>
      </c>
      <c r="I25" s="62">
        <f t="shared" si="5"/>
        <v>24240374.221668854</v>
      </c>
      <c r="K25" s="103">
        <v>2030</v>
      </c>
      <c r="L25" s="111">
        <f t="shared" si="2"/>
        <v>5645000</v>
      </c>
      <c r="M25" s="112">
        <f t="shared" si="3"/>
        <v>149905548.63195616</v>
      </c>
      <c r="N25" s="84"/>
      <c r="O25" s="84"/>
    </row>
    <row r="26" spans="1:15" x14ac:dyDescent="0.25">
      <c r="A26" s="100">
        <v>2031</v>
      </c>
      <c r="B26" s="34"/>
      <c r="C26" s="34">
        <f>M26+O26</f>
        <v>156185548.63195616</v>
      </c>
      <c r="D26" s="34">
        <f>L26+N26</f>
        <v>5920000</v>
      </c>
      <c r="E26" s="34"/>
      <c r="F26" s="34"/>
      <c r="G26" s="34">
        <f>(C26*(1+Forutsetninger!$B$4))*(Forutsetninger!B15)</f>
        <v>9464844.2470965441</v>
      </c>
      <c r="H26" s="34"/>
      <c r="I26" s="14"/>
      <c r="K26" s="100">
        <v>2031</v>
      </c>
      <c r="L26" s="96">
        <f>L25-Forutsetninger!F6</f>
        <v>5615000</v>
      </c>
      <c r="M26" s="102">
        <f>M25-L26</f>
        <v>144290548.63195616</v>
      </c>
      <c r="N26" s="33">
        <f>Investeringer!B67/Forutsetninger!$E$6</f>
        <v>305000</v>
      </c>
      <c r="O26" s="33">
        <f>Investeringer!B67-N26</f>
        <v>11895000</v>
      </c>
    </row>
    <row r="27" spans="1:15" ht="15.75" thickBot="1" x14ac:dyDescent="0.3">
      <c r="A27" s="106">
        <v>2032</v>
      </c>
      <c r="B27" s="127"/>
      <c r="C27" s="127">
        <f>M27+O27</f>
        <v>149625548.63195616</v>
      </c>
      <c r="D27" s="127">
        <f>L27+N27</f>
        <v>5865000</v>
      </c>
      <c r="E27" s="127"/>
      <c r="F27" s="127"/>
      <c r="G27" s="127">
        <f>(C27*(1+Forutsetninger!$B$4))*(Forutsetninger!B15)</f>
        <v>9067308.2470965441</v>
      </c>
      <c r="H27" s="127"/>
      <c r="I27" s="109"/>
      <c r="K27" s="103">
        <v>2032</v>
      </c>
      <c r="L27" s="111">
        <f>L26-Forutsetninger!F6</f>
        <v>5585000</v>
      </c>
      <c r="M27" s="112">
        <f>M26-L27</f>
        <v>138705548.63195616</v>
      </c>
      <c r="N27" s="84">
        <f>Investeringer!B68/Forutsetninger!$E$6</f>
        <v>280000</v>
      </c>
      <c r="O27" s="84">
        <f>Investeringer!B68-N27</f>
        <v>10920000</v>
      </c>
    </row>
    <row r="28" spans="1:15" x14ac:dyDescent="0.25">
      <c r="A28" s="126" t="s">
        <v>72</v>
      </c>
      <c r="B28" s="124">
        <f>(B25-B19)/B19</f>
        <v>0.65592172586158459</v>
      </c>
      <c r="C28" s="124">
        <f>(C25-C19)/C19</f>
        <v>0.9516625657588037</v>
      </c>
      <c r="D28" s="124">
        <f t="shared" ref="D28:I28" si="7">(D25-D19)/D19</f>
        <v>0.64817518248175188</v>
      </c>
      <c r="E28" s="124">
        <f t="shared" si="7"/>
        <v>4.4103939302651905E-2</v>
      </c>
      <c r="F28" s="124">
        <f t="shared" si="7"/>
        <v>0.48995137644970388</v>
      </c>
      <c r="G28" s="124">
        <f t="shared" si="7"/>
        <v>0.55510961415044113</v>
      </c>
      <c r="H28" s="124">
        <f>(H25-H19)/H19</f>
        <v>-0.11659336219035371</v>
      </c>
      <c r="I28" s="124">
        <f t="shared" si="7"/>
        <v>0.4499487060136147</v>
      </c>
    </row>
    <row r="29" spans="1:15" x14ac:dyDescent="0.25">
      <c r="B29" s="14">
        <f>B25-B19</f>
        <v>1691842.33291509</v>
      </c>
      <c r="C29" s="14"/>
      <c r="D29" s="14"/>
      <c r="E29" s="14"/>
      <c r="F29" s="14"/>
      <c r="G29" s="14"/>
      <c r="H29" s="14"/>
      <c r="I29" s="14"/>
    </row>
    <row r="30" spans="1:15" x14ac:dyDescent="0.25">
      <c r="B30" s="14"/>
    </row>
    <row r="31" spans="1:15" x14ac:dyDescent="0.25">
      <c r="E31" s="17"/>
      <c r="G31" s="35"/>
      <c r="H31" s="35"/>
    </row>
    <row r="32" spans="1:15" ht="15.75" thickBot="1" x14ac:dyDescent="0.3">
      <c r="A32" s="99"/>
      <c r="B32" s="50" t="s">
        <v>70</v>
      </c>
      <c r="C32" s="50" t="s">
        <v>85</v>
      </c>
      <c r="D32" s="37"/>
      <c r="E32" s="37"/>
    </row>
    <row r="33" spans="1:8" x14ac:dyDescent="0.25">
      <c r="A33" s="100">
        <v>2023</v>
      </c>
      <c r="B33" s="34">
        <f t="shared" ref="B33:B40" si="8">D6</f>
        <v>6188967.5000000009</v>
      </c>
      <c r="C33" s="128">
        <v>8.3000000000000004E-2</v>
      </c>
      <c r="D33" s="37"/>
      <c r="E33" s="37"/>
    </row>
    <row r="34" spans="1:8" x14ac:dyDescent="0.25">
      <c r="A34" s="103">
        <v>2024</v>
      </c>
      <c r="B34" s="64">
        <f t="shared" si="8"/>
        <v>6128602.3184511801</v>
      </c>
      <c r="C34" s="129">
        <v>7.9000000000000001E-2</v>
      </c>
      <c r="D34" s="37"/>
      <c r="E34" s="37"/>
      <c r="H34" s="14"/>
    </row>
    <row r="35" spans="1:8" x14ac:dyDescent="0.25">
      <c r="A35" s="100">
        <v>2025</v>
      </c>
      <c r="B35" s="34">
        <f t="shared" si="8"/>
        <v>5919551.2224329803</v>
      </c>
      <c r="C35" s="128">
        <v>7.2999999999999995E-2</v>
      </c>
      <c r="D35" s="37"/>
      <c r="E35" s="37"/>
    </row>
    <row r="36" spans="1:8" x14ac:dyDescent="0.25">
      <c r="A36" s="103">
        <v>2026</v>
      </c>
      <c r="B36" s="64">
        <f t="shared" si="8"/>
        <v>6231439.3253569696</v>
      </c>
      <c r="C36" s="129">
        <v>7.1999999999999995E-2</v>
      </c>
      <c r="D36" s="37"/>
      <c r="E36" s="37"/>
    </row>
    <row r="37" spans="1:8" x14ac:dyDescent="0.25">
      <c r="A37" s="100">
        <v>2027</v>
      </c>
      <c r="B37" s="34">
        <f t="shared" si="8"/>
        <v>6847187.0686529502</v>
      </c>
      <c r="C37" s="128">
        <v>7.0999999999999994E-2</v>
      </c>
      <c r="D37" s="37"/>
      <c r="E37" s="37"/>
    </row>
    <row r="38" spans="1:8" x14ac:dyDescent="0.25">
      <c r="A38" s="103">
        <v>2028</v>
      </c>
      <c r="B38" s="64">
        <f t="shared" si="8"/>
        <v>7950685.8756554797</v>
      </c>
      <c r="C38" s="129">
        <v>7.0000000000000007E-2</v>
      </c>
      <c r="D38" s="37"/>
      <c r="F38" s="14"/>
    </row>
    <row r="39" spans="1:8" x14ac:dyDescent="0.25">
      <c r="A39" s="100">
        <v>2029</v>
      </c>
      <c r="B39" s="34">
        <f t="shared" si="8"/>
        <v>9289263.4853371009</v>
      </c>
      <c r="C39" s="128">
        <v>7.0000000000000007E-2</v>
      </c>
    </row>
    <row r="40" spans="1:8" x14ac:dyDescent="0.25">
      <c r="A40" s="103">
        <v>2030</v>
      </c>
      <c r="B40" s="64">
        <f t="shared" si="8"/>
        <v>10598322.288279301</v>
      </c>
      <c r="C40" s="129">
        <v>7.0000000000000007E-2</v>
      </c>
    </row>
  </sheetData>
  <mergeCells count="5">
    <mergeCell ref="L16:M16"/>
    <mergeCell ref="N16:O16"/>
    <mergeCell ref="B4:I4"/>
    <mergeCell ref="B16:I16"/>
    <mergeCell ref="A2:D2"/>
  </mergeCells>
  <hyperlinks>
    <hyperlink ref="A1" location="Introduksjon!A1" display="Tilbake til introduksjon" xr:uid="{213FECF3-09F6-41C1-A23F-8CA4B925A29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3"/>
  <sheetViews>
    <sheetView topLeftCell="A3" workbookViewId="0">
      <selection activeCell="C9" sqref="C9"/>
    </sheetView>
  </sheetViews>
  <sheetFormatPr baseColWidth="10" defaultColWidth="11.42578125" defaultRowHeight="15" x14ac:dyDescent="0.25"/>
  <cols>
    <col min="1" max="1" width="21.85546875" style="9" bestFit="1" customWidth="1"/>
    <col min="2" max="3" width="11.42578125" style="9"/>
    <col min="4" max="4" width="13.85546875" style="9" bestFit="1" customWidth="1"/>
    <col min="5" max="6" width="11.42578125" style="9"/>
    <col min="7" max="7" width="13.85546875" style="9" bestFit="1" customWidth="1"/>
    <col min="8" max="9" width="11.42578125" style="9"/>
    <col min="10" max="10" width="13.85546875" style="9" bestFit="1" customWidth="1"/>
    <col min="11" max="12" width="11.42578125" style="9"/>
    <col min="13" max="13" width="13.85546875" style="9" bestFit="1" customWidth="1"/>
    <col min="14" max="15" width="11.42578125" style="9"/>
    <col min="16" max="16" width="13.85546875" style="9" bestFit="1" customWidth="1"/>
    <col min="17" max="16384" width="11.42578125" style="9"/>
  </cols>
  <sheetData>
    <row r="1" spans="1:16" x14ac:dyDescent="0.25">
      <c r="A1" s="45" t="s">
        <v>170</v>
      </c>
    </row>
    <row r="2" spans="1:16" ht="18.75" x14ac:dyDescent="0.3">
      <c r="A2" s="175" t="s">
        <v>78</v>
      </c>
      <c r="B2" s="176"/>
      <c r="C2" s="176"/>
      <c r="D2" s="177"/>
    </row>
    <row r="4" spans="1:16" x14ac:dyDescent="0.25">
      <c r="A4" s="183" t="s">
        <v>10</v>
      </c>
      <c r="B4" s="183"/>
      <c r="C4" s="183"/>
      <c r="D4" s="183"/>
      <c r="E4" s="183"/>
      <c r="F4" s="183"/>
      <c r="G4" s="183"/>
      <c r="H4" s="183"/>
      <c r="I4" s="183"/>
      <c r="J4" s="183"/>
      <c r="K4" s="183"/>
      <c r="L4" s="183"/>
      <c r="M4" s="183"/>
      <c r="N4" s="183"/>
      <c r="O4" s="183"/>
      <c r="P4" s="183"/>
    </row>
    <row r="5" spans="1:16" ht="15.75" thickBot="1" x14ac:dyDescent="0.3">
      <c r="A5" s="99"/>
      <c r="B5" s="186" t="s">
        <v>4</v>
      </c>
      <c r="C5" s="187"/>
      <c r="D5" s="188"/>
      <c r="E5" s="186" t="s">
        <v>8</v>
      </c>
      <c r="F5" s="187"/>
      <c r="G5" s="188"/>
      <c r="H5" s="186" t="s">
        <v>6</v>
      </c>
      <c r="I5" s="187"/>
      <c r="J5" s="188"/>
      <c r="K5" s="186" t="s">
        <v>7</v>
      </c>
      <c r="L5" s="187"/>
      <c r="M5" s="188"/>
      <c r="N5" s="187" t="s">
        <v>8</v>
      </c>
      <c r="O5" s="187"/>
      <c r="P5" s="187"/>
    </row>
    <row r="6" spans="1:16" ht="15.75" thickBot="1" x14ac:dyDescent="0.3">
      <c r="A6" s="130" t="s">
        <v>71</v>
      </c>
      <c r="B6" s="131" t="s">
        <v>64</v>
      </c>
      <c r="C6" s="28" t="s">
        <v>70</v>
      </c>
      <c r="D6" s="130" t="s">
        <v>78</v>
      </c>
      <c r="E6" s="131" t="s">
        <v>64</v>
      </c>
      <c r="F6" s="28" t="s">
        <v>70</v>
      </c>
      <c r="G6" s="130" t="s">
        <v>78</v>
      </c>
      <c r="H6" s="131" t="s">
        <v>64</v>
      </c>
      <c r="I6" s="28" t="s">
        <v>70</v>
      </c>
      <c r="J6" s="130" t="s">
        <v>78</v>
      </c>
      <c r="K6" s="131" t="s">
        <v>64</v>
      </c>
      <c r="L6" s="28" t="s">
        <v>70</v>
      </c>
      <c r="M6" s="130" t="s">
        <v>78</v>
      </c>
      <c r="N6" s="28" t="s">
        <v>64</v>
      </c>
      <c r="O6" s="28" t="s">
        <v>70</v>
      </c>
      <c r="P6" s="28" t="s">
        <v>78</v>
      </c>
    </row>
    <row r="7" spans="1:16" x14ac:dyDescent="0.25">
      <c r="A7" s="100">
        <v>2023</v>
      </c>
      <c r="B7" s="132">
        <f>'Østlandet IR 2023-2030'!D8</f>
        <v>967941</v>
      </c>
      <c r="C7" s="34">
        <f>'Østlandet IR 2023-2030'!G8</f>
        <v>1435518.0744137198</v>
      </c>
      <c r="D7" s="133">
        <f>(B9-B7)+(C9-C7)</f>
        <v>-192552.78588739235</v>
      </c>
      <c r="E7" s="132">
        <f>'Sørlandet IR 2023-2030'!D8</f>
        <v>784011</v>
      </c>
      <c r="F7" s="34">
        <f>'Sørlandet IR 2023-2030'!G8</f>
        <v>1403888.1858522398</v>
      </c>
      <c r="G7" s="133">
        <f t="shared" ref="G7:G14" si="0">(E9-E7)+(F9-F7)</f>
        <v>-118710.63260723883</v>
      </c>
      <c r="H7" s="132">
        <f>'Midt-Norge IR 2023-2030'!D8</f>
        <v>468795</v>
      </c>
      <c r="I7" s="34">
        <f>'Midt-Norge IR 2023-2030'!G8</f>
        <v>886435.78613391996</v>
      </c>
      <c r="J7" s="133">
        <f>(H9-H7)+(I9-I7)</f>
        <v>-53358.572233355138</v>
      </c>
      <c r="K7" s="132">
        <f>'Nord-Norge IR 2023-2030'!D8</f>
        <v>392155</v>
      </c>
      <c r="L7" s="34">
        <f>'Nord-Norge IR 2023-2030'!G8</f>
        <v>764955.27779968001</v>
      </c>
      <c r="M7" s="133">
        <f t="shared" ref="M7:M14" si="1">(K9-K7)+(L9-L7)</f>
        <v>-7032.9714596904814</v>
      </c>
      <c r="N7" s="34">
        <f>'Vestlandet IR 2023-2030'!D8</f>
        <v>327845</v>
      </c>
      <c r="O7" s="34">
        <f>'Vestlandet IR 2023-2030'!G8</f>
        <v>543644.21556367993</v>
      </c>
      <c r="P7" s="34">
        <f t="shared" ref="P7:P14" si="2">(N9-N7)+(O9-O7)</f>
        <v>-25316.208660802804</v>
      </c>
    </row>
    <row r="8" spans="1:16" x14ac:dyDescent="0.25">
      <c r="A8" s="103">
        <v>2024</v>
      </c>
      <c r="B8" s="134">
        <f>'Østlandet IR 2023-2030'!D9</f>
        <v>904074</v>
      </c>
      <c r="C8" s="64">
        <f>'Østlandet IR 2023-2030'!G9</f>
        <v>1357507.3876969202</v>
      </c>
      <c r="D8" s="135">
        <f>(B10-B8)+(C10-C8)</f>
        <v>-114137.77304079023</v>
      </c>
      <c r="E8" s="134">
        <f>'Sørlandet IR 2023-2030'!D9</f>
        <v>785812</v>
      </c>
      <c r="F8" s="64">
        <f>'Sørlandet IR 2023-2030'!G9</f>
        <v>1341393.3685599901</v>
      </c>
      <c r="G8" s="135">
        <f t="shared" si="0"/>
        <v>-143271.84166338202</v>
      </c>
      <c r="H8" s="134">
        <f>'Midt-Norge IR 2023-2030'!D9</f>
        <v>485243</v>
      </c>
      <c r="I8" s="64">
        <f>'Midt-Norge IR 2023-2030'!G9</f>
        <v>848007.0838834201</v>
      </c>
      <c r="J8" s="135">
        <f t="shared" ref="J8:J14" si="3">(H10-H8)+(I10-I8)</f>
        <v>-82305.328697955993</v>
      </c>
      <c r="K8" s="134">
        <f>'Nord-Norge IR 2023-2030'!D9</f>
        <v>407015</v>
      </c>
      <c r="L8" s="64">
        <f>'Nord-Norge IR 2023-2030'!G9</f>
        <v>718008.71066025004</v>
      </c>
      <c r="M8" s="135">
        <f t="shared" si="1"/>
        <v>13124.858500198927</v>
      </c>
      <c r="N8" s="64">
        <f>'Vestlandet IR 2023-2030'!D9</f>
        <v>342021</v>
      </c>
      <c r="O8" s="64">
        <f>'Vestlandet IR 2023-2030'!G9</f>
        <v>529458.9169404601</v>
      </c>
      <c r="P8" s="64">
        <f t="shared" si="2"/>
        <v>-58940.755571110989</v>
      </c>
    </row>
    <row r="9" spans="1:16" x14ac:dyDescent="0.25">
      <c r="A9" s="100">
        <v>2025</v>
      </c>
      <c r="B9" s="132">
        <f>'Østlandet IR 2023-2030'!D10</f>
        <v>932399.74085606344</v>
      </c>
      <c r="C9" s="34">
        <f>'Østlandet IR 2023-2030'!G10</f>
        <v>1278506.547670264</v>
      </c>
      <c r="D9" s="133">
        <f>(B11-B9)+(C11-C9)</f>
        <v>15172.319148438168</v>
      </c>
      <c r="E9" s="132">
        <f>'Sørlandet IR 2023-2030'!D10</f>
        <v>809689.84479350923</v>
      </c>
      <c r="F9" s="34">
        <f>'Sørlandet IR 2023-2030'!G10</f>
        <v>1259498.7084514918</v>
      </c>
      <c r="G9" s="133">
        <f t="shared" si="0"/>
        <v>-32606.652623770526</v>
      </c>
      <c r="H9" s="132">
        <f>'Midt-Norge IR 2023-2030'!D10</f>
        <v>501572.80048453948</v>
      </c>
      <c r="I9" s="34">
        <f>'Midt-Norge IR 2023-2030'!G10</f>
        <v>800299.41341602535</v>
      </c>
      <c r="J9" s="133">
        <f t="shared" si="3"/>
        <v>-13343.825700481073</v>
      </c>
      <c r="K9" s="132">
        <f>'Nord-Norge IR 2023-2030'!D10</f>
        <v>434789.07950056065</v>
      </c>
      <c r="L9" s="34">
        <f>'Nord-Norge IR 2023-2030'!G10</f>
        <v>715288.22683942888</v>
      </c>
      <c r="M9" s="133">
        <f t="shared" si="1"/>
        <v>48286.512064283947</v>
      </c>
      <c r="N9" s="34">
        <f>'Vestlandet IR 2023-2030'!D10</f>
        <v>351426.3343653272</v>
      </c>
      <c r="O9" s="34">
        <f>'Vestlandet IR 2023-2030'!G10</f>
        <v>494746.67253754992</v>
      </c>
      <c r="P9" s="34">
        <f t="shared" si="2"/>
        <v>-11532.337295230129</v>
      </c>
    </row>
    <row r="10" spans="1:16" x14ac:dyDescent="0.25">
      <c r="A10" s="103">
        <v>2026</v>
      </c>
      <c r="B10" s="134">
        <f>'Østlandet IR 2023-2030'!D11</f>
        <v>961893.33624441561</v>
      </c>
      <c r="C10" s="64">
        <f>'Østlandet IR 2023-2030'!G11</f>
        <v>1185550.2784117144</v>
      </c>
      <c r="D10" s="135">
        <f t="shared" ref="D10:D12" si="4">(B12-B10)+(C12-C10)</f>
        <v>148652.55188397516</v>
      </c>
      <c r="E10" s="134">
        <f>'Sørlandet IR 2023-2030'!D11</f>
        <v>830046.89344840241</v>
      </c>
      <c r="F10" s="64">
        <f>'Sørlandet IR 2023-2030'!G11</f>
        <v>1153886.6334482057</v>
      </c>
      <c r="G10" s="135">
        <f t="shared" si="0"/>
        <v>105194.7263602626</v>
      </c>
      <c r="H10" s="134">
        <f>'Midt-Norge IR 2023-2030'!D11</f>
        <v>515281.20545322093</v>
      </c>
      <c r="I10" s="64">
        <f>'Midt-Norge IR 2023-2030'!G11</f>
        <v>735663.54973224318</v>
      </c>
      <c r="J10" s="135">
        <f t="shared" si="3"/>
        <v>74973.508285802032</v>
      </c>
      <c r="K10" s="134">
        <f>'Nord-Norge IR 2023-2030'!D11</f>
        <v>457068.76110879809</v>
      </c>
      <c r="L10" s="64">
        <f>'Nord-Norge IR 2023-2030'!G11</f>
        <v>681079.80805165088</v>
      </c>
      <c r="M10" s="135">
        <f t="shared" si="1"/>
        <v>119255.23473350436</v>
      </c>
      <c r="N10" s="64">
        <f>'Vestlandet IR 2023-2030'!D11</f>
        <v>360000.90374516294</v>
      </c>
      <c r="O10" s="64">
        <f>'Vestlandet IR 2023-2030'!G11</f>
        <v>452538.25762418617</v>
      </c>
      <c r="P10" s="64">
        <f t="shared" si="2"/>
        <v>41242.999456456164</v>
      </c>
    </row>
    <row r="11" spans="1:16" x14ac:dyDescent="0.25">
      <c r="A11" s="100">
        <v>2027</v>
      </c>
      <c r="B11" s="132">
        <f>'Østlandet IR 2023-2030'!D12</f>
        <v>990932.44606580981</v>
      </c>
      <c r="C11" s="34">
        <f>'Østlandet IR 2023-2030'!G12</f>
        <v>1235146.1616089558</v>
      </c>
      <c r="D11" s="133">
        <f t="shared" si="4"/>
        <v>141754.12083675154</v>
      </c>
      <c r="E11" s="132">
        <f>'Sørlandet IR 2023-2030'!D12</f>
        <v>849180.57816720684</v>
      </c>
      <c r="F11" s="34">
        <f>'Sørlandet IR 2023-2030'!G12</f>
        <v>1187401.3224540236</v>
      </c>
      <c r="G11" s="133">
        <f t="shared" si="0"/>
        <v>106924.7243113392</v>
      </c>
      <c r="H11" s="132">
        <f>'Midt-Norge IR 2023-2030'!D12</f>
        <v>528489.55286071124</v>
      </c>
      <c r="I11" s="34">
        <f>'Midt-Norge IR 2023-2030'!G12</f>
        <v>760038.83533937251</v>
      </c>
      <c r="J11" s="133">
        <f t="shared" si="3"/>
        <v>76081.691303505795</v>
      </c>
      <c r="K11" s="132">
        <f>'Nord-Norge IR 2023-2030'!D12</f>
        <v>477011.32675950625</v>
      </c>
      <c r="L11" s="34">
        <f>'Nord-Norge IR 2023-2030'!G12</f>
        <v>721352.49164476723</v>
      </c>
      <c r="M11" s="133">
        <f t="shared" si="1"/>
        <v>116292.73373789189</v>
      </c>
      <c r="N11" s="34">
        <f>'Vestlandet IR 2023-2030'!D12</f>
        <v>368570.6961467659</v>
      </c>
      <c r="O11" s="34">
        <f>'Vestlandet IR 2023-2030'!G12</f>
        <v>466069.9734608811</v>
      </c>
      <c r="P11" s="34">
        <f t="shared" si="2"/>
        <v>37507.608270511322</v>
      </c>
    </row>
    <row r="12" spans="1:16" x14ac:dyDescent="0.25">
      <c r="A12" s="103">
        <v>2028</v>
      </c>
      <c r="B12" s="134">
        <f>'Østlandet IR 2023-2030'!D13</f>
        <v>1017932.6476104248</v>
      </c>
      <c r="C12" s="64">
        <f>'Østlandet IR 2023-2030'!G13</f>
        <v>1278163.5189296803</v>
      </c>
      <c r="D12" s="135">
        <f t="shared" si="4"/>
        <v>142315.19320002454</v>
      </c>
      <c r="E12" s="134">
        <f>'Sørlandet IR 2023-2030'!D13</f>
        <v>868628.67098643864</v>
      </c>
      <c r="F12" s="64">
        <f>'Sørlandet IR 2023-2030'!G13</f>
        <v>1220499.582270432</v>
      </c>
      <c r="G12" s="135">
        <f t="shared" si="0"/>
        <v>106096.88675667229</v>
      </c>
      <c r="H12" s="134">
        <f>'Midt-Norge IR 2023-2030'!D13</f>
        <v>541878.27373239154</v>
      </c>
      <c r="I12" s="64">
        <f>'Midt-Norge IR 2023-2030'!G13</f>
        <v>784039.9897388746</v>
      </c>
      <c r="J12" s="135">
        <f t="shared" si="3"/>
        <v>76794.901073507732</v>
      </c>
      <c r="K12" s="134">
        <f>'Nord-Norge IR 2023-2030'!D13</f>
        <v>496963.77994196455</v>
      </c>
      <c r="L12" s="64">
        <f>'Nord-Norge IR 2023-2030'!G13</f>
        <v>760440.02395198878</v>
      </c>
      <c r="M12" s="135">
        <f t="shared" si="1"/>
        <v>106364.41632399056</v>
      </c>
      <c r="N12" s="64">
        <f>'Vestlandet IR 2023-2030'!D13</f>
        <v>376414.8277287808</v>
      </c>
      <c r="O12" s="64">
        <f>'Vestlandet IR 2023-2030'!G13</f>
        <v>477367.33309702447</v>
      </c>
      <c r="P12" s="64">
        <f t="shared" si="2"/>
        <v>36231.33884580445</v>
      </c>
    </row>
    <row r="13" spans="1:16" x14ac:dyDescent="0.25">
      <c r="A13" s="100">
        <v>2029</v>
      </c>
      <c r="B13" s="132">
        <f>'Østlandet IR 2023-2030'!D14</f>
        <v>1045930.4157007006</v>
      </c>
      <c r="C13" s="34">
        <f>'Østlandet IR 2023-2030'!G14</f>
        <v>1321902.3128108166</v>
      </c>
      <c r="D13" s="133">
        <f>(B15-B13)+(C15-C13)</f>
        <v>139450.89108057786</v>
      </c>
      <c r="E13" s="132">
        <f>'Sørlandet IR 2023-2030'!D14</f>
        <v>888971.8620588975</v>
      </c>
      <c r="F13" s="34">
        <f>'Sørlandet IR 2023-2030'!G14</f>
        <v>1254534.7628736722</v>
      </c>
      <c r="G13" s="133">
        <f t="shared" si="0"/>
        <v>102229.94479712937</v>
      </c>
      <c r="H13" s="132">
        <f>'Midt-Norge IR 2023-2030'!D14</f>
        <v>555895.31631601951</v>
      </c>
      <c r="I13" s="34">
        <f>'Midt-Norge IR 2023-2030'!G14</f>
        <v>808714.76318757003</v>
      </c>
      <c r="J13" s="133">
        <f t="shared" si="3"/>
        <v>75352.040111921728</v>
      </c>
      <c r="K13" s="132">
        <f>'Nord-Norge IR 2023-2030'!D14</f>
        <v>516744.34795506718</v>
      </c>
      <c r="L13" s="34">
        <f>'Nord-Norge IR 2023-2030'!G14</f>
        <v>797912.20418709819</v>
      </c>
      <c r="M13" s="133">
        <f t="shared" si="1"/>
        <v>97149.717898274888</v>
      </c>
      <c r="N13" s="34">
        <f>'Vestlandet IR 2023-2030'!D14</f>
        <v>384169.75796931528</v>
      </c>
      <c r="O13" s="34">
        <f>'Vestlandet IR 2023-2030'!G14</f>
        <v>487978.51990884304</v>
      </c>
      <c r="P13" s="34">
        <f t="shared" si="2"/>
        <v>25206.634298502817</v>
      </c>
    </row>
    <row r="14" spans="1:16" x14ac:dyDescent="0.25">
      <c r="A14" s="103">
        <v>2030</v>
      </c>
      <c r="B14" s="134">
        <f>'Østlandet IR 2023-2030'!D15</f>
        <v>1074088.3592097405</v>
      </c>
      <c r="C14" s="64">
        <f>'Østlandet IR 2023-2030'!G15</f>
        <v>1364323.0005303891</v>
      </c>
      <c r="D14" s="135">
        <f>(B16-B14)+(C16-C14)</f>
        <v>136038.14832728263</v>
      </c>
      <c r="E14" s="134">
        <f>'Sørlandet IR 2023-2030'!D15</f>
        <v>908890.76246841578</v>
      </c>
      <c r="F14" s="64">
        <f>'Sørlandet IR 2023-2030'!G15</f>
        <v>1286334.3775451272</v>
      </c>
      <c r="G14" s="135">
        <f t="shared" si="0"/>
        <v>99815.774067495717</v>
      </c>
      <c r="H14" s="134">
        <f>'Midt-Norge IR 2023-2030'!D15</f>
        <v>569989.8702837911</v>
      </c>
      <c r="I14" s="64">
        <f>'Midt-Norge IR 2023-2030'!G15</f>
        <v>832723.29426098277</v>
      </c>
      <c r="J14" s="135">
        <f t="shared" si="3"/>
        <v>73643.780171027756</v>
      </c>
      <c r="K14" s="134">
        <f>'Nord-Norge IR 2023-2030'!D15</f>
        <v>534460.82078150171</v>
      </c>
      <c r="L14" s="64">
        <f>'Nord-Norge IR 2023-2030'!G15</f>
        <v>829307.39943644218</v>
      </c>
      <c r="M14" s="135">
        <f t="shared" si="1"/>
        <v>95002.481391711044</v>
      </c>
      <c r="N14" s="64">
        <f>'Vestlandet IR 2023-2030'!D15</f>
        <v>391915.48725655093</v>
      </c>
      <c r="O14" s="64">
        <f>'Vestlandet IR 2023-2030'!G15</f>
        <v>498098.01241505879</v>
      </c>
      <c r="P14" s="64">
        <f t="shared" si="2"/>
        <v>24086.055668957008</v>
      </c>
    </row>
    <row r="15" spans="1:16" x14ac:dyDescent="0.25">
      <c r="A15" s="100">
        <v>2031</v>
      </c>
      <c r="B15" s="132">
        <f>'Østlandet IR 2023-2030'!D16</f>
        <v>1102246.3027187807</v>
      </c>
      <c r="C15" s="34">
        <f>'Østlandet IR 2023-2030'!G16</f>
        <v>1405037.3168733143</v>
      </c>
      <c r="D15" s="133"/>
      <c r="E15" s="132">
        <f>'Sørlandet IR 2023-2030'!D16</f>
        <v>928809.66287793382</v>
      </c>
      <c r="F15" s="34">
        <f>'Sørlandet IR 2023-2030'!G16</f>
        <v>1316926.9068517652</v>
      </c>
      <c r="G15" s="133"/>
      <c r="H15" s="132">
        <f>'Midt-Norge IR 2023-2030'!D16</f>
        <v>584084.4242515628</v>
      </c>
      <c r="I15" s="34">
        <f>'Midt-Norge IR 2023-2030'!G16</f>
        <v>855877.69536394847</v>
      </c>
      <c r="J15" s="133"/>
      <c r="K15" s="132">
        <f>'Nord-Norge IR 2023-2030'!D16</f>
        <v>552177.29360793612</v>
      </c>
      <c r="L15" s="34">
        <f>'Nord-Norge IR 2023-2030'!G16</f>
        <v>859628.97643250413</v>
      </c>
      <c r="M15" s="133"/>
      <c r="N15" s="34">
        <f>'Vestlandet IR 2023-2030'!D16</f>
        <v>399661.21654378658</v>
      </c>
      <c r="O15" s="34">
        <f>'Vestlandet IR 2023-2030'!G16</f>
        <v>497693.69563287456</v>
      </c>
      <c r="P15" s="34"/>
    </row>
    <row r="16" spans="1:16" x14ac:dyDescent="0.25">
      <c r="A16" s="103">
        <v>2032</v>
      </c>
      <c r="B16" s="134">
        <f>'Østlandet IR 2023-2030'!D17</f>
        <v>1130404.2462278209</v>
      </c>
      <c r="C16" s="64">
        <f>'Østlandet IR 2023-2030'!G17</f>
        <v>1444045.2618395914</v>
      </c>
      <c r="D16" s="135"/>
      <c r="E16" s="134">
        <f>'Sørlandet IR 2023-2030'!D17</f>
        <v>948728.5632874521</v>
      </c>
      <c r="F16" s="64">
        <f>'Sørlandet IR 2023-2030'!G17</f>
        <v>1346312.3507935866</v>
      </c>
      <c r="G16" s="135"/>
      <c r="H16" s="134">
        <f>'Midt-Norge IR 2023-2030'!D17</f>
        <v>598178.97821933439</v>
      </c>
      <c r="I16" s="64">
        <f>'Midt-Norge IR 2023-2030'!G17</f>
        <v>878177.96649646724</v>
      </c>
      <c r="J16" s="135"/>
      <c r="K16" s="134">
        <f>'Nord-Norge IR 2023-2030'!D17</f>
        <v>569893.76643437066</v>
      </c>
      <c r="L16" s="64">
        <f>'Nord-Norge IR 2023-2030'!G17</f>
        <v>888876.93517528428</v>
      </c>
      <c r="M16" s="135"/>
      <c r="N16" s="64">
        <f>'Vestlandet IR 2023-2030'!D17</f>
        <v>407406.94583102228</v>
      </c>
      <c r="O16" s="64">
        <f>'Vestlandet IR 2023-2030'!G17</f>
        <v>506692.60950954445</v>
      </c>
      <c r="P16" s="64"/>
    </row>
    <row r="18" spans="1:16" x14ac:dyDescent="0.25">
      <c r="A18" s="183" t="s">
        <v>12</v>
      </c>
      <c r="B18" s="183"/>
      <c r="C18" s="183"/>
      <c r="D18" s="183"/>
      <c r="E18" s="183"/>
      <c r="F18" s="183"/>
      <c r="G18" s="183"/>
      <c r="H18" s="183"/>
      <c r="I18" s="183"/>
      <c r="J18" s="183"/>
      <c r="K18" s="183"/>
      <c r="L18" s="183"/>
      <c r="M18" s="183"/>
      <c r="N18" s="183"/>
      <c r="O18" s="183"/>
      <c r="P18" s="183"/>
    </row>
    <row r="19" spans="1:16" ht="15.75" thickBot="1" x14ac:dyDescent="0.3">
      <c r="A19" s="99"/>
      <c r="B19" s="186" t="s">
        <v>4</v>
      </c>
      <c r="C19" s="187"/>
      <c r="D19" s="188"/>
      <c r="E19" s="186" t="s">
        <v>8</v>
      </c>
      <c r="F19" s="187"/>
      <c r="G19" s="188"/>
      <c r="H19" s="186" t="s">
        <v>6</v>
      </c>
      <c r="I19" s="187"/>
      <c r="J19" s="188"/>
      <c r="K19" s="186" t="s">
        <v>7</v>
      </c>
      <c r="L19" s="187"/>
      <c r="M19" s="188"/>
      <c r="N19" s="187" t="s">
        <v>8</v>
      </c>
      <c r="O19" s="187"/>
      <c r="P19" s="187"/>
    </row>
    <row r="20" spans="1:16" ht="15.75" thickBot="1" x14ac:dyDescent="0.3">
      <c r="A20" s="130" t="s">
        <v>71</v>
      </c>
      <c r="B20" s="131" t="s">
        <v>64</v>
      </c>
      <c r="C20" s="28" t="s">
        <v>70</v>
      </c>
      <c r="D20" s="130" t="s">
        <v>78</v>
      </c>
      <c r="E20" s="131" t="s">
        <v>64</v>
      </c>
      <c r="F20" s="28" t="s">
        <v>70</v>
      </c>
      <c r="G20" s="130" t="s">
        <v>78</v>
      </c>
      <c r="H20" s="131" t="s">
        <v>64</v>
      </c>
      <c r="I20" s="28" t="s">
        <v>70</v>
      </c>
      <c r="J20" s="130" t="s">
        <v>78</v>
      </c>
      <c r="K20" s="131" t="s">
        <v>64</v>
      </c>
      <c r="L20" s="28" t="s">
        <v>70</v>
      </c>
      <c r="M20" s="130" t="s">
        <v>78</v>
      </c>
      <c r="N20" s="28" t="s">
        <v>64</v>
      </c>
      <c r="O20" s="28" t="s">
        <v>70</v>
      </c>
      <c r="P20" s="28" t="s">
        <v>78</v>
      </c>
    </row>
    <row r="21" spans="1:16" x14ac:dyDescent="0.25">
      <c r="A21" s="100">
        <v>2023</v>
      </c>
      <c r="B21" s="132">
        <f>'Østlandet IR 2023-2030'!D23</f>
        <v>273447</v>
      </c>
      <c r="C21" s="34">
        <f>'Østlandet IR 2023-2030'!G23</f>
        <v>585686.23911863996</v>
      </c>
      <c r="D21" s="133">
        <f>(B23-B21)+(C23-C21)</f>
        <v>-108969.35521730009</v>
      </c>
      <c r="E21" s="132">
        <f>'Sørlandet IR 2023-2030'!D23</f>
        <v>300521</v>
      </c>
      <c r="F21" s="34">
        <f>'Sørlandet IR 2023-2030'!G23</f>
        <v>640023.64385695988</v>
      </c>
      <c r="G21" s="133">
        <f t="shared" ref="G21:G28" si="5">(E23-E21)+(F23-F21)</f>
        <v>14982.624466416193</v>
      </c>
      <c r="H21" s="132">
        <f>'Midt-Norge IR 2023-2030'!D23</f>
        <v>159260</v>
      </c>
      <c r="I21" s="34">
        <f>'Midt-Norge IR 2023-2030'!G23</f>
        <v>403320.50000528002</v>
      </c>
      <c r="J21" s="133">
        <f>(H23-H21)+(I23-I21)</f>
        <v>-11908.014844430902</v>
      </c>
      <c r="K21" s="132">
        <f>'Nord-Norge IR 2023-2030'!D23</f>
        <v>158548</v>
      </c>
      <c r="L21" s="34">
        <f>'Nord-Norge IR 2023-2030'!G23</f>
        <v>429023.31826640002</v>
      </c>
      <c r="M21" s="133">
        <f t="shared" ref="M21:M28" si="6">(K23-K21)+(L23-L21)</f>
        <v>-20011.587262852699</v>
      </c>
      <c r="N21" s="34">
        <f>'Vestlandet IR 2023-2030'!D23</f>
        <v>86988</v>
      </c>
      <c r="O21" s="34">
        <f>'Vestlandet IR 2023-2030'!G23</f>
        <v>199053.65579923996</v>
      </c>
      <c r="P21" s="34">
        <f t="shared" ref="P21:P28" si="7">(N23-N21)+(O23-O21)</f>
        <v>-27520.898933352524</v>
      </c>
    </row>
    <row r="22" spans="1:16" x14ac:dyDescent="0.25">
      <c r="A22" s="103">
        <v>2024</v>
      </c>
      <c r="B22" s="134">
        <f>'Østlandet IR 2023-2030'!D24</f>
        <v>256642</v>
      </c>
      <c r="C22" s="64">
        <f>'Østlandet IR 2023-2030'!G24</f>
        <v>557907.34547067003</v>
      </c>
      <c r="D22" s="135">
        <f>(B24-B22)+(C24-C22)</f>
        <v>-76794.869738827809</v>
      </c>
      <c r="E22" s="134">
        <f>'Sørlandet IR 2023-2030'!D24</f>
        <v>317882</v>
      </c>
      <c r="F22" s="64">
        <f>'Sørlandet IR 2023-2030'!G24</f>
        <v>624790.19187168009</v>
      </c>
      <c r="G22" s="135">
        <f t="shared" si="5"/>
        <v>100852.85549777723</v>
      </c>
      <c r="H22" s="134">
        <f>'Midt-Norge IR 2023-2030'!D24</f>
        <v>178592</v>
      </c>
      <c r="I22" s="64">
        <f>'Midt-Norge IR 2023-2030'!G24</f>
        <v>384453.79161530995</v>
      </c>
      <c r="J22" s="135">
        <f t="shared" ref="J22:J28" si="8">(H24-H22)+(I24-I22)</f>
        <v>-5824.3478161682724</v>
      </c>
      <c r="K22" s="134">
        <f>'Nord-Norge IR 2023-2030'!D24</f>
        <v>177249</v>
      </c>
      <c r="L22" s="64">
        <f>'Nord-Norge IR 2023-2030'!G24</f>
        <v>412343.17127418012</v>
      </c>
      <c r="M22" s="135">
        <f t="shared" si="6"/>
        <v>3459.6890610398259</v>
      </c>
      <c r="N22" s="64">
        <f>'Vestlandet IR 2023-2030'!D24</f>
        <v>95779</v>
      </c>
      <c r="O22" s="64">
        <f>'Vestlandet IR 2023-2030'!G24</f>
        <v>188966.81437416005</v>
      </c>
      <c r="P22" s="64">
        <f t="shared" si="7"/>
        <v>-35816.955709821312</v>
      </c>
    </row>
    <row r="23" spans="1:16" x14ac:dyDescent="0.25">
      <c r="A23" s="100">
        <v>2025</v>
      </c>
      <c r="B23" s="132">
        <f>'Østlandet IR 2023-2030'!D25</f>
        <v>255563.87938501939</v>
      </c>
      <c r="C23" s="34">
        <f>'Østlandet IR 2023-2030'!G25</f>
        <v>494600.00451632048</v>
      </c>
      <c r="D23" s="133">
        <f t="shared" ref="D23:D26" si="9">(B25-B23)+(C25-C23)</f>
        <v>33584.423343325238</v>
      </c>
      <c r="E23" s="132">
        <f>'Sørlandet IR 2023-2030'!D25</f>
        <v>340461.59115249</v>
      </c>
      <c r="F23" s="34">
        <f>'Sørlandet IR 2023-2030'!G25</f>
        <v>615065.67717088608</v>
      </c>
      <c r="G23" s="133">
        <f t="shared" si="5"/>
        <v>228585.66312704852</v>
      </c>
      <c r="H23" s="132">
        <f>'Midt-Norge IR 2023-2030'!D25</f>
        <v>186608.09401448781</v>
      </c>
      <c r="I23" s="34">
        <f>'Midt-Norge IR 2023-2030'!G25</f>
        <v>364064.3911463613</v>
      </c>
      <c r="J23" s="133">
        <f t="shared" si="8"/>
        <v>67022.1935609465</v>
      </c>
      <c r="K23" s="132">
        <f>'Nord-Norge IR 2023-2030'!D25</f>
        <v>183201.27835178742</v>
      </c>
      <c r="L23" s="34">
        <f>'Nord-Norge IR 2023-2030'!G25</f>
        <v>384358.4526517599</v>
      </c>
      <c r="M23" s="133">
        <f t="shared" si="6"/>
        <v>101630.99327910511</v>
      </c>
      <c r="N23" s="34">
        <f>'Vestlandet IR 2023-2030'!D25</f>
        <v>94372.157096215349</v>
      </c>
      <c r="O23" s="34">
        <f>'Vestlandet IR 2023-2030'!G25</f>
        <v>164148.59976967209</v>
      </c>
      <c r="P23" s="34">
        <f t="shared" si="7"/>
        <v>6958.9866345747141</v>
      </c>
    </row>
    <row r="24" spans="1:16" x14ac:dyDescent="0.25">
      <c r="A24" s="103">
        <v>2026</v>
      </c>
      <c r="B24" s="134">
        <f>'Østlandet IR 2023-2030'!D26</f>
        <v>269666.75877003878</v>
      </c>
      <c r="C24" s="64">
        <f>'Østlandet IR 2023-2030'!G26</f>
        <v>468087.71696180344</v>
      </c>
      <c r="D24" s="135">
        <f t="shared" si="9"/>
        <v>97797.30423491355</v>
      </c>
      <c r="E24" s="134">
        <f>'Sørlandet IR 2023-2030'!D26</f>
        <v>389643.18230498</v>
      </c>
      <c r="F24" s="64">
        <f>'Sørlandet IR 2023-2030'!G26</f>
        <v>653881.86506447732</v>
      </c>
      <c r="G24" s="135">
        <f t="shared" si="5"/>
        <v>305723.31543809373</v>
      </c>
      <c r="H24" s="134">
        <f>'Midt-Norge IR 2023-2030'!D26</f>
        <v>201791.68802897562</v>
      </c>
      <c r="I24" s="64">
        <f>'Midt-Norge IR 2023-2030'!G26</f>
        <v>355429.75577016606</v>
      </c>
      <c r="J24" s="135">
        <f t="shared" si="8"/>
        <v>151637.32674802991</v>
      </c>
      <c r="K24" s="134">
        <f>'Nord-Norge IR 2023-2030'!D26</f>
        <v>204475.55670357484</v>
      </c>
      <c r="L24" s="64">
        <f>'Nord-Norge IR 2023-2030'!G26</f>
        <v>388576.3036316451</v>
      </c>
      <c r="M24" s="135">
        <f t="shared" si="6"/>
        <v>129420.58732674661</v>
      </c>
      <c r="N24" s="64">
        <f>'Vestlandet IR 2023-2030'!D26</f>
        <v>97571.314192430698</v>
      </c>
      <c r="O24" s="64">
        <f>'Vestlandet IR 2023-2030'!G26</f>
        <v>151357.54447190804</v>
      </c>
      <c r="P24" s="64">
        <f t="shared" si="7"/>
        <v>44546.708152216132</v>
      </c>
    </row>
    <row r="25" spans="1:16" x14ac:dyDescent="0.25">
      <c r="A25" s="100">
        <v>2027</v>
      </c>
      <c r="B25" s="132">
        <f>'Østlandet IR 2023-2030'!D27</f>
        <v>284662.63815505814</v>
      </c>
      <c r="C25" s="34">
        <f>'Østlandet IR 2023-2030'!G27</f>
        <v>499085.66908960696</v>
      </c>
      <c r="D25" s="133">
        <f t="shared" si="9"/>
        <v>102577.14665344916</v>
      </c>
      <c r="E25" s="132">
        <f>'Sørlandet IR 2023-2030'!D27</f>
        <v>434547.77345747</v>
      </c>
      <c r="F25" s="34">
        <f>'Sørlandet IR 2023-2030'!G27</f>
        <v>749565.1579929546</v>
      </c>
      <c r="G25" s="133">
        <f t="shared" si="5"/>
        <v>327058.32999041199</v>
      </c>
      <c r="H25" s="132">
        <f>'Midt-Norge IR 2023-2030'!D27</f>
        <v>220970.28204346343</v>
      </c>
      <c r="I25" s="34">
        <f>'Midt-Norge IR 2023-2030'!G27</f>
        <v>396724.39667833218</v>
      </c>
      <c r="J25" s="133">
        <f t="shared" si="8"/>
        <v>180592.04855347401</v>
      </c>
      <c r="K25" s="132">
        <f>'Nord-Norge IR 2023-2030'!D27</f>
        <v>228193.83505536226</v>
      </c>
      <c r="L25" s="34">
        <f>'Nord-Norge IR 2023-2030'!G27</f>
        <v>440996.88922729017</v>
      </c>
      <c r="M25" s="133">
        <f t="shared" si="6"/>
        <v>105512.05019051</v>
      </c>
      <c r="N25" s="34">
        <f>'Vestlandet IR 2023-2030'!D27</f>
        <v>103049.97128864605</v>
      </c>
      <c r="O25" s="34">
        <f>'Vestlandet IR 2023-2030'!G27</f>
        <v>162429.7722118161</v>
      </c>
      <c r="P25" s="34">
        <f t="shared" si="7"/>
        <v>55447.449112154834</v>
      </c>
    </row>
    <row r="26" spans="1:16" x14ac:dyDescent="0.25">
      <c r="A26" s="103">
        <v>2028</v>
      </c>
      <c r="B26" s="134">
        <f>'Østlandet IR 2023-2030'!D28</f>
        <v>301656.01754007756</v>
      </c>
      <c r="C26" s="64">
        <f>'Østlandet IR 2023-2030'!G28</f>
        <v>533895.76242667821</v>
      </c>
      <c r="D26" s="135">
        <f t="shared" si="9"/>
        <v>100517.54907198477</v>
      </c>
      <c r="E26" s="134">
        <f>'Sørlandet IR 2023-2030'!D28</f>
        <v>487559.86460996</v>
      </c>
      <c r="F26" s="64">
        <f>'Sørlandet IR 2023-2030'!G28</f>
        <v>861688.49819759105</v>
      </c>
      <c r="G26" s="135">
        <f t="shared" si="5"/>
        <v>320633.26454273018</v>
      </c>
      <c r="H26" s="134">
        <f>'Midt-Norge IR 2023-2030'!D28</f>
        <v>249619.37605795125</v>
      </c>
      <c r="I26" s="64">
        <f>'Midt-Norge IR 2023-2030'!G28</f>
        <v>459239.39448922034</v>
      </c>
      <c r="J26" s="135">
        <f t="shared" si="8"/>
        <v>177119.77835891803</v>
      </c>
      <c r="K26" s="134">
        <f>'Nord-Norge IR 2023-2030'!D28</f>
        <v>245543.61340714968</v>
      </c>
      <c r="L26" s="64">
        <f>'Nord-Norge IR 2023-2030'!G28</f>
        <v>476928.83425481687</v>
      </c>
      <c r="M26" s="135">
        <f t="shared" si="6"/>
        <v>103409.25705427327</v>
      </c>
      <c r="N26" s="64">
        <f>'Vestlandet IR 2023-2030'!D28</f>
        <v>112030.1283848614</v>
      </c>
      <c r="O26" s="64">
        <f>'Vestlandet IR 2023-2030'!G28</f>
        <v>181445.43843169347</v>
      </c>
      <c r="P26" s="64">
        <f t="shared" si="7"/>
        <v>54359.054072093568</v>
      </c>
    </row>
    <row r="27" spans="1:16" x14ac:dyDescent="0.25">
      <c r="A27" s="100">
        <v>2029</v>
      </c>
      <c r="B27" s="132">
        <f>'Østlandet IR 2023-2030'!D29</f>
        <v>318649.39692509698</v>
      </c>
      <c r="C27" s="34">
        <f>'Østlandet IR 2023-2030'!G29</f>
        <v>567676.05697301729</v>
      </c>
      <c r="D27" s="133">
        <f>(B29-B27)+(C29-C27)</f>
        <v>98457.951490520616</v>
      </c>
      <c r="E27" s="132">
        <f>'Sørlandet IR 2023-2030'!D29</f>
        <v>540571.95576245</v>
      </c>
      <c r="F27" s="34">
        <f>'Sørlandet IR 2023-2030'!G29</f>
        <v>970599.30567838659</v>
      </c>
      <c r="G27" s="133">
        <f t="shared" si="5"/>
        <v>314208.19909504836</v>
      </c>
      <c r="H27" s="132">
        <f>'Midt-Norge IR 2023-2030'!D29</f>
        <v>278268.47007243906</v>
      </c>
      <c r="I27" s="34">
        <f>'Midt-Norge IR 2023-2030'!G29</f>
        <v>520018.25720283057</v>
      </c>
      <c r="J27" s="133">
        <f t="shared" si="8"/>
        <v>173647.50816436211</v>
      </c>
      <c r="K27" s="132">
        <f>'Nord-Norge IR 2023-2030'!D29</f>
        <v>262893.3917589371</v>
      </c>
      <c r="L27" s="34">
        <f>'Nord-Norge IR 2023-2030'!G29</f>
        <v>511809.38271422533</v>
      </c>
      <c r="M27" s="133">
        <f t="shared" si="6"/>
        <v>101306.46391803655</v>
      </c>
      <c r="N27" s="34">
        <f>'Vestlandet IR 2023-2030'!D29</f>
        <v>121010.28548107675</v>
      </c>
      <c r="O27" s="34">
        <f>'Vestlandet IR 2023-2030'!G29</f>
        <v>199916.90713154024</v>
      </c>
      <c r="P27" s="34">
        <f t="shared" si="7"/>
        <v>53270.659032032214</v>
      </c>
    </row>
    <row r="28" spans="1:16" x14ac:dyDescent="0.25">
      <c r="A28" s="103">
        <v>2030</v>
      </c>
      <c r="B28" s="134">
        <f>'Østlandet IR 2023-2030'!D30</f>
        <v>335642.77631011634</v>
      </c>
      <c r="C28" s="64">
        <f>'Østlandet IR 2023-2030'!G30</f>
        <v>600426.5527286242</v>
      </c>
      <c r="D28" s="135">
        <f>(B30-B28)+(C30-C28)</f>
        <v>96398.35390905611</v>
      </c>
      <c r="E28" s="134">
        <f>'Sørlandet IR 2023-2030'!D30</f>
        <v>593584.04691494</v>
      </c>
      <c r="F28" s="64">
        <f>'Sørlandet IR 2023-2030'!G30</f>
        <v>1076297.5804353412</v>
      </c>
      <c r="G28" s="135">
        <f t="shared" si="5"/>
        <v>307783.13364736666</v>
      </c>
      <c r="H28" s="134">
        <f>'Midt-Norge IR 2023-2030'!D30</f>
        <v>306917.56408692687</v>
      </c>
      <c r="I28" s="64">
        <f>'Midt-Norge IR 2023-2030'!G30</f>
        <v>579060.98481916275</v>
      </c>
      <c r="J28" s="135">
        <f t="shared" si="8"/>
        <v>170175.2379698063</v>
      </c>
      <c r="K28" s="134">
        <f>'Nord-Norge IR 2023-2030'!D30</f>
        <v>280243.17011072452</v>
      </c>
      <c r="L28" s="64">
        <f>'Nord-Norge IR 2023-2030'!G30</f>
        <v>545638.53460551531</v>
      </c>
      <c r="M28" s="135">
        <f t="shared" si="6"/>
        <v>99203.670781800058</v>
      </c>
      <c r="N28" s="64">
        <f>'Vestlandet IR 2023-2030'!D30</f>
        <v>129990.44257729209</v>
      </c>
      <c r="O28" s="64">
        <f>'Vestlandet IR 2023-2030'!G30</f>
        <v>217844.17831135634</v>
      </c>
      <c r="P28" s="64">
        <f t="shared" si="7"/>
        <v>52182.263991970918</v>
      </c>
    </row>
    <row r="29" spans="1:16" x14ac:dyDescent="0.25">
      <c r="A29" s="100">
        <v>2031</v>
      </c>
      <c r="B29" s="132">
        <f>'Østlandet IR 2023-2030'!D31</f>
        <v>352636.15569513571</v>
      </c>
      <c r="C29" s="34">
        <f>'Østlandet IR 2023-2030'!G31</f>
        <v>632147.24969349918</v>
      </c>
      <c r="D29" s="133"/>
      <c r="E29" s="132">
        <f>'Sørlandet IR 2023-2030'!D31</f>
        <v>646596.13806743</v>
      </c>
      <c r="F29" s="34">
        <f>'Sørlandet IR 2023-2030'!G31</f>
        <v>1178783.3224684549</v>
      </c>
      <c r="G29" s="133"/>
      <c r="H29" s="132">
        <f>'Midt-Norge IR 2023-2030'!D31</f>
        <v>335566.65810141468</v>
      </c>
      <c r="I29" s="34">
        <f>'Midt-Norge IR 2023-2030'!G31</f>
        <v>636367.57733821706</v>
      </c>
      <c r="J29" s="133"/>
      <c r="K29" s="132">
        <f>'Nord-Norge IR 2023-2030'!D31</f>
        <v>297592.94846251194</v>
      </c>
      <c r="L29" s="34">
        <f>'Nord-Norge IR 2023-2030'!G31</f>
        <v>578416.28992868704</v>
      </c>
      <c r="M29" s="133"/>
      <c r="N29" s="34">
        <f>'Vestlandet IR 2023-2030'!D31</f>
        <v>138970.59967350744</v>
      </c>
      <c r="O29" s="34">
        <f>'Vestlandet IR 2023-2030'!G31</f>
        <v>235227.25197114176</v>
      </c>
      <c r="P29" s="34"/>
    </row>
    <row r="30" spans="1:16" x14ac:dyDescent="0.25">
      <c r="A30" s="103">
        <v>2032</v>
      </c>
      <c r="B30" s="134">
        <f>'Østlandet IR 2023-2030'!D32</f>
        <v>369629.53508015512</v>
      </c>
      <c r="C30" s="64">
        <f>'Østlandet IR 2023-2030'!G32</f>
        <v>662838.14786764153</v>
      </c>
      <c r="D30" s="135"/>
      <c r="E30" s="134">
        <f>'Sørlandet IR 2023-2030'!D32</f>
        <v>699608.22921992</v>
      </c>
      <c r="F30" s="64">
        <f>'Sørlandet IR 2023-2030'!G32</f>
        <v>1278056.5317777279</v>
      </c>
      <c r="G30" s="135"/>
      <c r="H30" s="134">
        <f>'Midt-Norge IR 2023-2030'!D32</f>
        <v>364215.75211590249</v>
      </c>
      <c r="I30" s="64">
        <f>'Midt-Norge IR 2023-2030'!G32</f>
        <v>691938.03475999343</v>
      </c>
      <c r="J30" s="135"/>
      <c r="K30" s="134">
        <f>'Nord-Norge IR 2023-2030'!D32</f>
        <v>314942.72681429936</v>
      </c>
      <c r="L30" s="64">
        <f>'Nord-Norge IR 2023-2030'!G32</f>
        <v>610142.64868374052</v>
      </c>
      <c r="M30" s="135"/>
      <c r="N30" s="64">
        <f>'Vestlandet IR 2023-2030'!D32</f>
        <v>147950.75676972279</v>
      </c>
      <c r="O30" s="64">
        <f>'Vestlandet IR 2023-2030'!G32</f>
        <v>252066.12811089656</v>
      </c>
      <c r="P30" s="64"/>
    </row>
    <row r="32" spans="1:16" ht="15.75" thickBot="1" x14ac:dyDescent="0.3">
      <c r="A32" s="183" t="s">
        <v>48</v>
      </c>
      <c r="B32" s="183"/>
      <c r="C32" s="183"/>
      <c r="D32" s="183"/>
      <c r="E32" s="16"/>
    </row>
    <row r="33" spans="1:4" ht="15.75" thickBot="1" x14ac:dyDescent="0.3">
      <c r="A33" s="130" t="s">
        <v>71</v>
      </c>
      <c r="B33" s="28" t="s">
        <v>64</v>
      </c>
      <c r="C33" s="28" t="s">
        <v>70</v>
      </c>
      <c r="D33" s="28" t="s">
        <v>78</v>
      </c>
    </row>
    <row r="34" spans="1:4" x14ac:dyDescent="0.25">
      <c r="A34" s="100">
        <v>2023</v>
      </c>
      <c r="B34" s="34">
        <f>'IR T-nett 2024-2030'!D18</f>
        <v>3083000</v>
      </c>
      <c r="C34" s="34">
        <f>'IR T-nett 2024-2030'!G18</f>
        <v>6233707.0240963856</v>
      </c>
      <c r="D34" s="34">
        <f>(B36-B34)+(C36-C34)</f>
        <v>-134931.43836059421</v>
      </c>
    </row>
    <row r="35" spans="1:4" x14ac:dyDescent="0.25">
      <c r="A35" s="103">
        <v>2024</v>
      </c>
      <c r="B35" s="64">
        <f>'IR T-nett 2024-2030'!D19</f>
        <v>3425000</v>
      </c>
      <c r="C35" s="64">
        <f>'IR T-nett 2024-2030'!G19</f>
        <v>5841566.5136629604</v>
      </c>
      <c r="D35" s="64">
        <f>(B37-B35)+(C37-C35)</f>
        <v>-100700.4091988178</v>
      </c>
    </row>
    <row r="36" spans="1:4" x14ac:dyDescent="0.25">
      <c r="A36" s="100">
        <v>2025</v>
      </c>
      <c r="B36" s="34">
        <f>'IR T-nett 2024-2030'!D20</f>
        <v>3692000</v>
      </c>
      <c r="C36" s="34">
        <f>'IR T-nett 2024-2030'!G20</f>
        <v>5489775.5857357914</v>
      </c>
      <c r="D36" s="34">
        <f t="shared" ref="D36:D38" si="10">(B38-B36)+(C38-C36)</f>
        <v>909579.6835483918</v>
      </c>
    </row>
    <row r="37" spans="1:4" x14ac:dyDescent="0.25">
      <c r="A37" s="103">
        <v>2026</v>
      </c>
      <c r="B37" s="64">
        <f>'IR T-nett 2024-2030'!D21</f>
        <v>3973000</v>
      </c>
      <c r="C37" s="64">
        <f>'IR T-nett 2024-2030'!G21</f>
        <v>5192866.1044641426</v>
      </c>
      <c r="D37" s="64">
        <f t="shared" si="10"/>
        <v>2420007.5032405537</v>
      </c>
    </row>
    <row r="38" spans="1:4" x14ac:dyDescent="0.25">
      <c r="A38" s="100">
        <v>2027</v>
      </c>
      <c r="B38" s="34">
        <f>'IR T-nett 2024-2030'!D22</f>
        <v>4305000</v>
      </c>
      <c r="C38" s="34">
        <f>'IR T-nett 2024-2030'!G22</f>
        <v>5786355.2692841832</v>
      </c>
      <c r="D38" s="34">
        <f t="shared" si="10"/>
        <v>3015870.5752904722</v>
      </c>
    </row>
    <row r="39" spans="1:4" x14ac:dyDescent="0.25">
      <c r="A39" s="103">
        <v>2028</v>
      </c>
      <c r="B39" s="64">
        <f>'IR T-nett 2024-2030'!D23</f>
        <v>4771000</v>
      </c>
      <c r="C39" s="64">
        <f>'IR T-nett 2024-2030'!G23</f>
        <v>6814873.6077046962</v>
      </c>
      <c r="D39" s="64">
        <f>(B41-B39)+(C41-C39)</f>
        <v>3143402.6393918479</v>
      </c>
    </row>
    <row r="40" spans="1:4" x14ac:dyDescent="0.25">
      <c r="A40" s="100">
        <v>2029</v>
      </c>
      <c r="B40" s="34">
        <f>'IR T-nett 2024-2030'!D24</f>
        <v>5145000</v>
      </c>
      <c r="C40" s="34">
        <f>'IR T-nett 2024-2030'!G24</f>
        <v>7962225.8445746554</v>
      </c>
      <c r="D40" s="34">
        <f t="shared" ref="D40" si="11">(B42-B40)+(C42-C40)</f>
        <v>2277618.4025218887</v>
      </c>
    </row>
    <row r="41" spans="1:4" x14ac:dyDescent="0.25">
      <c r="A41" s="103">
        <v>2030</v>
      </c>
      <c r="B41" s="64">
        <f>'IR T-nett 2024-2030'!D25</f>
        <v>5645000</v>
      </c>
      <c r="C41" s="64">
        <f>'IR T-nett 2024-2030'!G25</f>
        <v>9084276.2470965441</v>
      </c>
      <c r="D41" s="64">
        <f>(B43-B41)+(C43-C41)</f>
        <v>203032</v>
      </c>
    </row>
    <row r="42" spans="1:4" x14ac:dyDescent="0.25">
      <c r="A42" s="100">
        <v>2031</v>
      </c>
      <c r="B42" s="34">
        <f>'IR T-nett 2024-2030'!D26</f>
        <v>5920000</v>
      </c>
      <c r="C42" s="34">
        <f>'IR T-nett 2024-2030'!G26</f>
        <v>9464844.2470965441</v>
      </c>
      <c r="D42" s="34"/>
    </row>
    <row r="43" spans="1:4" x14ac:dyDescent="0.25">
      <c r="A43" s="103">
        <v>2032</v>
      </c>
      <c r="B43" s="64">
        <f>'IR T-nett 2024-2030'!D27</f>
        <v>5865000</v>
      </c>
      <c r="C43" s="64">
        <f>'IR T-nett 2024-2030'!G27</f>
        <v>9067308.2470965441</v>
      </c>
      <c r="D43" s="64"/>
    </row>
  </sheetData>
  <mergeCells count="14">
    <mergeCell ref="A2:D2"/>
    <mergeCell ref="A32:D32"/>
    <mergeCell ref="B5:D5"/>
    <mergeCell ref="E5:G5"/>
    <mergeCell ref="A4:P4"/>
    <mergeCell ref="H5:J5"/>
    <mergeCell ref="K5:M5"/>
    <mergeCell ref="N5:P5"/>
    <mergeCell ref="B19:D19"/>
    <mergeCell ref="E19:G19"/>
    <mergeCell ref="H19:J19"/>
    <mergeCell ref="K19:M19"/>
    <mergeCell ref="N19:P19"/>
    <mergeCell ref="A18:P18"/>
  </mergeCells>
  <phoneticPr fontId="10" type="noConversion"/>
  <hyperlinks>
    <hyperlink ref="A1" location="Introduksjon!A1" display="Tilbake til introduksjon" xr:uid="{DEA8E942-C4E5-4AFC-9CC2-F95C768D394B}"/>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workbookViewId="0">
      <selection activeCell="Q27" sqref="Q27"/>
    </sheetView>
  </sheetViews>
  <sheetFormatPr baseColWidth="10" defaultColWidth="11.42578125" defaultRowHeight="15" x14ac:dyDescent="0.25"/>
  <cols>
    <col min="1" max="1" width="21.85546875" style="9" bestFit="1" customWidth="1"/>
    <col min="2" max="4" width="13.28515625" style="9" customWidth="1"/>
    <col min="5" max="6" width="12.28515625" style="9" customWidth="1"/>
    <col min="7" max="7" width="12" style="9" bestFit="1" customWidth="1"/>
    <col min="8" max="8" width="11.42578125" style="9"/>
    <col min="9" max="9" width="21.85546875" style="9" bestFit="1" customWidth="1"/>
    <col min="10" max="10" width="11.42578125" style="9" customWidth="1"/>
    <col min="11" max="14" width="11.42578125" style="9"/>
    <col min="15" max="15" width="11.28515625" style="9" customWidth="1"/>
    <col min="16" max="16384" width="11.42578125" style="9"/>
  </cols>
  <sheetData>
    <row r="1" spans="1:15" x14ac:dyDescent="0.25">
      <c r="A1" s="45" t="s">
        <v>170</v>
      </c>
    </row>
    <row r="2" spans="1:15" ht="18.75" x14ac:dyDescent="0.3">
      <c r="A2" s="175" t="s">
        <v>139</v>
      </c>
      <c r="B2" s="176"/>
      <c r="C2" s="176"/>
      <c r="D2" s="177"/>
    </row>
    <row r="5" spans="1:15" x14ac:dyDescent="0.25">
      <c r="A5" s="183" t="s">
        <v>10</v>
      </c>
      <c r="B5" s="183"/>
      <c r="C5" s="183"/>
      <c r="D5" s="183"/>
      <c r="E5" s="183"/>
      <c r="F5" s="183"/>
      <c r="G5" s="183"/>
      <c r="I5" s="183" t="s">
        <v>12</v>
      </c>
      <c r="J5" s="183"/>
      <c r="K5" s="183"/>
      <c r="L5" s="183"/>
      <c r="M5" s="183"/>
      <c r="N5" s="183"/>
      <c r="O5" s="183"/>
    </row>
    <row r="6" spans="1:15" ht="15.75" thickBot="1" x14ac:dyDescent="0.3">
      <c r="A6" s="99"/>
      <c r="B6" s="179" t="s">
        <v>139</v>
      </c>
      <c r="C6" s="179"/>
      <c r="D6" s="179"/>
      <c r="E6" s="179"/>
      <c r="F6" s="179"/>
      <c r="I6" s="99"/>
      <c r="J6" s="179" t="s">
        <v>140</v>
      </c>
      <c r="K6" s="179"/>
      <c r="L6" s="179"/>
      <c r="M6" s="179"/>
      <c r="N6" s="179"/>
    </row>
    <row r="7" spans="1:15" ht="15.75" thickBot="1" x14ac:dyDescent="0.3">
      <c r="A7" s="130"/>
      <c r="B7" s="93" t="s">
        <v>4</v>
      </c>
      <c r="C7" s="93" t="s">
        <v>5</v>
      </c>
      <c r="D7" s="93" t="s">
        <v>6</v>
      </c>
      <c r="E7" s="93" t="s">
        <v>7</v>
      </c>
      <c r="F7" s="93" t="s">
        <v>8</v>
      </c>
      <c r="I7" s="130"/>
      <c r="J7" s="93" t="s">
        <v>4</v>
      </c>
      <c r="K7" s="93" t="s">
        <v>5</v>
      </c>
      <c r="L7" s="93" t="s">
        <v>6</v>
      </c>
      <c r="M7" s="93" t="s">
        <v>7</v>
      </c>
      <c r="N7" s="93" t="s">
        <v>8</v>
      </c>
    </row>
    <row r="8" spans="1:15" x14ac:dyDescent="0.25">
      <c r="A8" s="54">
        <v>2022</v>
      </c>
      <c r="B8" s="34">
        <v>32550</v>
      </c>
      <c r="C8" s="34">
        <v>41924</v>
      </c>
      <c r="D8" s="34">
        <v>23430</v>
      </c>
      <c r="E8" s="34">
        <v>10510</v>
      </c>
      <c r="F8" s="34">
        <v>8102</v>
      </c>
      <c r="I8" s="54">
        <v>2022</v>
      </c>
      <c r="J8" s="34">
        <v>16271</v>
      </c>
      <c r="K8" s="34">
        <v>24720</v>
      </c>
      <c r="L8" s="34">
        <v>4218</v>
      </c>
      <c r="M8" s="34">
        <v>152</v>
      </c>
      <c r="N8" s="34">
        <v>2300</v>
      </c>
    </row>
    <row r="10" spans="1:15" ht="15.75" thickBot="1" x14ac:dyDescent="0.3">
      <c r="A10" s="99"/>
      <c r="B10" s="179" t="s">
        <v>141</v>
      </c>
      <c r="C10" s="179"/>
      <c r="D10" s="179"/>
      <c r="E10" s="179"/>
      <c r="F10" s="179"/>
      <c r="G10" s="179"/>
      <c r="I10" s="99"/>
      <c r="J10" s="179" t="s">
        <v>141</v>
      </c>
      <c r="K10" s="179"/>
      <c r="L10" s="179"/>
      <c r="M10" s="179"/>
      <c r="N10" s="179"/>
      <c r="O10" s="179"/>
    </row>
    <row r="11" spans="1:15" ht="15.75" thickBot="1" x14ac:dyDescent="0.3">
      <c r="A11" s="130"/>
      <c r="B11" s="93" t="s">
        <v>4</v>
      </c>
      <c r="C11" s="93" t="s">
        <v>5</v>
      </c>
      <c r="D11" s="93" t="s">
        <v>6</v>
      </c>
      <c r="E11" s="93" t="s">
        <v>7</v>
      </c>
      <c r="F11" s="93" t="s">
        <v>8</v>
      </c>
      <c r="G11" s="93" t="s">
        <v>61</v>
      </c>
      <c r="I11" s="130"/>
      <c r="J11" s="93" t="s">
        <v>4</v>
      </c>
      <c r="K11" s="93" t="s">
        <v>5</v>
      </c>
      <c r="L11" s="93" t="s">
        <v>6</v>
      </c>
      <c r="M11" s="93" t="s">
        <v>7</v>
      </c>
      <c r="N11" s="93" t="s">
        <v>8</v>
      </c>
      <c r="O11" s="93" t="s">
        <v>61</v>
      </c>
    </row>
    <row r="12" spans="1:15" x14ac:dyDescent="0.25">
      <c r="A12" s="54">
        <v>2023</v>
      </c>
      <c r="B12" s="11">
        <f>B8*(1+B28)</f>
        <v>31313.205539806902</v>
      </c>
      <c r="C12" s="11">
        <f>C8*(1+C28)</f>
        <v>39916.196250672634</v>
      </c>
      <c r="D12" s="11">
        <f>D8*(1+D28)</f>
        <v>22280.768255660831</v>
      </c>
      <c r="E12" s="11">
        <f>E8*(1+E28)</f>
        <v>10186.362352070224</v>
      </c>
      <c r="F12" s="11">
        <f>F8*(1+F28)</f>
        <v>7568.0643461174313</v>
      </c>
      <c r="G12" s="11">
        <f t="shared" ref="G12:G19" si="0">SUM(B12:F12)</f>
        <v>111264.59674432802</v>
      </c>
      <c r="I12" s="54">
        <v>2023</v>
      </c>
      <c r="J12" s="11">
        <f>J8*(1+J28)</f>
        <v>15539.149982058723</v>
      </c>
      <c r="K12" s="11">
        <f>K8*(1+K28)</f>
        <v>23036.704620686669</v>
      </c>
      <c r="L12" s="11">
        <f>L8*(1+L28)</f>
        <v>4025.5274871923775</v>
      </c>
      <c r="M12" s="11">
        <f>M8*(1+M28)</f>
        <v>143.87182458766651</v>
      </c>
      <c r="N12" s="11">
        <f>N8*(1+N28)</f>
        <v>2204.0554939042431</v>
      </c>
      <c r="O12" s="11">
        <f>SUM(J12:N12)</f>
        <v>44949.309408429675</v>
      </c>
    </row>
    <row r="13" spans="1:15" x14ac:dyDescent="0.25">
      <c r="A13" s="55">
        <v>2024</v>
      </c>
      <c r="B13" s="91">
        <f t="shared" ref="B13:F19" si="1">B12*(1+B29)</f>
        <v>32875.5</v>
      </c>
      <c r="C13" s="91">
        <f t="shared" si="1"/>
        <v>42343.239999999991</v>
      </c>
      <c r="D13" s="91">
        <f t="shared" si="1"/>
        <v>23664.300000000003</v>
      </c>
      <c r="E13" s="91">
        <f t="shared" si="1"/>
        <v>10615.100000000002</v>
      </c>
      <c r="F13" s="91">
        <f t="shared" si="1"/>
        <v>8183.02</v>
      </c>
      <c r="G13" s="91">
        <f t="shared" si="0"/>
        <v>117681.16</v>
      </c>
      <c r="I13" s="55">
        <v>2024</v>
      </c>
      <c r="J13" s="91">
        <f t="shared" ref="J13:N19" si="2">J12*(1+J29)</f>
        <v>16433.71</v>
      </c>
      <c r="K13" s="91">
        <f t="shared" si="2"/>
        <v>24967.199999999997</v>
      </c>
      <c r="L13" s="91">
        <f t="shared" si="2"/>
        <v>4260.1799999999994</v>
      </c>
      <c r="M13" s="91">
        <f t="shared" si="2"/>
        <v>153.52000000000004</v>
      </c>
      <c r="N13" s="91">
        <f t="shared" si="2"/>
        <v>2323</v>
      </c>
      <c r="O13" s="91">
        <f t="shared" ref="O13:O19" si="3">SUM(J13:N13)</f>
        <v>48137.609999999993</v>
      </c>
    </row>
    <row r="14" spans="1:15" x14ac:dyDescent="0.25">
      <c r="A14" s="54">
        <v>2025</v>
      </c>
      <c r="B14" s="11">
        <f t="shared" si="1"/>
        <v>34438.119523871057</v>
      </c>
      <c r="C14" s="11">
        <f t="shared" si="1"/>
        <v>44221.346784099849</v>
      </c>
      <c r="D14" s="11">
        <f t="shared" si="1"/>
        <v>24840.079891026187</v>
      </c>
      <c r="E14" s="11">
        <f t="shared" si="1"/>
        <v>11762.015875233892</v>
      </c>
      <c r="F14" s="11">
        <f t="shared" si="1"/>
        <v>8504.9259214526301</v>
      </c>
      <c r="G14" s="11">
        <f t="shared" si="0"/>
        <v>123766.48799568361</v>
      </c>
      <c r="I14" s="54">
        <v>2025</v>
      </c>
      <c r="J14" s="11">
        <f t="shared" si="2"/>
        <v>16204.437606689937</v>
      </c>
      <c r="K14" s="11">
        <f t="shared" si="2"/>
        <v>27337.792135723867</v>
      </c>
      <c r="L14" s="11">
        <f t="shared" si="2"/>
        <v>4487.1264798984867</v>
      </c>
      <c r="M14" s="11">
        <f t="shared" si="2"/>
        <v>159.16548570585761</v>
      </c>
      <c r="N14" s="11">
        <f t="shared" si="2"/>
        <v>2244.4356485008179</v>
      </c>
      <c r="O14" s="11">
        <f t="shared" si="3"/>
        <v>50432.957356518964</v>
      </c>
    </row>
    <row r="15" spans="1:15" x14ac:dyDescent="0.25">
      <c r="A15" s="55">
        <v>2026</v>
      </c>
      <c r="B15" s="91">
        <f t="shared" si="1"/>
        <v>36032.456218364045</v>
      </c>
      <c r="C15" s="91">
        <f t="shared" si="1"/>
        <v>45712.481697447642</v>
      </c>
      <c r="D15" s="91">
        <f t="shared" si="1"/>
        <v>25764.228748605768</v>
      </c>
      <c r="E15" s="91">
        <f t="shared" si="1"/>
        <v>12636.770772697408</v>
      </c>
      <c r="F15" s="91">
        <f t="shared" si="1"/>
        <v>8777.6926886982201</v>
      </c>
      <c r="G15" s="91">
        <f t="shared" si="0"/>
        <v>128923.63012581308</v>
      </c>
      <c r="I15" s="55">
        <v>2026</v>
      </c>
      <c r="J15" s="91">
        <f t="shared" si="2"/>
        <v>17303.920465004052</v>
      </c>
      <c r="K15" s="91">
        <f t="shared" si="2"/>
        <v>32792.811714804302</v>
      </c>
      <c r="L15" s="91">
        <f t="shared" si="2"/>
        <v>4942.8941430686918</v>
      </c>
      <c r="M15" s="91">
        <f t="shared" si="2"/>
        <v>181.56251649866545</v>
      </c>
      <c r="N15" s="91">
        <f t="shared" si="2"/>
        <v>2335.1321717559945</v>
      </c>
      <c r="O15" s="91">
        <f t="shared" si="3"/>
        <v>57556.321011131702</v>
      </c>
    </row>
    <row r="16" spans="1:15" x14ac:dyDescent="0.25">
      <c r="A16" s="54">
        <v>2027</v>
      </c>
      <c r="B16" s="11">
        <f t="shared" si="1"/>
        <v>37539.82500942859</v>
      </c>
      <c r="C16" s="11">
        <f t="shared" si="1"/>
        <v>47040.202777980361</v>
      </c>
      <c r="D16" s="11">
        <f t="shared" si="1"/>
        <v>26617.894034079342</v>
      </c>
      <c r="E16" s="11">
        <f t="shared" si="1"/>
        <v>13383.991091008456</v>
      </c>
      <c r="F16" s="11">
        <f t="shared" si="1"/>
        <v>9040.1616427903591</v>
      </c>
      <c r="G16" s="11">
        <f t="shared" si="0"/>
        <v>133622.07455528711</v>
      </c>
      <c r="I16" s="54">
        <v>2027</v>
      </c>
      <c r="J16" s="11">
        <f t="shared" si="2"/>
        <v>18449.829829340746</v>
      </c>
      <c r="K16" s="11">
        <f t="shared" si="2"/>
        <v>37591.421948392323</v>
      </c>
      <c r="L16" s="11">
        <f t="shared" si="2"/>
        <v>5517.1708753102303</v>
      </c>
      <c r="M16" s="11">
        <f t="shared" si="2"/>
        <v>206.05606730999162</v>
      </c>
      <c r="N16" s="11">
        <f t="shared" si="2"/>
        <v>2505.9536217119767</v>
      </c>
      <c r="O16" s="11">
        <f t="shared" si="3"/>
        <v>64270.432342065258</v>
      </c>
    </row>
    <row r="17" spans="1:15" x14ac:dyDescent="0.25">
      <c r="A17" s="55">
        <v>2028</v>
      </c>
      <c r="B17" s="91">
        <f t="shared" si="1"/>
        <v>38847.252515890228</v>
      </c>
      <c r="C17" s="91">
        <f t="shared" si="1"/>
        <v>48351.426560470645</v>
      </c>
      <c r="D17" s="91">
        <f t="shared" si="1"/>
        <v>27458.456587986551</v>
      </c>
      <c r="E17" s="91">
        <f t="shared" si="1"/>
        <v>14109.222084494762</v>
      </c>
      <c r="F17" s="91">
        <f t="shared" si="1"/>
        <v>9259.2917371173717</v>
      </c>
      <c r="G17" s="91">
        <f t="shared" si="0"/>
        <v>138025.64948595956</v>
      </c>
      <c r="I17" s="55">
        <v>2028</v>
      </c>
      <c r="J17" s="91">
        <f t="shared" si="2"/>
        <v>19736.663609969946</v>
      </c>
      <c r="K17" s="91">
        <f t="shared" si="2"/>
        <v>43214.516547908439</v>
      </c>
      <c r="L17" s="91">
        <f t="shared" si="2"/>
        <v>6386.5550827855477</v>
      </c>
      <c r="M17" s="91">
        <f t="shared" si="2"/>
        <v>222.84529069010244</v>
      </c>
      <c r="N17" s="91">
        <f t="shared" si="2"/>
        <v>2799.3258094832358</v>
      </c>
      <c r="O17" s="91">
        <f t="shared" si="3"/>
        <v>72359.906340837275</v>
      </c>
    </row>
    <row r="18" spans="1:15" x14ac:dyDescent="0.25">
      <c r="A18" s="54">
        <v>2029</v>
      </c>
      <c r="B18" s="11">
        <f t="shared" si="1"/>
        <v>40176.606659923229</v>
      </c>
      <c r="C18" s="11">
        <f t="shared" si="1"/>
        <v>49699.767485216071</v>
      </c>
      <c r="D18" s="11">
        <f t="shared" si="1"/>
        <v>28322.61046333296</v>
      </c>
      <c r="E18" s="11">
        <f t="shared" si="1"/>
        <v>14804.481797653618</v>
      </c>
      <c r="F18" s="11">
        <f t="shared" si="1"/>
        <v>9465.1124281358552</v>
      </c>
      <c r="G18" s="11">
        <f t="shared" si="0"/>
        <v>142468.57883426175</v>
      </c>
      <c r="I18" s="54">
        <v>2029</v>
      </c>
      <c r="J18" s="11">
        <f t="shared" si="2"/>
        <v>20985.428550670069</v>
      </c>
      <c r="K18" s="11">
        <f t="shared" si="2"/>
        <v>48676.499505751832</v>
      </c>
      <c r="L18" s="11">
        <f t="shared" si="2"/>
        <v>7231.7951890296199</v>
      </c>
      <c r="M18" s="11">
        <f t="shared" si="2"/>
        <v>239.14324837809176</v>
      </c>
      <c r="N18" s="11">
        <f t="shared" si="2"/>
        <v>3084.3021611483591</v>
      </c>
      <c r="O18" s="11">
        <f t="shared" si="3"/>
        <v>80217.16865497797</v>
      </c>
    </row>
    <row r="19" spans="1:15" x14ac:dyDescent="0.25">
      <c r="A19" s="55">
        <v>2030</v>
      </c>
      <c r="B19" s="91">
        <f t="shared" si="1"/>
        <v>41465.899573806353</v>
      </c>
      <c r="C19" s="91">
        <f t="shared" si="1"/>
        <v>50959.544019164474</v>
      </c>
      <c r="D19" s="91">
        <f t="shared" si="1"/>
        <v>29163.431361308063</v>
      </c>
      <c r="E19" s="91">
        <f t="shared" si="1"/>
        <v>15386.988988499528</v>
      </c>
      <c r="F19" s="91">
        <f t="shared" si="1"/>
        <v>9661.3959332067388</v>
      </c>
      <c r="G19" s="91">
        <f t="shared" si="0"/>
        <v>146637.25987598515</v>
      </c>
      <c r="I19" s="55">
        <v>2030</v>
      </c>
      <c r="J19" s="91">
        <f t="shared" si="2"/>
        <v>22196.124651441114</v>
      </c>
      <c r="K19" s="91">
        <f t="shared" si="2"/>
        <v>53977.370821922501</v>
      </c>
      <c r="L19" s="91">
        <f t="shared" si="2"/>
        <v>8052.8911940424487</v>
      </c>
      <c r="M19" s="91">
        <f t="shared" si="2"/>
        <v>254.94994037395952</v>
      </c>
      <c r="N19" s="91">
        <f t="shared" si="2"/>
        <v>3360.8826767073456</v>
      </c>
      <c r="O19" s="91">
        <f t="shared" si="3"/>
        <v>87842.219284487364</v>
      </c>
    </row>
    <row r="21" spans="1:15" x14ac:dyDescent="0.25">
      <c r="A21" s="183" t="s">
        <v>10</v>
      </c>
      <c r="B21" s="183"/>
      <c r="C21" s="183"/>
      <c r="D21" s="183"/>
      <c r="E21" s="183"/>
      <c r="F21" s="183"/>
      <c r="G21" s="16"/>
      <c r="I21" s="183" t="s">
        <v>12</v>
      </c>
      <c r="J21" s="183"/>
      <c r="K21" s="183"/>
      <c r="L21" s="183"/>
      <c r="M21" s="183"/>
      <c r="N21" s="183"/>
    </row>
    <row r="22" spans="1:15" ht="15.75" thickBot="1" x14ac:dyDescent="0.3">
      <c r="A22" s="99"/>
      <c r="B22" s="179" t="s">
        <v>138</v>
      </c>
      <c r="C22" s="179"/>
      <c r="D22" s="179"/>
      <c r="E22" s="179"/>
      <c r="F22" s="179"/>
      <c r="I22" s="99"/>
      <c r="J22" s="179" t="s">
        <v>138</v>
      </c>
      <c r="K22" s="179"/>
      <c r="L22" s="179"/>
      <c r="M22" s="179"/>
      <c r="N22" s="179"/>
    </row>
    <row r="23" spans="1:15" ht="15.75" thickBot="1" x14ac:dyDescent="0.3">
      <c r="A23" s="130"/>
      <c r="B23" s="93" t="s">
        <v>4</v>
      </c>
      <c r="C23" s="93" t="s">
        <v>5</v>
      </c>
      <c r="D23" s="93" t="s">
        <v>6</v>
      </c>
      <c r="E23" s="93" t="s">
        <v>7</v>
      </c>
      <c r="F23" s="93" t="s">
        <v>8</v>
      </c>
      <c r="I23" s="130"/>
      <c r="J23" s="93" t="s">
        <v>4</v>
      </c>
      <c r="K23" s="93" t="s">
        <v>5</v>
      </c>
      <c r="L23" s="93" t="s">
        <v>6</v>
      </c>
      <c r="M23" s="93" t="s">
        <v>7</v>
      </c>
      <c r="N23" s="93" t="s">
        <v>8</v>
      </c>
    </row>
    <row r="24" spans="1:15" x14ac:dyDescent="0.25">
      <c r="A24" s="54">
        <v>2022</v>
      </c>
      <c r="B24" s="34">
        <v>17672764</v>
      </c>
      <c r="C24" s="34">
        <v>17462983</v>
      </c>
      <c r="D24" s="34">
        <v>11039814</v>
      </c>
      <c r="E24" s="34">
        <v>9347425</v>
      </c>
      <c r="F24" s="34">
        <v>6892782</v>
      </c>
      <c r="I24" s="54">
        <v>2022</v>
      </c>
      <c r="J24" s="34">
        <v>7263139</v>
      </c>
      <c r="K24" s="34">
        <v>8133856</v>
      </c>
      <c r="L24" s="34">
        <v>5005027</v>
      </c>
      <c r="M24" s="34">
        <v>5368106</v>
      </c>
      <c r="N24" s="34">
        <v>2460072</v>
      </c>
    </row>
    <row r="26" spans="1:15" ht="15.75" thickBot="1" x14ac:dyDescent="0.3">
      <c r="A26" s="99"/>
      <c r="B26" s="179" t="s">
        <v>142</v>
      </c>
      <c r="C26" s="179"/>
      <c r="D26" s="179"/>
      <c r="E26" s="179"/>
      <c r="F26" s="179"/>
      <c r="I26" s="99"/>
      <c r="J26" s="179" t="s">
        <v>142</v>
      </c>
      <c r="K26" s="179"/>
      <c r="L26" s="179"/>
      <c r="M26" s="179"/>
      <c r="N26" s="179"/>
    </row>
    <row r="27" spans="1:15" ht="15.75" thickBot="1" x14ac:dyDescent="0.3">
      <c r="A27" s="130"/>
      <c r="B27" s="93" t="s">
        <v>4</v>
      </c>
      <c r="C27" s="93" t="s">
        <v>5</v>
      </c>
      <c r="D27" s="93" t="s">
        <v>6</v>
      </c>
      <c r="E27" s="93" t="s">
        <v>7</v>
      </c>
      <c r="F27" s="93" t="s">
        <v>8</v>
      </c>
      <c r="I27" s="130"/>
      <c r="J27" s="93" t="s">
        <v>4</v>
      </c>
      <c r="K27" s="93" t="s">
        <v>5</v>
      </c>
      <c r="L27" s="93" t="s">
        <v>6</v>
      </c>
      <c r="M27" s="93" t="s">
        <v>7</v>
      </c>
      <c r="N27" s="93" t="s">
        <v>8</v>
      </c>
    </row>
    <row r="28" spans="1:15" x14ac:dyDescent="0.25">
      <c r="A28" s="54">
        <v>2023</v>
      </c>
      <c r="B28" s="124">
        <f>('IR 2023-2024'!B7-B24)/B24</f>
        <v>-3.7996757609618986E-2</v>
      </c>
      <c r="C28" s="124">
        <f>('IR 2023-2024'!B13-C24)/C24</f>
        <v>-4.7891512005709458E-2</v>
      </c>
      <c r="D28" s="124">
        <f>('IR 2023-2024'!B19-D24)/D24</f>
        <v>-4.9049583625231305E-2</v>
      </c>
      <c r="E28" s="124">
        <f>('IR 2023-2024'!B25-E24)/E24</f>
        <v>-3.0793306177904524E-2</v>
      </c>
      <c r="F28" s="124">
        <f>('IR 2023-2024'!B31-F24)/F24</f>
        <v>-6.5901709933666855E-2</v>
      </c>
      <c r="I28" s="54">
        <v>2023</v>
      </c>
      <c r="J28" s="124">
        <f>('IR 2023-2024'!C7-J24)/J24</f>
        <v>-4.4978797734698421E-2</v>
      </c>
      <c r="K28" s="124">
        <f>('IR 2023-2024'!C13-K24)/K24</f>
        <v>-6.8094473273193012E-2</v>
      </c>
      <c r="L28" s="124">
        <f>('IR 2023-2024'!C19-L24)/L24</f>
        <v>-4.5631226365012524E-2</v>
      </c>
      <c r="M28" s="124">
        <f>('IR 2023-2024'!C25-M24)/M24</f>
        <v>-5.3474838239036197E-2</v>
      </c>
      <c r="N28" s="124">
        <f>('IR 2023-2024'!C31-N24)/N24</f>
        <v>-4.1715002650328993E-2</v>
      </c>
    </row>
    <row r="29" spans="1:15" x14ac:dyDescent="0.25">
      <c r="A29" s="55">
        <v>2024</v>
      </c>
      <c r="B29" s="136">
        <f>('Østlandet IR 2023-2030'!C9-'Østlandet IR 2023-2030'!C8)/'Østlandet IR 2023-2030'!C8</f>
        <v>4.9892511266757172E-2</v>
      </c>
      <c r="C29" s="136">
        <f>('Sørlandet IR 2023-2030'!C9-'Sørlandet IR 2023-2030'!C8)/'Sørlandet IR 2023-2030'!C8</f>
        <v>6.0803482728804863E-2</v>
      </c>
      <c r="D29" s="136">
        <f>('Midt-Norge IR 2023-2030'!C9-'Midt-Norge IR 2023-2030'!C8)/'Midt-Norge IR 2023-2030'!C8</f>
        <v>6.2095333897997866E-2</v>
      </c>
      <c r="E29" s="136">
        <f>('Nord-Norge IR 2023-2030'!C9-'Nord-Norge IR 2023-2030'!C8)/'Nord-Norge IR 2023-2030'!C8</f>
        <v>4.2089377258668022E-2</v>
      </c>
      <c r="F29" s="136">
        <f>('Vestlandet IR 2023-2030'!C9-'Vestlandet IR 2023-2030'!C8)/'Vestlandet IR 2023-2030'!C8</f>
        <v>8.1256662966674414E-2</v>
      </c>
      <c r="I29" s="55">
        <v>2024</v>
      </c>
      <c r="J29" s="136">
        <f>('Østlandet IR 2023-2030'!C24-'Østlandet IR 2023-2030'!C23)/'Østlandet IR 2023-2030'!C23</f>
        <v>5.7568143622664263E-2</v>
      </c>
      <c r="K29" s="136">
        <f>('Sørlandet IR 2023-2030'!C24-'Sørlandet IR 2023-2030'!C23)/'Sørlandet IR 2023-2030'!C23</f>
        <v>8.3800847868656075E-2</v>
      </c>
      <c r="L29" s="136">
        <f>('Midt-Norge IR 2023-2030'!C24-'Midt-Norge IR 2023-2030'!C23)/'Midt-Norge IR 2023-2030'!C23</f>
        <v>5.8291121736019233E-2</v>
      </c>
      <c r="M29" s="136">
        <f>('Nord-Norge IR 2023-2030'!C24-'Nord-Norge IR 2023-2030'!C23)/'Nord-Norge IR 2023-2030'!C23</f>
        <v>6.7060909528220705E-2</v>
      </c>
      <c r="N29" s="136">
        <f>('Vestlandet IR 2023-2030'!C24-'Vestlandet IR 2023-2030'!C23)/'Vestlandet IR 2023-2030'!C23</f>
        <v>5.3966202949391119E-2</v>
      </c>
    </row>
    <row r="30" spans="1:15" x14ac:dyDescent="0.25">
      <c r="A30" s="54">
        <v>2025</v>
      </c>
      <c r="B30" s="124">
        <f>('Østlandet IR 2023-2030'!C10-'Østlandet IR 2023-2030'!C9)/'Østlandet IR 2023-2030'!C9</f>
        <v>4.7531429905889044E-2</v>
      </c>
      <c r="C30" s="124">
        <f>('Sørlandet IR 2023-2030'!C10-'Sørlandet IR 2023-2030'!C9)/'Sørlandet IR 2023-2030'!C9</f>
        <v>4.4354347567636725E-2</v>
      </c>
      <c r="D30" s="124">
        <f>('Midt-Norge IR 2023-2030'!C10-'Midt-Norge IR 2023-2030'!C9)/'Midt-Norge IR 2023-2030'!C9</f>
        <v>4.968580904679968E-2</v>
      </c>
      <c r="E30" s="124">
        <f>('Nord-Norge IR 2023-2030'!C10-'Nord-Norge IR 2023-2030'!C9)/'Nord-Norge IR 2023-2030'!C9</f>
        <v>0.10804569671824939</v>
      </c>
      <c r="F30" s="124">
        <f>('Vestlandet IR 2023-2030'!C10-'Vestlandet IR 2023-2030'!C9)/'Vestlandet IR 2023-2030'!C9</f>
        <v>3.9338278710381987E-2</v>
      </c>
      <c r="I30" s="54">
        <v>2025</v>
      </c>
      <c r="J30" s="124">
        <f>('Østlandet IR 2023-2030'!C25-'Østlandet IR 2023-2030'!C24)/'Østlandet IR 2023-2030'!C24</f>
        <v>-1.3951347158375231E-2</v>
      </c>
      <c r="K30" s="124">
        <f>('Sørlandet IR 2023-2030'!C25-'Sørlandet IR 2023-2030'!C24)/'Sørlandet IR 2023-2030'!C24</f>
        <v>9.4948257542851175E-2</v>
      </c>
      <c r="L30" s="124">
        <f>('Midt-Norge IR 2023-2030'!C25-'Midt-Norge IR 2023-2030'!C24)/'Midt-Norge IR 2023-2030'!C24</f>
        <v>5.3271570660978616E-2</v>
      </c>
      <c r="M30" s="124">
        <f>('Nord-Norge IR 2023-2030'!C25-'Nord-Norge IR 2023-2030'!C24)/'Nord-Norge IR 2023-2030'!C24</f>
        <v>3.677361715644592E-2</v>
      </c>
      <c r="N30" s="124">
        <f>('Vestlandet IR 2023-2030'!C25-'Vestlandet IR 2023-2030'!C24)/'Vestlandet IR 2023-2030'!C24</f>
        <v>-3.3820211579501512E-2</v>
      </c>
    </row>
    <row r="31" spans="1:15" x14ac:dyDescent="0.25">
      <c r="A31" s="55">
        <v>2026</v>
      </c>
      <c r="B31" s="136">
        <f>('Østlandet IR 2023-2030'!C11-'Østlandet IR 2023-2030'!C10)/'Østlandet IR 2023-2030'!C10</f>
        <v>4.6295695483252616E-2</v>
      </c>
      <c r="C31" s="136">
        <f>('Sørlandet IR 2023-2030'!C11-'Sørlandet IR 2023-2030'!C10)/'Sørlandet IR 2023-2030'!C10</f>
        <v>3.3719798734939133E-2</v>
      </c>
      <c r="D31" s="136">
        <f>('Midt-Norge IR 2023-2030'!C11-'Midt-Norge IR 2023-2030'!C10)/'Midt-Norge IR 2023-2030'!C10</f>
        <v>3.7203940632793225E-2</v>
      </c>
      <c r="E31" s="136">
        <f>('Nord-Norge IR 2023-2030'!C11-'Nord-Norge IR 2023-2030'!C10)/'Nord-Norge IR 2023-2030'!C10</f>
        <v>7.4371171297719613E-2</v>
      </c>
      <c r="F31" s="136">
        <f>('Vestlandet IR 2023-2030'!C11-'Vestlandet IR 2023-2030'!C10)/'Vestlandet IR 2023-2030'!C10</f>
        <v>3.2071621759522939E-2</v>
      </c>
      <c r="I31" s="55">
        <v>2026</v>
      </c>
      <c r="J31" s="136">
        <f>('Østlandet IR 2023-2030'!C26-'Østlandet IR 2023-2030'!C25)/'Østlandet IR 2023-2030'!C25</f>
        <v>6.785072614060951E-2</v>
      </c>
      <c r="K31" s="136">
        <f>('Sørlandet IR 2023-2030'!C26-'Sørlandet IR 2023-2030'!C25)/'Sørlandet IR 2023-2030'!C25</f>
        <v>0.19954133647654917</v>
      </c>
      <c r="L31" s="136">
        <f>('Midt-Norge IR 2023-2030'!C26-'Midt-Norge IR 2023-2030'!C25)/'Midt-Norge IR 2023-2030'!C25</f>
        <v>0.10157227909932147</v>
      </c>
      <c r="M31" s="136">
        <f>('Nord-Norge IR 2023-2030'!C26-'Nord-Norge IR 2023-2030'!C25)/'Nord-Norge IR 2023-2030'!C25</f>
        <v>0.1407153736470117</v>
      </c>
      <c r="N31" s="136">
        <f>('Vestlandet IR 2023-2030'!C26-'Vestlandet IR 2023-2030'!C25)/'Vestlandet IR 2023-2030'!C25</f>
        <v>4.0409500408603E-2</v>
      </c>
    </row>
    <row r="32" spans="1:15" x14ac:dyDescent="0.25">
      <c r="A32" s="54">
        <v>2027</v>
      </c>
      <c r="B32" s="124">
        <f>('Østlandet IR 2023-2030'!C12-'Østlandet IR 2023-2030'!C11)/'Østlandet IR 2023-2030'!C11</f>
        <v>4.1833639703315821E-2</v>
      </c>
      <c r="C32" s="124">
        <f>('Sørlandet IR 2023-2030'!C12-'Sørlandet IR 2023-2030'!C11)/'Sørlandet IR 2023-2030'!C11</f>
        <v>2.904504483743333E-2</v>
      </c>
      <c r="D32" s="124">
        <f>('Midt-Norge IR 2023-2030'!C12-'Midt-Norge IR 2023-2030'!C11)/'Midt-Norge IR 2023-2030'!C11</f>
        <v>3.3133741118478797E-2</v>
      </c>
      <c r="E32" s="124">
        <f>('Nord-Norge IR 2023-2030'!C12-'Nord-Norge IR 2023-2030'!C11)/'Nord-Norge IR 2023-2030'!C11</f>
        <v>5.9130638020709239E-2</v>
      </c>
      <c r="F32" s="124">
        <f>('Vestlandet IR 2023-2030'!C12-'Vestlandet IR 2023-2030'!C11)/'Vestlandet IR 2023-2030'!C11</f>
        <v>2.9901816274575485E-2</v>
      </c>
      <c r="I32" s="54">
        <v>2027</v>
      </c>
      <c r="J32" s="124">
        <f>('Østlandet IR 2023-2030'!C27-'Østlandet IR 2023-2030'!C26)/'Østlandet IR 2023-2030'!C26</f>
        <v>6.6222528394892607E-2</v>
      </c>
      <c r="K32" s="124">
        <f>('Sørlandet IR 2023-2030'!C27-'Sørlandet IR 2023-2030'!C26)/'Sørlandet IR 2023-2030'!C26</f>
        <v>0.14633116169851618</v>
      </c>
      <c r="L32" s="124">
        <f>('Midt-Norge IR 2023-2030'!C27-'Midt-Norge IR 2023-2030'!C26)/'Midt-Norge IR 2023-2030'!C26</f>
        <v>0.11618228422852908</v>
      </c>
      <c r="M32" s="124">
        <f>('Nord-Norge IR 2023-2030'!C27-'Nord-Norge IR 2023-2030'!C26)/'Nord-Norge IR 2023-2030'!C26</f>
        <v>0.13490422628894444</v>
      </c>
      <c r="N32" s="124">
        <f>('Vestlandet IR 2023-2030'!C27-'Vestlandet IR 2023-2030'!C26)/'Vestlandet IR 2023-2030'!C26</f>
        <v>7.3152797097359432E-2</v>
      </c>
    </row>
    <row r="33" spans="1:14" x14ac:dyDescent="0.25">
      <c r="A33" s="55">
        <v>2028</v>
      </c>
      <c r="B33" s="136">
        <f>('Østlandet IR 2023-2030'!C13-'Østlandet IR 2023-2030'!C12)/'Østlandet IR 2023-2030'!C12</f>
        <v>3.4827746430178046E-2</v>
      </c>
      <c r="C33" s="136">
        <f>('Sørlandet IR 2023-2030'!C13-'Sørlandet IR 2023-2030'!C12)/'Sørlandet IR 2023-2030'!C12</f>
        <v>2.7874535079684501E-2</v>
      </c>
      <c r="D33" s="136">
        <f>('Midt-Norge IR 2023-2030'!C13-'Midt-Norge IR 2023-2030'!C12)/'Midt-Norge IR 2023-2030'!C12</f>
        <v>3.1578852663213135E-2</v>
      </c>
      <c r="E33" s="136">
        <f>('Nord-Norge IR 2023-2030'!C13-'Nord-Norge IR 2023-2030'!C12)/'Nord-Norge IR 2023-2030'!C12</f>
        <v>5.4186452199114769E-2</v>
      </c>
      <c r="F33" s="136">
        <f>('Vestlandet IR 2023-2030'!C13-'Vestlandet IR 2023-2030'!C12)/'Vestlandet IR 2023-2030'!C12</f>
        <v>2.4239621257411071E-2</v>
      </c>
      <c r="I33" s="55">
        <v>2028</v>
      </c>
      <c r="J33" s="136">
        <f>('Østlandet IR 2023-2030'!C28-'Østlandet IR 2023-2030'!C27)/'Østlandet IR 2023-2030'!C27</f>
        <v>6.9747731688167169E-2</v>
      </c>
      <c r="K33" s="136">
        <f>('Sørlandet IR 2023-2030'!C28-'Sørlandet IR 2023-2030'!C27)/'Sørlandet IR 2023-2030'!C27</f>
        <v>0.14958451444682849</v>
      </c>
      <c r="L33" s="136">
        <f>('Midt-Norge IR 2023-2030'!C28-'Midt-Norge IR 2023-2030'!C27)/'Midt-Norge IR 2023-2030'!C27</f>
        <v>0.1575779012692681</v>
      </c>
      <c r="M33" s="136">
        <f>('Nord-Norge IR 2023-2030'!C28-'Nord-Norge IR 2023-2030'!C27)/'Nord-Norge IR 2023-2030'!C27</f>
        <v>8.1478908140341463E-2</v>
      </c>
      <c r="N33" s="136">
        <f>('Vestlandet IR 2023-2030'!C28-'Vestlandet IR 2023-2030'!C27)/'Vestlandet IR 2023-2030'!C27</f>
        <v>0.11707007872349939</v>
      </c>
    </row>
    <row r="34" spans="1:14" x14ac:dyDescent="0.25">
      <c r="A34" s="54">
        <v>2029</v>
      </c>
      <c r="B34" s="124">
        <f>('Østlandet IR 2023-2030'!C14-'Østlandet IR 2023-2030'!C13)/'Østlandet IR 2023-2030'!C13</f>
        <v>3.4220029936203017E-2</v>
      </c>
      <c r="C34" s="124">
        <f>('Sørlandet IR 2023-2030'!C14-'Sørlandet IR 2023-2030'!C13)/'Sørlandet IR 2023-2030'!C13</f>
        <v>2.7886269768258531E-2</v>
      </c>
      <c r="D34" s="124">
        <f>('Midt-Norge IR 2023-2030'!C14-'Midt-Norge IR 2023-2030'!C13)/'Midt-Norge IR 2023-2030'!C13</f>
        <v>3.1471320049521113E-2</v>
      </c>
      <c r="E34" s="124">
        <f>('Nord-Norge IR 2023-2030'!C14-'Nord-Norge IR 2023-2030'!C13)/'Nord-Norge IR 2023-2030'!C13</f>
        <v>4.9276969984256458E-2</v>
      </c>
      <c r="F34" s="124">
        <f>('Vestlandet IR 2023-2030'!C14-'Vestlandet IR 2023-2030'!C13)/'Vestlandet IR 2023-2030'!C13</f>
        <v>2.2228556660918049E-2</v>
      </c>
      <c r="I34" s="54">
        <v>2029</v>
      </c>
      <c r="J34" s="124">
        <f>('Østlandet IR 2023-2030'!C29-'Østlandet IR 2023-2030'!C28)/'Østlandet IR 2023-2030'!C28</f>
        <v>6.3271329206285407E-2</v>
      </c>
      <c r="K34" s="124">
        <f>('Sørlandet IR 2023-2030'!C29-'Sørlandet IR 2023-2030'!C28)/'Sørlandet IR 2023-2030'!C28</f>
        <v>0.12639231892801889</v>
      </c>
      <c r="L34" s="124">
        <f>('Midt-Norge IR 2023-2030'!C29-'Midt-Norge IR 2023-2030'!C28)/'Midt-Norge IR 2023-2030'!C28</f>
        <v>0.13234679655740389</v>
      </c>
      <c r="M34" s="124">
        <f>('Nord-Norge IR 2023-2030'!C29-'Nord-Norge IR 2023-2030'!C28)/'Nord-Norge IR 2023-2030'!C28</f>
        <v>7.3135750984542544E-2</v>
      </c>
      <c r="N34" s="124">
        <f>('Vestlandet IR 2023-2030'!C29-'Vestlandet IR 2023-2030'!C28)/'Vestlandet IR 2023-2030'!C28</f>
        <v>0.10180178052147879</v>
      </c>
    </row>
    <row r="35" spans="1:14" x14ac:dyDescent="0.25">
      <c r="A35" s="55">
        <v>2030</v>
      </c>
      <c r="B35" s="136">
        <f>('Østlandet IR 2023-2030'!C15-'Østlandet IR 2023-2030'!C14)/'Østlandet IR 2023-2030'!C14</f>
        <v>3.2090637340191755E-2</v>
      </c>
      <c r="C35" s="136">
        <f>('Sørlandet IR 2023-2030'!C15-'Sørlandet IR 2023-2030'!C14)/'Sørlandet IR 2023-2030'!C14</f>
        <v>2.5347734963209547E-2</v>
      </c>
      <c r="D35" s="136">
        <f>('Midt-Norge IR 2023-2030'!C15-'Midt-Norge IR 2023-2030'!C14)/'Midt-Norge IR 2023-2030'!C14</f>
        <v>2.9687266965156587E-2</v>
      </c>
      <c r="E35" s="136">
        <f>('Nord-Norge IR 2023-2030'!C15-'Nord-Norge IR 2023-2030'!C14)/'Nord-Norge IR 2023-2030'!C14</f>
        <v>3.9346678850875519E-2</v>
      </c>
      <c r="F35" s="136">
        <f>('Vestlandet IR 2023-2030'!C15-'Vestlandet IR 2023-2030'!C14)/'Vestlandet IR 2023-2030'!C14</f>
        <v>2.0737577769009408E-2</v>
      </c>
      <c r="I35" s="55">
        <v>2030</v>
      </c>
      <c r="J35" s="136">
        <f>('Østlandet IR 2023-2030'!C30-'Østlandet IR 2023-2030'!C29)/'Østlandet IR 2023-2030'!C29</f>
        <v>5.7692226672797046E-2</v>
      </c>
      <c r="K35" s="136">
        <f>('Sørlandet IR 2023-2030'!C30-'Sørlandet IR 2023-2030'!C29)/'Sørlandet IR 2023-2030'!C29</f>
        <v>0.10890001068265591</v>
      </c>
      <c r="L35" s="136">
        <f>('Midt-Norge IR 2023-2030'!C30-'Midt-Norge IR 2023-2030'!C29)/'Midt-Norge IR 2023-2030'!C29</f>
        <v>0.11353972057427762</v>
      </c>
      <c r="M35" s="136">
        <f>('Nord-Norge IR 2023-2030'!C30-'Nord-Norge IR 2023-2030'!C29)/'Nord-Norge IR 2023-2030'!C29</f>
        <v>6.6097170223584925E-2</v>
      </c>
      <c r="N35" s="136">
        <f>('Vestlandet IR 2023-2030'!C30-'Vestlandet IR 2023-2030'!C29)/'Vestlandet IR 2023-2030'!C29</f>
        <v>8.9673612087347893E-2</v>
      </c>
    </row>
  </sheetData>
  <mergeCells count="13">
    <mergeCell ref="A2:D2"/>
    <mergeCell ref="J26:N26"/>
    <mergeCell ref="I5:O5"/>
    <mergeCell ref="A5:G5"/>
    <mergeCell ref="B10:G10"/>
    <mergeCell ref="J10:O10"/>
    <mergeCell ref="J22:N22"/>
    <mergeCell ref="B26:F26"/>
    <mergeCell ref="J6:N6"/>
    <mergeCell ref="B6:F6"/>
    <mergeCell ref="B22:F22"/>
    <mergeCell ref="A21:F21"/>
    <mergeCell ref="I21:N21"/>
  </mergeCells>
  <phoneticPr fontId="10" type="noConversion"/>
  <hyperlinks>
    <hyperlink ref="A1" location="Introduksjon!A1" display="Tilbake til introduksjon" xr:uid="{F9C00BB5-E2A0-4352-9675-9F8CBB5426F6}"/>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2"/>
  <sheetViews>
    <sheetView workbookViewId="0">
      <selection activeCell="I37" sqref="I37"/>
    </sheetView>
  </sheetViews>
  <sheetFormatPr baseColWidth="10" defaultColWidth="11.42578125" defaultRowHeight="15" x14ac:dyDescent="0.25"/>
  <cols>
    <col min="1" max="1" width="21.85546875" style="9" bestFit="1" customWidth="1"/>
    <col min="2" max="2" width="11.42578125" style="9"/>
    <col min="3" max="3" width="15.42578125" style="9" bestFit="1" customWidth="1"/>
    <col min="4" max="4" width="14" style="9" customWidth="1"/>
    <col min="5" max="5" width="11.42578125" style="9"/>
    <col min="6" max="6" width="15.42578125" style="9" bestFit="1" customWidth="1"/>
    <col min="7" max="7" width="11.42578125" style="9"/>
    <col min="8" max="8" width="14" style="9" customWidth="1"/>
    <col min="9" max="9" width="11.42578125" style="9"/>
    <col min="10" max="10" width="14" style="9" customWidth="1"/>
    <col min="11" max="11" width="15.7109375" style="9" customWidth="1"/>
    <col min="12" max="12" width="14.28515625" style="9" customWidth="1"/>
    <col min="13" max="13" width="14" style="9" customWidth="1"/>
    <col min="14" max="16384" width="11.42578125" style="9"/>
  </cols>
  <sheetData>
    <row r="1" spans="1:18" x14ac:dyDescent="0.25">
      <c r="A1" s="45" t="s">
        <v>170</v>
      </c>
    </row>
    <row r="2" spans="1:18" ht="18.75" x14ac:dyDescent="0.3">
      <c r="A2" s="175" t="s">
        <v>77</v>
      </c>
      <c r="B2" s="176"/>
      <c r="C2" s="176"/>
      <c r="D2" s="177"/>
    </row>
    <row r="4" spans="1:18" ht="15.75" thickBot="1" x14ac:dyDescent="0.3">
      <c r="A4" s="54" t="s">
        <v>4</v>
      </c>
      <c r="B4" s="178" t="s">
        <v>10</v>
      </c>
      <c r="C4" s="179"/>
      <c r="D4" s="184"/>
      <c r="E4" s="178" t="s">
        <v>174</v>
      </c>
      <c r="F4" s="179"/>
      <c r="G4" s="179"/>
    </row>
    <row r="5" spans="1:18" ht="15.75" thickBot="1" x14ac:dyDescent="0.3">
      <c r="A5" s="59"/>
      <c r="B5" s="131" t="s">
        <v>63</v>
      </c>
      <c r="C5" s="28" t="s">
        <v>82</v>
      </c>
      <c r="D5" s="130" t="s">
        <v>90</v>
      </c>
      <c r="E5" s="28" t="s">
        <v>63</v>
      </c>
      <c r="F5" s="28" t="s">
        <v>82</v>
      </c>
      <c r="G5" s="28" t="s">
        <v>90</v>
      </c>
    </row>
    <row r="6" spans="1:18" x14ac:dyDescent="0.25">
      <c r="A6" s="88">
        <v>2019</v>
      </c>
      <c r="B6" s="144">
        <v>15533144</v>
      </c>
      <c r="C6" s="64">
        <v>62923</v>
      </c>
      <c r="D6" s="145">
        <f>C6/B6</f>
        <v>4.0508862854809046E-3</v>
      </c>
      <c r="E6" s="62">
        <v>5686844</v>
      </c>
      <c r="F6" s="64">
        <v>16970</v>
      </c>
      <c r="G6" s="69">
        <f>F6/E6</f>
        <v>2.9840804495428397E-3</v>
      </c>
    </row>
    <row r="7" spans="1:18" x14ac:dyDescent="0.25">
      <c r="A7" s="87">
        <v>2020</v>
      </c>
      <c r="B7" s="138">
        <v>16295298</v>
      </c>
      <c r="C7" s="34">
        <v>76312</v>
      </c>
      <c r="D7" s="139">
        <f>C7/B7</f>
        <v>4.6830686987129663E-3</v>
      </c>
      <c r="E7" s="14">
        <v>6607359</v>
      </c>
      <c r="F7" s="34">
        <v>21304</v>
      </c>
      <c r="G7" s="26">
        <f>F7/E7</f>
        <v>3.2242837115404204E-3</v>
      </c>
    </row>
    <row r="8" spans="1:18" x14ac:dyDescent="0.25">
      <c r="A8" s="88">
        <v>2021</v>
      </c>
      <c r="B8" s="144">
        <v>16832927</v>
      </c>
      <c r="C8" s="64">
        <v>78641</v>
      </c>
      <c r="D8" s="145">
        <f>C8/B8</f>
        <v>4.6718553463696482E-3</v>
      </c>
      <c r="E8" s="62">
        <v>6867774</v>
      </c>
      <c r="F8" s="64">
        <v>21317</v>
      </c>
      <c r="G8" s="69">
        <f>F8/E8</f>
        <v>3.1039169314540636E-3</v>
      </c>
    </row>
    <row r="9" spans="1:18" ht="15.75" thickBot="1" x14ac:dyDescent="0.3">
      <c r="A9" s="90">
        <v>2022</v>
      </c>
      <c r="B9" s="140">
        <v>17672764</v>
      </c>
      <c r="C9" s="51">
        <v>86844</v>
      </c>
      <c r="D9" s="141">
        <f>C9/B9</f>
        <v>4.9140021334523566E-3</v>
      </c>
      <c r="E9" s="58">
        <v>7263139</v>
      </c>
      <c r="F9" s="51">
        <v>24172</v>
      </c>
      <c r="G9" s="137">
        <f>F9/E9</f>
        <v>3.3280376432283619E-3</v>
      </c>
      <c r="L9" s="35"/>
      <c r="M9" s="35"/>
      <c r="N9" s="35"/>
      <c r="O9" s="35"/>
      <c r="P9" s="35"/>
      <c r="Q9" s="35"/>
      <c r="R9" s="35"/>
    </row>
    <row r="10" spans="1:18" x14ac:dyDescent="0.25">
      <c r="A10" s="54" t="s">
        <v>173</v>
      </c>
      <c r="B10" s="142"/>
      <c r="D10" s="143">
        <f>AVERAGE(D6:D9)</f>
        <v>4.5799531160039689E-3</v>
      </c>
      <c r="G10" s="25">
        <f>AVERAGE(G6:G9)</f>
        <v>3.1600796839414214E-3</v>
      </c>
      <c r="N10" s="14"/>
    </row>
    <row r="12" spans="1:18" ht="15.75" thickBot="1" x14ac:dyDescent="0.3">
      <c r="A12" s="54" t="s">
        <v>5</v>
      </c>
      <c r="B12" s="178" t="s">
        <v>10</v>
      </c>
      <c r="C12" s="179"/>
      <c r="D12" s="184"/>
      <c r="E12" s="178" t="s">
        <v>174</v>
      </c>
      <c r="F12" s="179"/>
      <c r="G12" s="179"/>
    </row>
    <row r="13" spans="1:18" ht="15.75" thickBot="1" x14ac:dyDescent="0.3">
      <c r="A13" s="59"/>
      <c r="B13" s="131" t="s">
        <v>63</v>
      </c>
      <c r="C13" s="28" t="s">
        <v>82</v>
      </c>
      <c r="D13" s="130" t="s">
        <v>90</v>
      </c>
      <c r="E13" s="28" t="s">
        <v>63</v>
      </c>
      <c r="F13" s="28" t="s">
        <v>82</v>
      </c>
      <c r="G13" s="28" t="s">
        <v>90</v>
      </c>
    </row>
    <row r="14" spans="1:18" x14ac:dyDescent="0.25">
      <c r="A14" s="88">
        <v>2019</v>
      </c>
      <c r="B14" s="144">
        <v>15035124</v>
      </c>
      <c r="C14" s="64">
        <v>57490</v>
      </c>
      <c r="D14" s="145">
        <f>C14/B14</f>
        <v>3.8237130601649844E-3</v>
      </c>
      <c r="E14" s="62">
        <v>5949346</v>
      </c>
      <c r="F14" s="64">
        <v>37786</v>
      </c>
      <c r="G14" s="69">
        <f>F14/E14</f>
        <v>6.3512863430703137E-3</v>
      </c>
      <c r="J14" s="14"/>
      <c r="K14" s="14"/>
    </row>
    <row r="15" spans="1:18" x14ac:dyDescent="0.25">
      <c r="A15" s="87">
        <v>2020</v>
      </c>
      <c r="B15" s="138">
        <v>15703611</v>
      </c>
      <c r="C15" s="34">
        <v>60351</v>
      </c>
      <c r="D15" s="139">
        <f>C15/B15</f>
        <v>3.8431288192250813E-3</v>
      </c>
      <c r="E15" s="14">
        <v>6790460</v>
      </c>
      <c r="F15" s="34">
        <v>41343</v>
      </c>
      <c r="G15" s="26">
        <f>F15/E15</f>
        <v>6.0883946006603379E-3</v>
      </c>
    </row>
    <row r="16" spans="1:18" x14ac:dyDescent="0.25">
      <c r="A16" s="88">
        <v>2021</v>
      </c>
      <c r="B16" s="144">
        <v>16462034</v>
      </c>
      <c r="C16" s="64">
        <v>65245</v>
      </c>
      <c r="D16" s="145">
        <f>C16/B16</f>
        <v>3.9633620001027822E-3</v>
      </c>
      <c r="E16" s="62">
        <v>7504936</v>
      </c>
      <c r="F16" s="64">
        <v>49385</v>
      </c>
      <c r="G16" s="69">
        <f>F16/E16</f>
        <v>6.5803359282477561E-3</v>
      </c>
    </row>
    <row r="17" spans="1:13" ht="15.75" thickBot="1" x14ac:dyDescent="0.3">
      <c r="A17" s="90">
        <v>2022</v>
      </c>
      <c r="B17" s="140">
        <v>17462983</v>
      </c>
      <c r="C17" s="51">
        <v>69362</v>
      </c>
      <c r="D17" s="141">
        <f>C17/B17</f>
        <v>3.9719445412046729E-3</v>
      </c>
      <c r="E17" s="58">
        <v>8133856</v>
      </c>
      <c r="F17" s="51">
        <v>49490</v>
      </c>
      <c r="G17" s="137">
        <f>F17/E17</f>
        <v>6.0844450651695824E-3</v>
      </c>
    </row>
    <row r="18" spans="1:13" x14ac:dyDescent="0.25">
      <c r="A18" s="54" t="s">
        <v>173</v>
      </c>
      <c r="B18" s="142"/>
      <c r="D18" s="143">
        <f>AVERAGE(D14:D17)</f>
        <v>3.9005371051743804E-3</v>
      </c>
      <c r="G18" s="25">
        <f>AVERAGE(G14:G17)</f>
        <v>6.2761154842869973E-3</v>
      </c>
    </row>
    <row r="20" spans="1:13" ht="15.75" thickBot="1" x14ac:dyDescent="0.3">
      <c r="A20" s="54" t="s">
        <v>6</v>
      </c>
      <c r="B20" s="178" t="s">
        <v>10</v>
      </c>
      <c r="C20" s="179"/>
      <c r="D20" s="184"/>
      <c r="E20" s="178" t="s">
        <v>174</v>
      </c>
      <c r="F20" s="179"/>
      <c r="G20" s="179"/>
    </row>
    <row r="21" spans="1:13" ht="15.75" thickBot="1" x14ac:dyDescent="0.3">
      <c r="A21" s="59"/>
      <c r="B21" s="131" t="s">
        <v>63</v>
      </c>
      <c r="C21" s="28" t="s">
        <v>82</v>
      </c>
      <c r="D21" s="130" t="s">
        <v>90</v>
      </c>
      <c r="E21" s="28" t="s">
        <v>63</v>
      </c>
      <c r="F21" s="28" t="s">
        <v>82</v>
      </c>
      <c r="G21" s="28" t="s">
        <v>90</v>
      </c>
    </row>
    <row r="22" spans="1:13" x14ac:dyDescent="0.25">
      <c r="A22" s="88">
        <v>2019</v>
      </c>
      <c r="B22" s="144">
        <v>10037221</v>
      </c>
      <c r="C22" s="64">
        <v>53255</v>
      </c>
      <c r="D22" s="145">
        <f>C22/B22</f>
        <v>5.3057514624814976E-3</v>
      </c>
      <c r="E22" s="62">
        <v>3823289</v>
      </c>
      <c r="F22" s="64">
        <v>26584</v>
      </c>
      <c r="G22" s="69">
        <f>F22/E22</f>
        <v>6.9531756558293134E-3</v>
      </c>
    </row>
    <row r="23" spans="1:13" x14ac:dyDescent="0.25">
      <c r="A23" s="87">
        <v>2020</v>
      </c>
      <c r="B23" s="138">
        <v>10005930</v>
      </c>
      <c r="C23" s="34">
        <v>58182</v>
      </c>
      <c r="D23" s="139">
        <f>C23/B23</f>
        <v>5.8147518521516738E-3</v>
      </c>
      <c r="E23" s="14">
        <v>4057694</v>
      </c>
      <c r="F23" s="34">
        <v>31222</v>
      </c>
      <c r="G23" s="26">
        <f>F23/E23</f>
        <v>7.6945181179260934E-3</v>
      </c>
    </row>
    <row r="24" spans="1:13" x14ac:dyDescent="0.25">
      <c r="A24" s="88">
        <v>2021</v>
      </c>
      <c r="B24" s="144">
        <v>10394372</v>
      </c>
      <c r="C24" s="64">
        <v>66582</v>
      </c>
      <c r="D24" s="145">
        <f>C24/B24</f>
        <v>6.4055817898378085E-3</v>
      </c>
      <c r="E24" s="62">
        <v>4729348</v>
      </c>
      <c r="F24" s="64">
        <v>31757</v>
      </c>
      <c r="G24" s="69">
        <f>F24/E24</f>
        <v>6.7148790911559057E-3</v>
      </c>
    </row>
    <row r="25" spans="1:13" ht="15.75" thickBot="1" x14ac:dyDescent="0.3">
      <c r="A25" s="90">
        <v>2022</v>
      </c>
      <c r="B25" s="140">
        <v>11039814</v>
      </c>
      <c r="C25" s="51">
        <v>62329</v>
      </c>
      <c r="D25" s="141">
        <f>C25/B25</f>
        <v>5.6458378737178003E-3</v>
      </c>
      <c r="E25" s="58">
        <v>5005027</v>
      </c>
      <c r="F25" s="51">
        <v>35287</v>
      </c>
      <c r="G25" s="137">
        <f>F25/E25</f>
        <v>7.0503116167005692E-3</v>
      </c>
    </row>
    <row r="26" spans="1:13" x14ac:dyDescent="0.25">
      <c r="A26" s="54" t="s">
        <v>173</v>
      </c>
      <c r="B26" s="142"/>
      <c r="D26" s="143">
        <f>AVERAGE(D22:D25)</f>
        <v>5.7929807445471944E-3</v>
      </c>
      <c r="G26" s="25">
        <f>AVERAGE(G22:G25)</f>
        <v>7.1032211204029704E-3</v>
      </c>
    </row>
    <row r="28" spans="1:13" ht="15.75" thickBot="1" x14ac:dyDescent="0.3">
      <c r="A28" s="54" t="s">
        <v>7</v>
      </c>
      <c r="B28" s="178" t="s">
        <v>10</v>
      </c>
      <c r="C28" s="179"/>
      <c r="D28" s="184"/>
      <c r="E28" s="178" t="s">
        <v>174</v>
      </c>
      <c r="F28" s="179"/>
      <c r="G28" s="179"/>
    </row>
    <row r="29" spans="1:13" ht="15.75" thickBot="1" x14ac:dyDescent="0.3">
      <c r="A29" s="59"/>
      <c r="B29" s="131" t="s">
        <v>63</v>
      </c>
      <c r="C29" s="28" t="s">
        <v>82</v>
      </c>
      <c r="D29" s="130" t="s">
        <v>90</v>
      </c>
      <c r="E29" s="28" t="s">
        <v>63</v>
      </c>
      <c r="F29" s="28" t="s">
        <v>82</v>
      </c>
      <c r="G29" s="28" t="s">
        <v>90</v>
      </c>
      <c r="M29" s="35"/>
    </row>
    <row r="30" spans="1:13" x14ac:dyDescent="0.25">
      <c r="A30" s="88">
        <v>2019</v>
      </c>
      <c r="B30" s="144">
        <v>8195172</v>
      </c>
      <c r="C30" s="64">
        <v>52928</v>
      </c>
      <c r="D30" s="145">
        <f>C30/B30</f>
        <v>6.4584367478803372E-3</v>
      </c>
      <c r="E30" s="62">
        <v>3977828</v>
      </c>
      <c r="F30" s="64">
        <v>17527</v>
      </c>
      <c r="G30" s="69">
        <f>F30/E30</f>
        <v>4.4061734192629744E-3</v>
      </c>
    </row>
    <row r="31" spans="1:13" x14ac:dyDescent="0.25">
      <c r="A31" s="87">
        <v>2020</v>
      </c>
      <c r="B31" s="138">
        <v>8653501</v>
      </c>
      <c r="C31" s="34">
        <v>54059</v>
      </c>
      <c r="D31" s="139">
        <f>C31/B31</f>
        <v>6.2470669385720299E-3</v>
      </c>
      <c r="E31" s="14">
        <v>4591155</v>
      </c>
      <c r="F31" s="34">
        <v>19894</v>
      </c>
      <c r="G31" s="26">
        <f>F31/E31</f>
        <v>4.3331144341674371E-3</v>
      </c>
    </row>
    <row r="32" spans="1:13" x14ac:dyDescent="0.25">
      <c r="A32" s="88">
        <v>2021</v>
      </c>
      <c r="B32" s="144">
        <v>8969888</v>
      </c>
      <c r="C32" s="64">
        <v>56768</v>
      </c>
      <c r="D32" s="145">
        <f>C32/B32</f>
        <v>6.3287300800188365E-3</v>
      </c>
      <c r="E32" s="62">
        <v>5030740</v>
      </c>
      <c r="F32" s="64">
        <v>22105</v>
      </c>
      <c r="G32" s="69">
        <f>F32/E32</f>
        <v>4.3939857754525177E-3</v>
      </c>
    </row>
    <row r="33" spans="1:7" ht="15.75" thickBot="1" x14ac:dyDescent="0.3">
      <c r="A33" s="90">
        <v>2022</v>
      </c>
      <c r="B33" s="140">
        <v>9347425</v>
      </c>
      <c r="C33" s="51">
        <v>63385</v>
      </c>
      <c r="D33" s="141">
        <f>C33/B33</f>
        <v>6.7810118829517221E-3</v>
      </c>
      <c r="E33" s="58">
        <v>5368106</v>
      </c>
      <c r="F33" s="51">
        <v>24481</v>
      </c>
      <c r="G33" s="137">
        <f>F33/E33</f>
        <v>4.5604539105598887E-3</v>
      </c>
    </row>
    <row r="34" spans="1:7" x14ac:dyDescent="0.25">
      <c r="A34" s="54" t="s">
        <v>173</v>
      </c>
      <c r="B34" s="142"/>
      <c r="D34" s="143">
        <f>AVERAGE(D30:D33)</f>
        <v>6.4538114123557314E-3</v>
      </c>
      <c r="G34" s="25">
        <f>AVERAGE(G30:G33)</f>
        <v>4.423431884860704E-3</v>
      </c>
    </row>
    <row r="36" spans="1:7" ht="15.75" thickBot="1" x14ac:dyDescent="0.3">
      <c r="A36" s="54" t="s">
        <v>8</v>
      </c>
      <c r="B36" s="178" t="s">
        <v>10</v>
      </c>
      <c r="C36" s="179"/>
      <c r="D36" s="184"/>
      <c r="E36" s="178" t="s">
        <v>174</v>
      </c>
      <c r="F36" s="179"/>
      <c r="G36" s="179"/>
    </row>
    <row r="37" spans="1:7" ht="15.75" thickBot="1" x14ac:dyDescent="0.3">
      <c r="A37" s="59"/>
      <c r="B37" s="131" t="s">
        <v>63</v>
      </c>
      <c r="C37" s="28" t="s">
        <v>82</v>
      </c>
      <c r="D37" s="130" t="s">
        <v>90</v>
      </c>
      <c r="E37" s="28" t="s">
        <v>63</v>
      </c>
      <c r="F37" s="28" t="s">
        <v>82</v>
      </c>
      <c r="G37" s="28" t="s">
        <v>90</v>
      </c>
    </row>
    <row r="38" spans="1:7" x14ac:dyDescent="0.25">
      <c r="A38" s="88">
        <v>2019</v>
      </c>
      <c r="B38" s="144">
        <v>5398556</v>
      </c>
      <c r="C38" s="64">
        <v>43146</v>
      </c>
      <c r="D38" s="145">
        <f>C38/B38</f>
        <v>7.9921371566767114E-3</v>
      </c>
      <c r="E38" s="62">
        <v>1751235</v>
      </c>
      <c r="F38" s="64">
        <v>12767</v>
      </c>
      <c r="G38" s="69">
        <f>F38/E38</f>
        <v>7.2902837140646458E-3</v>
      </c>
    </row>
    <row r="39" spans="1:7" x14ac:dyDescent="0.25">
      <c r="A39" s="87">
        <v>2020</v>
      </c>
      <c r="B39" s="138">
        <v>6074953</v>
      </c>
      <c r="C39" s="34">
        <v>45837</v>
      </c>
      <c r="D39" s="139">
        <f>C39/B39</f>
        <v>7.5452435599090229E-3</v>
      </c>
      <c r="E39" s="14">
        <v>2094292</v>
      </c>
      <c r="F39" s="34">
        <v>12367</v>
      </c>
      <c r="G39" s="26">
        <f>F39/E39</f>
        <v>5.905098238450035E-3</v>
      </c>
    </row>
    <row r="40" spans="1:7" x14ac:dyDescent="0.25">
      <c r="A40" s="88">
        <v>2021</v>
      </c>
      <c r="B40" s="144">
        <v>6374788</v>
      </c>
      <c r="C40" s="64">
        <v>46034</v>
      </c>
      <c r="D40" s="145">
        <f>C40/B40</f>
        <v>7.2212597501281608E-3</v>
      </c>
      <c r="E40" s="62">
        <v>2334109</v>
      </c>
      <c r="F40" s="64">
        <v>12369</v>
      </c>
      <c r="G40" s="69">
        <f>F40/E40</f>
        <v>5.2992383817550941E-3</v>
      </c>
    </row>
    <row r="41" spans="1:7" ht="15.75" thickBot="1" x14ac:dyDescent="0.3">
      <c r="A41" s="90">
        <v>2022</v>
      </c>
      <c r="B41" s="140">
        <v>6892782</v>
      </c>
      <c r="C41" s="51">
        <v>48754</v>
      </c>
      <c r="D41" s="141">
        <f>C41/B41</f>
        <v>7.0731962798185116E-3</v>
      </c>
      <c r="E41" s="58">
        <v>2460072</v>
      </c>
      <c r="F41" s="51">
        <v>12582</v>
      </c>
      <c r="G41" s="137">
        <f>F41/E41</f>
        <v>5.1144844541135383E-3</v>
      </c>
    </row>
    <row r="42" spans="1:7" x14ac:dyDescent="0.25">
      <c r="A42" s="54" t="s">
        <v>173</v>
      </c>
      <c r="B42" s="142"/>
      <c r="D42" s="143">
        <f>AVERAGE(D38:D41)</f>
        <v>7.4579591866331023E-3</v>
      </c>
      <c r="G42" s="25">
        <f>AVERAGE(G38:G41)</f>
        <v>5.9022761970958281E-3</v>
      </c>
    </row>
  </sheetData>
  <mergeCells count="11">
    <mergeCell ref="A2:D2"/>
    <mergeCell ref="B36:D36"/>
    <mergeCell ref="E36:G36"/>
    <mergeCell ref="B28:D28"/>
    <mergeCell ref="E28:G28"/>
    <mergeCell ref="B4:D4"/>
    <mergeCell ref="E4:G4"/>
    <mergeCell ref="E12:G12"/>
    <mergeCell ref="B12:D12"/>
    <mergeCell ref="E20:G20"/>
    <mergeCell ref="B20:D20"/>
  </mergeCells>
  <hyperlinks>
    <hyperlink ref="A1" location="Introduksjon!A1" display="Tilbake til introduksjon" xr:uid="{26228A2B-8985-4742-BAB8-CCD118A3E397}"/>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3"/>
  <sheetViews>
    <sheetView workbookViewId="0">
      <selection activeCell="I31" sqref="I31"/>
    </sheetView>
  </sheetViews>
  <sheetFormatPr baseColWidth="10" defaultColWidth="11.42578125" defaultRowHeight="15" x14ac:dyDescent="0.25"/>
  <cols>
    <col min="1" max="1" width="21.85546875" style="9" bestFit="1" customWidth="1"/>
    <col min="2" max="2" width="13.5703125" style="9" customWidth="1"/>
    <col min="3" max="3" width="12.140625" style="9" customWidth="1"/>
    <col min="4" max="4" width="12.7109375" style="9" customWidth="1"/>
    <col min="5" max="5" width="14.85546875" style="9" bestFit="1" customWidth="1"/>
    <col min="6" max="6" width="15.85546875" style="9" bestFit="1" customWidth="1"/>
    <col min="7" max="7" width="18.28515625" style="9" bestFit="1" customWidth="1"/>
    <col min="8" max="8" width="15.85546875" style="9" bestFit="1" customWidth="1"/>
    <col min="9" max="9" width="20.140625" style="9" bestFit="1" customWidth="1"/>
    <col min="10" max="10" width="16.140625" style="9" customWidth="1"/>
    <col min="11" max="11" width="20.7109375" style="9" customWidth="1"/>
    <col min="12" max="12" width="14.7109375" style="9" customWidth="1"/>
    <col min="13" max="13" width="15.28515625" style="9" customWidth="1"/>
    <col min="14" max="14" width="16.42578125" style="9" customWidth="1"/>
    <col min="15" max="16" width="17" style="9" customWidth="1"/>
    <col min="17" max="16384" width="11.42578125" style="9"/>
  </cols>
  <sheetData>
    <row r="1" spans="1:16" x14ac:dyDescent="0.25">
      <c r="A1" s="45" t="s">
        <v>170</v>
      </c>
    </row>
    <row r="2" spans="1:16" ht="18.75" x14ac:dyDescent="0.3">
      <c r="A2" s="175" t="s">
        <v>200</v>
      </c>
      <c r="B2" s="176"/>
      <c r="C2" s="176"/>
      <c r="D2" s="177"/>
    </row>
    <row r="5" spans="1:16" ht="15.75" thickBot="1" x14ac:dyDescent="0.3">
      <c r="A5" s="63"/>
      <c r="B5" s="179" t="s">
        <v>176</v>
      </c>
      <c r="C5" s="179"/>
      <c r="D5" s="179"/>
      <c r="E5" s="179"/>
      <c r="F5" s="179"/>
      <c r="I5" s="99"/>
      <c r="J5" s="178" t="s">
        <v>189</v>
      </c>
      <c r="K5" s="179"/>
    </row>
    <row r="6" spans="1:16" ht="15.75" thickBot="1" x14ac:dyDescent="0.3">
      <c r="A6" s="63"/>
      <c r="B6" s="50" t="s">
        <v>91</v>
      </c>
      <c r="C6" s="50" t="s">
        <v>92</v>
      </c>
      <c r="D6" s="50" t="s">
        <v>93</v>
      </c>
      <c r="E6" s="50" t="s">
        <v>94</v>
      </c>
      <c r="F6" s="50" t="s">
        <v>95</v>
      </c>
      <c r="I6" s="63"/>
      <c r="J6" s="28" t="s">
        <v>12</v>
      </c>
      <c r="K6" s="28" t="s">
        <v>10</v>
      </c>
    </row>
    <row r="7" spans="1:16" x14ac:dyDescent="0.25">
      <c r="A7" s="100">
        <v>2018</v>
      </c>
      <c r="B7" s="34">
        <v>1128362</v>
      </c>
      <c r="C7" s="34">
        <v>163613</v>
      </c>
      <c r="D7" s="34">
        <v>4958049</v>
      </c>
      <c r="E7" s="34"/>
      <c r="F7" s="34">
        <f>SUM(C7:E7)</f>
        <v>5121662</v>
      </c>
      <c r="I7" s="100">
        <f>A7</f>
        <v>2018</v>
      </c>
      <c r="J7" s="17">
        <f>D7/F7</f>
        <v>0.96805470567952356</v>
      </c>
      <c r="K7" s="17">
        <f>E17/$I17</f>
        <v>0.90026626442175772</v>
      </c>
    </row>
    <row r="8" spans="1:16" x14ac:dyDescent="0.25">
      <c r="A8" s="103">
        <v>2019</v>
      </c>
      <c r="B8" s="64">
        <v>1113522</v>
      </c>
      <c r="C8" s="64">
        <v>284304</v>
      </c>
      <c r="D8" s="64">
        <v>5765511</v>
      </c>
      <c r="E8" s="64"/>
      <c r="F8" s="64">
        <f>SUM(C8:E8)</f>
        <v>6049815</v>
      </c>
      <c r="I8" s="103">
        <f>A8</f>
        <v>2019</v>
      </c>
      <c r="J8" s="167">
        <f>D8/F8</f>
        <v>0.95300616630425894</v>
      </c>
      <c r="K8" s="167">
        <f>E18/$I18</f>
        <v>0.90472285637590433</v>
      </c>
    </row>
    <row r="9" spans="1:16" x14ac:dyDescent="0.25">
      <c r="A9" s="100">
        <v>2020</v>
      </c>
      <c r="B9" s="34">
        <v>811160</v>
      </c>
      <c r="C9" s="34">
        <v>282876</v>
      </c>
      <c r="D9" s="34">
        <v>5571170</v>
      </c>
      <c r="E9" s="34"/>
      <c r="F9" s="34">
        <f>SUM(C9:E9)</f>
        <v>5854046</v>
      </c>
      <c r="I9" s="100">
        <f>A9</f>
        <v>2020</v>
      </c>
      <c r="J9" s="17">
        <f>D9/F9</f>
        <v>0.95167854847741207</v>
      </c>
      <c r="K9" s="17">
        <f>E19/$I19</f>
        <v>0.87921352815265763</v>
      </c>
    </row>
    <row r="10" spans="1:16" x14ac:dyDescent="0.25">
      <c r="A10" s="103">
        <v>2021</v>
      </c>
      <c r="B10" s="64">
        <v>1150038</v>
      </c>
      <c r="C10" s="64">
        <v>550170</v>
      </c>
      <c r="D10" s="64">
        <v>4835696</v>
      </c>
      <c r="E10" s="64"/>
      <c r="F10" s="64">
        <f>SUM(C10:E10)</f>
        <v>5385866</v>
      </c>
      <c r="I10" s="103">
        <f>A10</f>
        <v>2021</v>
      </c>
      <c r="J10" s="167">
        <f>D10/F10</f>
        <v>0.89784929665907021</v>
      </c>
      <c r="K10" s="167">
        <f>E20/$I20</f>
        <v>0.86561600428226837</v>
      </c>
    </row>
    <row r="11" spans="1:16" ht="15.75" thickBot="1" x14ac:dyDescent="0.3">
      <c r="A11" s="100">
        <v>2022</v>
      </c>
      <c r="B11" s="34">
        <v>-364138</v>
      </c>
      <c r="C11" s="34">
        <v>1040585</v>
      </c>
      <c r="D11" s="34">
        <v>3495810</v>
      </c>
      <c r="E11" s="34">
        <v>260</v>
      </c>
      <c r="F11" s="34">
        <f>SUM(C11:E11)</f>
        <v>4536655</v>
      </c>
      <c r="I11" s="63">
        <f>A11</f>
        <v>2022</v>
      </c>
      <c r="J11" s="168">
        <f>D11/F11</f>
        <v>0.77056994635915665</v>
      </c>
      <c r="K11" s="168">
        <f>E21/$I21</f>
        <v>0.82260624617553246</v>
      </c>
    </row>
    <row r="12" spans="1:16" x14ac:dyDescent="0.25">
      <c r="A12" s="35"/>
      <c r="I12" s="54" t="s">
        <v>145</v>
      </c>
      <c r="J12" s="17">
        <f>AVERAGE(J7:J11)</f>
        <v>0.9082317326958842</v>
      </c>
      <c r="K12" s="17">
        <f>AVERAGE(K7:K11)</f>
        <v>0.87448497988162421</v>
      </c>
    </row>
    <row r="13" spans="1:16" x14ac:dyDescent="0.25">
      <c r="A13" s="35"/>
    </row>
    <row r="15" spans="1:16" ht="15.75" thickBot="1" x14ac:dyDescent="0.3">
      <c r="A15" s="53"/>
      <c r="B15" s="179" t="s">
        <v>175</v>
      </c>
      <c r="C15" s="179"/>
      <c r="D15" s="179"/>
      <c r="E15" s="179"/>
      <c r="F15" s="179"/>
      <c r="G15" s="179"/>
      <c r="H15" s="179"/>
      <c r="I15" s="179"/>
      <c r="J15" s="16"/>
      <c r="K15" s="53" t="s">
        <v>12</v>
      </c>
      <c r="L15" s="179" t="s">
        <v>190</v>
      </c>
      <c r="M15" s="179"/>
      <c r="N15" s="179"/>
      <c r="O15" s="179"/>
      <c r="P15" s="179"/>
    </row>
    <row r="16" spans="1:16" ht="15.75" thickBot="1" x14ac:dyDescent="0.3">
      <c r="A16" s="63"/>
      <c r="B16" s="50" t="s">
        <v>91</v>
      </c>
      <c r="C16" s="50" t="s">
        <v>92</v>
      </c>
      <c r="D16" s="50" t="s">
        <v>96</v>
      </c>
      <c r="E16" s="50" t="s">
        <v>97</v>
      </c>
      <c r="F16" s="50" t="s">
        <v>93</v>
      </c>
      <c r="G16" s="50" t="s">
        <v>94</v>
      </c>
      <c r="H16" s="50" t="s">
        <v>98</v>
      </c>
      <c r="I16" s="50" t="s">
        <v>95</v>
      </c>
      <c r="J16" s="16"/>
      <c r="K16" s="59"/>
      <c r="L16" s="93" t="s">
        <v>4</v>
      </c>
      <c r="M16" s="93" t="s">
        <v>5</v>
      </c>
      <c r="N16" s="93" t="s">
        <v>6</v>
      </c>
      <c r="O16" s="93" t="s">
        <v>7</v>
      </c>
      <c r="P16" s="93" t="s">
        <v>8</v>
      </c>
    </row>
    <row r="17" spans="1:16" x14ac:dyDescent="0.25">
      <c r="A17" s="100">
        <v>2018</v>
      </c>
      <c r="B17" s="34">
        <v>1334624</v>
      </c>
      <c r="C17" s="34">
        <v>102194</v>
      </c>
      <c r="D17" s="34">
        <v>444315</v>
      </c>
      <c r="E17" s="34">
        <v>8349623</v>
      </c>
      <c r="F17" s="34">
        <v>378483</v>
      </c>
      <c r="G17" s="34">
        <v>0</v>
      </c>
      <c r="H17" s="34">
        <f>SUM(B17:G17)</f>
        <v>10609239</v>
      </c>
      <c r="I17" s="34">
        <f>SUM(C17:G17)</f>
        <v>9274615</v>
      </c>
      <c r="J17" s="16"/>
      <c r="K17" s="100">
        <v>2023</v>
      </c>
      <c r="L17" s="25">
        <f>$J$12</f>
        <v>0.9082317326958842</v>
      </c>
      <c r="M17" s="25">
        <f>$J$12</f>
        <v>0.9082317326958842</v>
      </c>
      <c r="N17" s="25">
        <f>$J$12</f>
        <v>0.9082317326958842</v>
      </c>
      <c r="O17" s="25">
        <f>$J$12</f>
        <v>0.9082317326958842</v>
      </c>
      <c r="P17" s="25">
        <f>$J$12</f>
        <v>0.9082317326958842</v>
      </c>
    </row>
    <row r="18" spans="1:16" x14ac:dyDescent="0.25">
      <c r="A18" s="103">
        <v>2019</v>
      </c>
      <c r="B18" s="64">
        <v>1153682</v>
      </c>
      <c r="C18" s="64">
        <v>102974</v>
      </c>
      <c r="D18" s="64">
        <v>462865</v>
      </c>
      <c r="E18" s="64">
        <v>8914655</v>
      </c>
      <c r="F18" s="64">
        <v>372971</v>
      </c>
      <c r="G18" s="64">
        <v>0</v>
      </c>
      <c r="H18" s="64">
        <f>SUM(B18:G18)</f>
        <v>11007147</v>
      </c>
      <c r="I18" s="64">
        <f>SUM(C18:G18)</f>
        <v>9853465</v>
      </c>
      <c r="J18" s="16"/>
      <c r="K18" s="103">
        <v>2024</v>
      </c>
      <c r="L18" s="164">
        <f>L17+'Forbruk MWh'!O8</f>
        <v>0.90737417904814055</v>
      </c>
      <c r="M18" s="164">
        <f>M17+'Forbruk MWh'!O21</f>
        <v>0.88931530572646778</v>
      </c>
      <c r="N18" s="165">
        <f>N17+'Forbruk MWh'!O34</f>
        <v>0.91275658977806273</v>
      </c>
      <c r="O18" s="165">
        <f>O17+'Forbruk MWh'!O47</f>
        <v>0.90556032966170119</v>
      </c>
      <c r="P18" s="165">
        <f>P17+'Forbruk MWh'!O60</f>
        <v>0.86974425256182686</v>
      </c>
    </row>
    <row r="19" spans="1:16" x14ac:dyDescent="0.25">
      <c r="A19" s="100">
        <v>2020</v>
      </c>
      <c r="B19" s="34">
        <v>998197</v>
      </c>
      <c r="C19" s="34">
        <v>81607</v>
      </c>
      <c r="D19" s="34">
        <v>496848</v>
      </c>
      <c r="E19" s="34">
        <v>8505502</v>
      </c>
      <c r="F19" s="34">
        <v>590032</v>
      </c>
      <c r="G19" s="34">
        <v>0</v>
      </c>
      <c r="H19" s="34">
        <f>SUM(B19:G19)</f>
        <v>10672186</v>
      </c>
      <c r="I19" s="34">
        <f>SUM(C19:G19)</f>
        <v>9673989</v>
      </c>
      <c r="J19" s="16"/>
      <c r="K19" s="100">
        <v>2025</v>
      </c>
      <c r="L19" s="25">
        <f>L18+'Forbruk MWh'!O9</f>
        <v>0.90638280350957579</v>
      </c>
      <c r="M19" s="25">
        <f>M18+'Forbruk MWh'!O22</f>
        <v>0.83882100836607321</v>
      </c>
      <c r="N19" s="25">
        <f>N18+'Forbruk MWh'!O35</f>
        <v>0.91274586058031892</v>
      </c>
      <c r="O19" s="25">
        <f>O18+'Forbruk MWh'!O48</f>
        <v>0.888252463887655</v>
      </c>
      <c r="P19" s="25">
        <f>P18+'Forbruk MWh'!O61</f>
        <v>0.86308180746218932</v>
      </c>
    </row>
    <row r="20" spans="1:16" x14ac:dyDescent="0.25">
      <c r="A20" s="103">
        <v>2021</v>
      </c>
      <c r="B20" s="64">
        <v>1266499</v>
      </c>
      <c r="C20" s="64">
        <v>101684</v>
      </c>
      <c r="D20" s="64">
        <v>655065</v>
      </c>
      <c r="E20" s="64">
        <v>9207863</v>
      </c>
      <c r="F20" s="64">
        <v>672741</v>
      </c>
      <c r="G20" s="64">
        <v>0</v>
      </c>
      <c r="H20" s="64">
        <f>SUM(B20:G20)</f>
        <v>11903852</v>
      </c>
      <c r="I20" s="64">
        <f>SUM(C20:G20)</f>
        <v>10637353</v>
      </c>
      <c r="J20" s="16"/>
      <c r="K20" s="103">
        <v>2026</v>
      </c>
      <c r="L20" s="164">
        <f>L19+'Forbruk MWh'!O10</f>
        <v>0.90443096829761116</v>
      </c>
      <c r="M20" s="164">
        <f>M19+'Forbruk MWh'!O23</f>
        <v>0.80327995844659428</v>
      </c>
      <c r="N20" s="165">
        <f>N19+'Forbruk MWh'!O36</f>
        <v>0.89738177899994087</v>
      </c>
      <c r="O20" s="165">
        <f>O19+'Forbruk MWh'!O49</f>
        <v>0.86988708814214055</v>
      </c>
      <c r="P20" s="165">
        <f>P19+'Forbruk MWh'!O62</f>
        <v>0.82594775421456257</v>
      </c>
    </row>
    <row r="21" spans="1:16" x14ac:dyDescent="0.25">
      <c r="A21" s="100">
        <v>2022</v>
      </c>
      <c r="B21" s="34">
        <v>90376</v>
      </c>
      <c r="C21" s="34">
        <v>128054</v>
      </c>
      <c r="D21" s="166">
        <v>1012500</v>
      </c>
      <c r="E21" s="34">
        <v>7792994</v>
      </c>
      <c r="F21" s="34">
        <v>539990</v>
      </c>
      <c r="G21" s="34">
        <v>3</v>
      </c>
      <c r="H21" s="34">
        <f>SUM(B21:G21)</f>
        <v>9563917</v>
      </c>
      <c r="I21" s="34">
        <f>SUM(C21:G21)</f>
        <v>9473541</v>
      </c>
      <c r="J21" s="16"/>
      <c r="K21" s="100">
        <v>2027</v>
      </c>
      <c r="L21" s="25">
        <f>L20+'Forbruk MWh'!O11</f>
        <v>0.90023516909245493</v>
      </c>
      <c r="M21" s="25">
        <f>M20+'Forbruk MWh'!O24</f>
        <v>0.78228721665989076</v>
      </c>
      <c r="N21" s="25">
        <f>N20+'Forbruk MWh'!O37</f>
        <v>0.87536114589394487</v>
      </c>
      <c r="O21" s="25">
        <f>O20+'Forbruk MWh'!O50</f>
        <v>0.84610115373454398</v>
      </c>
      <c r="P21" s="25">
        <f>P20+'Forbruk MWh'!O63</f>
        <v>0.80131895215608506</v>
      </c>
    </row>
    <row r="22" spans="1:16" x14ac:dyDescent="0.25">
      <c r="J22" s="16"/>
      <c r="K22" s="103">
        <v>2028</v>
      </c>
      <c r="L22" s="164">
        <f>L21+'Forbruk MWh'!O12</f>
        <v>0.89734191755052639</v>
      </c>
      <c r="M22" s="164">
        <f>M21+'Forbruk MWh'!O25</f>
        <v>0.76971410615568392</v>
      </c>
      <c r="N22" s="165">
        <f>N21+'Forbruk MWh'!O38</f>
        <v>0.86465348191824831</v>
      </c>
      <c r="O22" s="165">
        <f>O21+'Forbruk MWh'!O51</f>
        <v>0.82368677281547475</v>
      </c>
      <c r="P22" s="165">
        <f>P21+'Forbruk MWh'!O64</f>
        <v>0.78328768838515261</v>
      </c>
    </row>
    <row r="23" spans="1:16" ht="15.75" thickBot="1" x14ac:dyDescent="0.3">
      <c r="A23" s="53"/>
      <c r="B23" s="178" t="s">
        <v>177</v>
      </c>
      <c r="C23" s="179"/>
      <c r="D23" s="179"/>
      <c r="E23" s="179"/>
      <c r="F23" s="179"/>
      <c r="G23" s="179"/>
      <c r="H23" s="179"/>
      <c r="K23" s="100">
        <v>2029</v>
      </c>
      <c r="L23" s="25">
        <f>L22+'Forbruk MWh'!O13</f>
        <v>0.8961276932501383</v>
      </c>
      <c r="M23" s="25">
        <f>M22+'Forbruk MWh'!O26</f>
        <v>0.73626315067557158</v>
      </c>
      <c r="N23" s="25">
        <f>N22+'Forbruk MWh'!O39</f>
        <v>0.85979705886414137</v>
      </c>
      <c r="O23" s="25">
        <f>O22+'Forbruk MWh'!O52</f>
        <v>0.76939370591793377</v>
      </c>
      <c r="P23" s="25">
        <f>P22+'Forbruk MWh'!O65</f>
        <v>0.76957531982796046</v>
      </c>
    </row>
    <row r="24" spans="1:16" ht="15.75" thickBot="1" x14ac:dyDescent="0.3">
      <c r="A24" s="63"/>
      <c r="B24" s="50" t="s">
        <v>91</v>
      </c>
      <c r="C24" s="50" t="s">
        <v>99</v>
      </c>
      <c r="D24" s="50" t="s">
        <v>100</v>
      </c>
      <c r="E24" s="50" t="s">
        <v>94</v>
      </c>
      <c r="F24" s="50" t="s">
        <v>96</v>
      </c>
      <c r="G24" s="50" t="s">
        <v>101</v>
      </c>
      <c r="H24" s="50" t="s">
        <v>95</v>
      </c>
      <c r="K24" s="103">
        <v>2030</v>
      </c>
      <c r="L24" s="164">
        <f>L23+'Forbruk MWh'!O14</f>
        <v>0.89492950066397647</v>
      </c>
      <c r="M24" s="164">
        <f>M23+'Forbruk MWh'!O27</f>
        <v>0.70426546729426276</v>
      </c>
      <c r="N24" s="165">
        <f>N23+'Forbruk MWh'!O40</f>
        <v>0.85501957065867762</v>
      </c>
      <c r="O24" s="165">
        <f>O23+'Forbruk MWh'!O53</f>
        <v>0.71848318488193952</v>
      </c>
      <c r="P24" s="165">
        <f>P23+'Forbruk MWh'!O66</f>
        <v>0.75620774862058848</v>
      </c>
    </row>
    <row r="25" spans="1:16" x14ac:dyDescent="0.25">
      <c r="A25" s="100">
        <v>2018</v>
      </c>
      <c r="B25" s="34">
        <v>264154</v>
      </c>
      <c r="C25" s="34">
        <v>11655899</v>
      </c>
      <c r="D25" s="34">
        <v>1275013</v>
      </c>
      <c r="E25" s="34">
        <v>549107</v>
      </c>
      <c r="F25" s="34">
        <v>1624618</v>
      </c>
      <c r="G25" s="34">
        <v>6736158</v>
      </c>
      <c r="H25" s="34">
        <f>SUM(C25:G25)</f>
        <v>21840795</v>
      </c>
      <c r="L25" s="25"/>
      <c r="M25" s="25"/>
      <c r="N25" s="25"/>
      <c r="O25" s="25"/>
      <c r="P25" s="25"/>
    </row>
    <row r="26" spans="1:16" x14ac:dyDescent="0.25">
      <c r="A26" s="103">
        <v>2019</v>
      </c>
      <c r="B26" s="64">
        <v>222158</v>
      </c>
      <c r="C26" s="64">
        <v>12097698</v>
      </c>
      <c r="D26" s="64">
        <v>1323745</v>
      </c>
      <c r="E26" s="64">
        <v>567823</v>
      </c>
      <c r="F26" s="64">
        <v>1751830</v>
      </c>
      <c r="G26" s="64">
        <v>6917839</v>
      </c>
      <c r="H26" s="64">
        <f>SUM(C26:G26)</f>
        <v>22658935</v>
      </c>
    </row>
    <row r="27" spans="1:16" x14ac:dyDescent="0.25">
      <c r="A27" s="100">
        <v>2020</v>
      </c>
      <c r="B27" s="34">
        <v>191388</v>
      </c>
      <c r="C27" s="34">
        <v>12087728</v>
      </c>
      <c r="D27" s="34">
        <v>1374685</v>
      </c>
      <c r="E27" s="34">
        <v>557008</v>
      </c>
      <c r="F27" s="34">
        <v>1747888</v>
      </c>
      <c r="G27" s="34">
        <v>6647858</v>
      </c>
      <c r="H27" s="34">
        <f>SUM(C27:G27)</f>
        <v>22415167</v>
      </c>
    </row>
    <row r="28" spans="1:16" x14ac:dyDescent="0.25">
      <c r="A28" s="103">
        <v>2021</v>
      </c>
      <c r="B28" s="64">
        <v>266609</v>
      </c>
      <c r="C28" s="64">
        <v>11902735</v>
      </c>
      <c r="D28" s="64">
        <v>1429227</v>
      </c>
      <c r="E28" s="64">
        <v>551815</v>
      </c>
      <c r="F28" s="64">
        <v>1710601</v>
      </c>
      <c r="G28" s="64">
        <v>6683415</v>
      </c>
      <c r="H28" s="64">
        <f>SUM(C28:G28)</f>
        <v>22277793</v>
      </c>
      <c r="J28" s="16"/>
    </row>
    <row r="29" spans="1:16" ht="15.75" thickBot="1" x14ac:dyDescent="0.3">
      <c r="A29" s="63">
        <v>2022</v>
      </c>
      <c r="B29" s="51">
        <v>194561</v>
      </c>
      <c r="C29" s="51">
        <v>11922197</v>
      </c>
      <c r="D29" s="51">
        <v>1357610</v>
      </c>
      <c r="E29" s="51">
        <v>540985</v>
      </c>
      <c r="F29" s="51">
        <v>2032345</v>
      </c>
      <c r="G29" s="51">
        <v>6754334</v>
      </c>
      <c r="H29" s="51">
        <f>SUM(C29:G29)</f>
        <v>22607471</v>
      </c>
    </row>
    <row r="30" spans="1:16" x14ac:dyDescent="0.25">
      <c r="A30" s="100" t="s">
        <v>145</v>
      </c>
      <c r="B30" s="34">
        <f>AVERAGE(B25:B29)</f>
        <v>227774</v>
      </c>
      <c r="C30" s="34"/>
      <c r="D30" s="34"/>
      <c r="E30" s="34"/>
      <c r="F30" s="34"/>
      <c r="G30" s="34"/>
      <c r="H30" s="34"/>
    </row>
    <row r="32" spans="1:16" ht="15.75" thickBot="1" x14ac:dyDescent="0.3">
      <c r="B32" s="179" t="s">
        <v>126</v>
      </c>
      <c r="C32" s="179"/>
      <c r="D32" s="179"/>
      <c r="E32" s="179"/>
      <c r="F32" s="179"/>
    </row>
    <row r="33" spans="1:6" ht="15.75" thickBot="1" x14ac:dyDescent="0.3">
      <c r="A33" s="59"/>
      <c r="B33" s="83" t="s">
        <v>4</v>
      </c>
      <c r="C33" s="83" t="s">
        <v>5</v>
      </c>
      <c r="D33" s="83" t="s">
        <v>6</v>
      </c>
      <c r="E33" s="83" t="s">
        <v>7</v>
      </c>
      <c r="F33" s="83" t="s">
        <v>8</v>
      </c>
    </row>
    <row r="34" spans="1:6" x14ac:dyDescent="0.25">
      <c r="A34" s="100">
        <v>2023</v>
      </c>
      <c r="B34" s="14">
        <f>$B$30*Fordelingsnøkler!$B$21</f>
        <v>17473.651994030773</v>
      </c>
      <c r="C34" s="14">
        <f>$B$30*Fordelingsnøkler!$C$21</f>
        <v>31894.823288809166</v>
      </c>
      <c r="D34" s="14">
        <f>$B$30*Fordelingsnøkler!$D$21</f>
        <v>71894.87865266006</v>
      </c>
      <c r="E34" s="14">
        <f>$B$30*Fordelingsnøkler!$E$21</f>
        <v>43823.777209606633</v>
      </c>
      <c r="F34" s="14">
        <f>$B$30*Fordelingsnøkler!$F$21</f>
        <v>62686.868854893371</v>
      </c>
    </row>
    <row r="35" spans="1:6" x14ac:dyDescent="0.25">
      <c r="A35" s="103">
        <v>2024</v>
      </c>
      <c r="B35" s="62">
        <f>$B$30*Fordelingsnøkler!$B$21</f>
        <v>17473.651994030773</v>
      </c>
      <c r="C35" s="62">
        <f>$B$30*Fordelingsnøkler!$C$21</f>
        <v>31894.823288809166</v>
      </c>
      <c r="D35" s="62">
        <f>$B$30*Fordelingsnøkler!$D$21</f>
        <v>71894.87865266006</v>
      </c>
      <c r="E35" s="62">
        <f>$B$30*Fordelingsnøkler!$E$21</f>
        <v>43823.777209606633</v>
      </c>
      <c r="F35" s="62">
        <f>$B$30*Fordelingsnøkler!$F$21</f>
        <v>62686.868854893371</v>
      </c>
    </row>
    <row r="36" spans="1:6" x14ac:dyDescent="0.25">
      <c r="A36" s="100">
        <v>2025</v>
      </c>
      <c r="B36" s="14">
        <f>$B$30*Fordelingsnøkler!$B$21</f>
        <v>17473.651994030773</v>
      </c>
      <c r="C36" s="14">
        <f>$B$30*Fordelingsnøkler!$C$21</f>
        <v>31894.823288809166</v>
      </c>
      <c r="D36" s="14">
        <f>$B$30*Fordelingsnøkler!$D$21</f>
        <v>71894.87865266006</v>
      </c>
      <c r="E36" s="14">
        <f>$B$30*Fordelingsnøkler!$E$21</f>
        <v>43823.777209606633</v>
      </c>
      <c r="F36" s="14">
        <f>$B$30*Fordelingsnøkler!$F$21</f>
        <v>62686.868854893371</v>
      </c>
    </row>
    <row r="37" spans="1:6" x14ac:dyDescent="0.25">
      <c r="A37" s="103">
        <v>2026</v>
      </c>
      <c r="B37" s="62">
        <f>$B$30*Fordelingsnøkler!$B$21</f>
        <v>17473.651994030773</v>
      </c>
      <c r="C37" s="62">
        <f>$B$30*Fordelingsnøkler!$C$21</f>
        <v>31894.823288809166</v>
      </c>
      <c r="D37" s="62">
        <f>$B$30*Fordelingsnøkler!$D$21</f>
        <v>71894.87865266006</v>
      </c>
      <c r="E37" s="62">
        <f>$B$30*Fordelingsnøkler!$E$21</f>
        <v>43823.777209606633</v>
      </c>
      <c r="F37" s="62">
        <f>$B$30*Fordelingsnøkler!$F$21</f>
        <v>62686.868854893371</v>
      </c>
    </row>
    <row r="38" spans="1:6" x14ac:dyDescent="0.25">
      <c r="A38" s="100">
        <v>2027</v>
      </c>
      <c r="B38" s="14">
        <f>$B$30*Fordelingsnøkler!$B$21</f>
        <v>17473.651994030773</v>
      </c>
      <c r="C38" s="14">
        <f>$B$30*Fordelingsnøkler!$C$21</f>
        <v>31894.823288809166</v>
      </c>
      <c r="D38" s="14">
        <f>$B$30*Fordelingsnøkler!$D$21</f>
        <v>71894.87865266006</v>
      </c>
      <c r="E38" s="14">
        <f>$B$30*Fordelingsnøkler!$E$21</f>
        <v>43823.777209606633</v>
      </c>
      <c r="F38" s="14">
        <f>$B$30*Fordelingsnøkler!$F$21</f>
        <v>62686.868854893371</v>
      </c>
    </row>
    <row r="39" spans="1:6" x14ac:dyDescent="0.25">
      <c r="A39" s="103">
        <v>2028</v>
      </c>
      <c r="B39" s="62">
        <f>$B$30*Fordelingsnøkler!$B$21</f>
        <v>17473.651994030773</v>
      </c>
      <c r="C39" s="62">
        <f>$B$30*Fordelingsnøkler!$C$21</f>
        <v>31894.823288809166</v>
      </c>
      <c r="D39" s="62">
        <f>$B$30*Fordelingsnøkler!$D$21</f>
        <v>71894.87865266006</v>
      </c>
      <c r="E39" s="62">
        <f>$B$30*Fordelingsnøkler!$E$21</f>
        <v>43823.777209606633</v>
      </c>
      <c r="F39" s="62">
        <f>$B$30*Fordelingsnøkler!$F$21</f>
        <v>62686.868854893371</v>
      </c>
    </row>
    <row r="40" spans="1:6" x14ac:dyDescent="0.25">
      <c r="A40" s="100">
        <v>2029</v>
      </c>
      <c r="B40" s="14">
        <f>$B$30*Fordelingsnøkler!$B$21</f>
        <v>17473.651994030773</v>
      </c>
      <c r="C40" s="14">
        <f>$B$30*Fordelingsnøkler!$C$21</f>
        <v>31894.823288809166</v>
      </c>
      <c r="D40" s="14">
        <f>$B$30*Fordelingsnøkler!$D$21</f>
        <v>71894.87865266006</v>
      </c>
      <c r="E40" s="14">
        <f>$B$30*Fordelingsnøkler!$E$21</f>
        <v>43823.777209606633</v>
      </c>
      <c r="F40" s="14">
        <f>$B$30*Fordelingsnøkler!$F$21</f>
        <v>62686.868854893371</v>
      </c>
    </row>
    <row r="41" spans="1:6" x14ac:dyDescent="0.25">
      <c r="A41" s="103">
        <v>2030</v>
      </c>
      <c r="B41" s="62">
        <f>$B$30*Fordelingsnøkler!$B$21</f>
        <v>17473.651994030773</v>
      </c>
      <c r="C41" s="62">
        <f>$B$30*Fordelingsnøkler!$C$21</f>
        <v>31894.823288809166</v>
      </c>
      <c r="D41" s="62">
        <f>$B$30*Fordelingsnøkler!$D$21</f>
        <v>71894.87865266006</v>
      </c>
      <c r="E41" s="62">
        <f>$B$30*Fordelingsnøkler!$E$21</f>
        <v>43823.777209606633</v>
      </c>
      <c r="F41" s="62">
        <f>$B$30*Fordelingsnøkler!$F$21</f>
        <v>62686.868854893371</v>
      </c>
    </row>
    <row r="42" spans="1:6" x14ac:dyDescent="0.25">
      <c r="D42" s="39"/>
    </row>
    <row r="43" spans="1:6" x14ac:dyDescent="0.25">
      <c r="D43" s="39"/>
    </row>
  </sheetData>
  <mergeCells count="7">
    <mergeCell ref="A2:D2"/>
    <mergeCell ref="B23:H23"/>
    <mergeCell ref="B32:F32"/>
    <mergeCell ref="L15:P15"/>
    <mergeCell ref="B5:F5"/>
    <mergeCell ref="B15:I15"/>
    <mergeCell ref="J5:K5"/>
  </mergeCells>
  <hyperlinks>
    <hyperlink ref="A1" location="Introduksjon!A1" display="Tilbake til introduksjon" xr:uid="{DD90AC3F-3139-44DF-A692-8D06A78E0378}"/>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F9AE-D5F1-4904-A38C-9BECA2BF22E3}">
  <dimension ref="A1:AD70"/>
  <sheetViews>
    <sheetView workbookViewId="0">
      <selection activeCell="M53" sqref="M53"/>
    </sheetView>
  </sheetViews>
  <sheetFormatPr baseColWidth="10" defaultColWidth="11.42578125" defaultRowHeight="15" x14ac:dyDescent="0.25"/>
  <cols>
    <col min="1" max="1" width="21.85546875" style="9" bestFit="1" customWidth="1"/>
    <col min="2" max="2" width="17.140625" style="9" bestFit="1" customWidth="1"/>
    <col min="3" max="3" width="11.42578125" style="9"/>
    <col min="4" max="4" width="12.85546875" style="9" bestFit="1" customWidth="1"/>
    <col min="5" max="5" width="12.140625" style="9" bestFit="1" customWidth="1"/>
    <col min="6" max="7" width="11.42578125" style="9"/>
    <col min="8" max="8" width="18.5703125" style="9" bestFit="1" customWidth="1"/>
    <col min="9" max="11" width="11.42578125" style="9"/>
    <col min="12" max="12" width="12.140625" style="9" bestFit="1" customWidth="1"/>
    <col min="13" max="14" width="11.42578125" style="9"/>
    <col min="15" max="15" width="18.140625" style="9" bestFit="1" customWidth="1"/>
    <col min="16" max="16" width="37.140625" style="9" bestFit="1" customWidth="1"/>
    <col min="17" max="16384" width="11.42578125" style="9"/>
  </cols>
  <sheetData>
    <row r="1" spans="1:30" x14ac:dyDescent="0.25">
      <c r="A1" s="45" t="s">
        <v>170</v>
      </c>
    </row>
    <row r="2" spans="1:30" ht="18.75" x14ac:dyDescent="0.3">
      <c r="A2" s="175" t="s">
        <v>102</v>
      </c>
      <c r="B2" s="176"/>
      <c r="C2" s="176"/>
      <c r="D2" s="177"/>
    </row>
    <row r="4" spans="1:30" ht="15.75" thickBot="1" x14ac:dyDescent="0.3">
      <c r="A4" s="99"/>
      <c r="B4" s="179" t="s">
        <v>103</v>
      </c>
      <c r="C4" s="179"/>
      <c r="D4" s="179"/>
      <c r="F4" s="99"/>
      <c r="G4" s="179" t="s">
        <v>181</v>
      </c>
      <c r="H4" s="179"/>
      <c r="I4" s="179"/>
      <c r="J4" s="179"/>
    </row>
    <row r="5" spans="1:30" ht="15.75" thickBot="1" x14ac:dyDescent="0.3">
      <c r="A5" s="130"/>
      <c r="B5" s="61" t="s">
        <v>56</v>
      </c>
      <c r="C5" s="61" t="s">
        <v>57</v>
      </c>
      <c r="D5" s="61" t="s">
        <v>104</v>
      </c>
      <c r="F5" s="54" t="s">
        <v>182</v>
      </c>
      <c r="G5" s="193">
        <v>280000</v>
      </c>
      <c r="H5" s="193"/>
      <c r="I5" s="193"/>
      <c r="J5" s="193"/>
    </row>
    <row r="6" spans="1:30" x14ac:dyDescent="0.25">
      <c r="A6" s="100">
        <v>2020</v>
      </c>
      <c r="B6" s="34">
        <v>172221</v>
      </c>
      <c r="C6" s="34">
        <v>647</v>
      </c>
      <c r="D6" s="34">
        <v>74</v>
      </c>
    </row>
    <row r="7" spans="1:30" x14ac:dyDescent="0.25">
      <c r="A7" s="103">
        <v>2021</v>
      </c>
      <c r="B7" s="64">
        <v>177167</v>
      </c>
      <c r="C7" s="64">
        <v>590</v>
      </c>
      <c r="D7" s="64">
        <v>161</v>
      </c>
      <c r="N7" s="35"/>
    </row>
    <row r="8" spans="1:30" ht="15.75" thickBot="1" x14ac:dyDescent="0.3">
      <c r="A8" s="63">
        <v>2022</v>
      </c>
      <c r="B8" s="51">
        <v>181507</v>
      </c>
      <c r="C8" s="51">
        <v>707</v>
      </c>
      <c r="D8" s="51">
        <v>634</v>
      </c>
      <c r="N8" s="35"/>
    </row>
    <row r="9" spans="1:30" x14ac:dyDescent="0.25">
      <c r="A9" s="54" t="s">
        <v>73</v>
      </c>
      <c r="B9" s="34">
        <f>AVERAGE(B6:B8)</f>
        <v>176965</v>
      </c>
      <c r="C9" s="34">
        <f>AVERAGE(C6:C8)</f>
        <v>648</v>
      </c>
      <c r="D9" s="34">
        <f>AVERAGE(D6:D8)</f>
        <v>289.66666666666669</v>
      </c>
      <c r="G9" s="40"/>
      <c r="N9" s="35"/>
    </row>
    <row r="10" spans="1:30" x14ac:dyDescent="0.25">
      <c r="A10" s="55" t="s">
        <v>105</v>
      </c>
      <c r="B10" s="136">
        <f>B9/SUM($B$9:$D$9)</f>
        <v>0.9947293276473278</v>
      </c>
      <c r="C10" s="136">
        <f>C9/SUM($B$9:$D$9)</f>
        <v>3.6424411850674901E-3</v>
      </c>
      <c r="D10" s="136">
        <f>D9/SUM($B$9:$D$9)</f>
        <v>1.6282311676047579E-3</v>
      </c>
      <c r="N10" s="35"/>
      <c r="Z10" s="41"/>
      <c r="AA10" s="41"/>
      <c r="AB10" s="41"/>
      <c r="AC10" s="41"/>
      <c r="AD10" s="41"/>
    </row>
    <row r="11" spans="1:30" x14ac:dyDescent="0.25">
      <c r="B11" s="37"/>
      <c r="C11" s="37"/>
    </row>
    <row r="13" spans="1:30" ht="15.75" thickBot="1" x14ac:dyDescent="0.3">
      <c r="A13" s="53" t="s">
        <v>10</v>
      </c>
      <c r="B13" s="179" t="s">
        <v>178</v>
      </c>
      <c r="C13" s="179"/>
      <c r="D13" s="179"/>
      <c r="E13" s="179"/>
      <c r="F13" s="179"/>
      <c r="H13" s="53" t="s">
        <v>12</v>
      </c>
      <c r="I13" s="179" t="s">
        <v>179</v>
      </c>
      <c r="J13" s="179"/>
      <c r="K13" s="179"/>
      <c r="L13" s="179"/>
      <c r="M13" s="179"/>
    </row>
    <row r="14" spans="1:30" ht="15.75" thickBot="1" x14ac:dyDescent="0.3">
      <c r="A14" s="59"/>
      <c r="B14" s="28" t="s">
        <v>4</v>
      </c>
      <c r="C14" s="28" t="s">
        <v>5</v>
      </c>
      <c r="D14" s="28" t="s">
        <v>6</v>
      </c>
      <c r="E14" s="28" t="s">
        <v>7</v>
      </c>
      <c r="F14" s="28" t="s">
        <v>8</v>
      </c>
      <c r="H14" s="59"/>
      <c r="I14" s="61" t="s">
        <v>4</v>
      </c>
      <c r="J14" s="61" t="s">
        <v>5</v>
      </c>
      <c r="K14" s="61" t="s">
        <v>6</v>
      </c>
      <c r="L14" s="61" t="s">
        <v>7</v>
      </c>
      <c r="M14" s="61" t="s">
        <v>8</v>
      </c>
    </row>
    <row r="15" spans="1:30" x14ac:dyDescent="0.25">
      <c r="A15" s="100">
        <v>2020</v>
      </c>
      <c r="B15" s="36">
        <v>63643</v>
      </c>
      <c r="C15" s="36">
        <v>46557</v>
      </c>
      <c r="D15" s="36">
        <v>27503</v>
      </c>
      <c r="E15" s="36">
        <v>18252</v>
      </c>
      <c r="F15" s="36">
        <v>16266</v>
      </c>
      <c r="H15" s="100">
        <v>2020</v>
      </c>
      <c r="I15" s="36">
        <v>0</v>
      </c>
      <c r="J15" s="36">
        <v>528</v>
      </c>
      <c r="K15" s="36">
        <v>25</v>
      </c>
      <c r="L15" s="36">
        <v>26</v>
      </c>
      <c r="M15" s="36">
        <v>68</v>
      </c>
    </row>
    <row r="16" spans="1:30" x14ac:dyDescent="0.25">
      <c r="A16" s="103">
        <v>2021</v>
      </c>
      <c r="B16" s="157">
        <v>64704</v>
      </c>
      <c r="C16" s="157">
        <v>47694</v>
      </c>
      <c r="D16" s="157">
        <v>27316</v>
      </c>
      <c r="E16" s="157">
        <v>18641</v>
      </c>
      <c r="F16" s="157">
        <v>18812</v>
      </c>
      <c r="H16" s="103">
        <v>2021</v>
      </c>
      <c r="I16" s="157">
        <v>0</v>
      </c>
      <c r="J16" s="157">
        <v>127</v>
      </c>
      <c r="K16" s="157">
        <v>361</v>
      </c>
      <c r="L16" s="157">
        <v>51</v>
      </c>
      <c r="M16" s="157">
        <v>51</v>
      </c>
    </row>
    <row r="17" spans="1:16" ht="15.75" thickBot="1" x14ac:dyDescent="0.3">
      <c r="A17" s="63">
        <v>2022</v>
      </c>
      <c r="B17" s="156">
        <v>65703</v>
      </c>
      <c r="C17" s="156">
        <v>49548</v>
      </c>
      <c r="D17" s="156">
        <v>28883</v>
      </c>
      <c r="E17" s="156">
        <v>18646</v>
      </c>
      <c r="F17" s="156">
        <v>18727</v>
      </c>
      <c r="H17" s="63">
        <v>2022</v>
      </c>
      <c r="I17" s="156">
        <v>0</v>
      </c>
      <c r="J17" s="156">
        <v>264</v>
      </c>
      <c r="K17" s="156">
        <v>176</v>
      </c>
      <c r="L17" s="156">
        <v>51</v>
      </c>
      <c r="M17" s="156">
        <v>216</v>
      </c>
    </row>
    <row r="18" spans="1:16" x14ac:dyDescent="0.25">
      <c r="A18" s="54" t="s">
        <v>73</v>
      </c>
      <c r="B18" s="36">
        <f>SUM(B15:B17)</f>
        <v>194050</v>
      </c>
      <c r="C18" s="36">
        <f>SUM(C15:C17)</f>
        <v>143799</v>
      </c>
      <c r="D18" s="36">
        <f>SUM(D15:D17)</f>
        <v>83702</v>
      </c>
      <c r="E18" s="36">
        <f>SUM(E15:E17)</f>
        <v>55539</v>
      </c>
      <c r="F18" s="36">
        <f>SUM(F15:F17)</f>
        <v>53805</v>
      </c>
      <c r="H18" s="54" t="s">
        <v>73</v>
      </c>
      <c r="I18" s="36">
        <f>SUM(I15:I17)</f>
        <v>0</v>
      </c>
      <c r="J18" s="36">
        <f>SUM(J15:J17)</f>
        <v>919</v>
      </c>
      <c r="K18" s="36">
        <f>SUM(K15:K17)</f>
        <v>562</v>
      </c>
      <c r="L18" s="36">
        <f>SUM(L15:L17)</f>
        <v>128</v>
      </c>
      <c r="M18" s="36">
        <f>SUM(M15:M17)</f>
        <v>335</v>
      </c>
    </row>
    <row r="19" spans="1:16" x14ac:dyDescent="0.25">
      <c r="A19" s="55" t="s">
        <v>105</v>
      </c>
      <c r="B19" s="75">
        <f>B18/SUM($B$18:$F$18)</f>
        <v>0.3655148381506701</v>
      </c>
      <c r="C19" s="75">
        <f>C18/SUM($B$18:$F$18)</f>
        <v>0.2708614697821603</v>
      </c>
      <c r="D19" s="75">
        <f>D18/SUM($B$18:$F$18)</f>
        <v>0.15766206123621432</v>
      </c>
      <c r="E19" s="75">
        <f>E18/SUM($B$18:$F$18)</f>
        <v>0.10461390670471563</v>
      </c>
      <c r="F19" s="75">
        <f>F18/SUM($B$18:$F$18)</f>
        <v>0.10134772412623966</v>
      </c>
      <c r="H19" s="55" t="s">
        <v>105</v>
      </c>
      <c r="I19" s="75">
        <f>I18/SUM($I$18:$M$18)</f>
        <v>0</v>
      </c>
      <c r="J19" s="75">
        <f>J18/SUM($I$18:$M$18)</f>
        <v>0.47273662551440332</v>
      </c>
      <c r="K19" s="75">
        <f>K18/SUM($I$18:$M$18)</f>
        <v>0.28909465020576131</v>
      </c>
      <c r="L19" s="75">
        <f>L18/SUM($I$18:$M$18)</f>
        <v>6.584362139917696E-2</v>
      </c>
      <c r="M19" s="75">
        <f>M18/SUM($I$18:$M$18)</f>
        <v>0.17232510288065844</v>
      </c>
    </row>
    <row r="22" spans="1:16" x14ac:dyDescent="0.25">
      <c r="A22" s="41"/>
      <c r="B22" s="41"/>
      <c r="C22" s="41"/>
      <c r="D22" s="41"/>
      <c r="E22" s="41"/>
    </row>
    <row r="23" spans="1:16" ht="15.75" thickBot="1" x14ac:dyDescent="0.3">
      <c r="A23" s="53" t="s">
        <v>10</v>
      </c>
      <c r="B23" s="179" t="s">
        <v>180</v>
      </c>
      <c r="C23" s="179"/>
      <c r="D23" s="179"/>
      <c r="E23" s="179"/>
      <c r="F23" s="179"/>
      <c r="H23" s="53" t="s">
        <v>12</v>
      </c>
      <c r="I23" s="179" t="s">
        <v>106</v>
      </c>
      <c r="J23" s="179"/>
      <c r="K23" s="179"/>
      <c r="L23" s="179"/>
      <c r="M23" s="179"/>
    </row>
    <row r="24" spans="1:16" ht="15.75" thickBot="1" x14ac:dyDescent="0.3">
      <c r="A24" s="59"/>
      <c r="B24" s="28" t="s">
        <v>4</v>
      </c>
      <c r="C24" s="28" t="s">
        <v>5</v>
      </c>
      <c r="D24" s="28" t="s">
        <v>6</v>
      </c>
      <c r="E24" s="28" t="s">
        <v>7</v>
      </c>
      <c r="F24" s="28" t="s">
        <v>8</v>
      </c>
      <c r="H24" s="59"/>
      <c r="I24" s="28" t="s">
        <v>4</v>
      </c>
      <c r="J24" s="28" t="s">
        <v>5</v>
      </c>
      <c r="K24" s="28" t="s">
        <v>6</v>
      </c>
      <c r="L24" s="28" t="s">
        <v>7</v>
      </c>
      <c r="M24" s="28" t="s">
        <v>8</v>
      </c>
      <c r="O24" s="53" t="s">
        <v>48</v>
      </c>
      <c r="P24" s="49" t="s">
        <v>107</v>
      </c>
    </row>
    <row r="25" spans="1:16" x14ac:dyDescent="0.25">
      <c r="A25" s="100">
        <v>2023</v>
      </c>
      <c r="B25" s="36">
        <f t="shared" ref="B25:B32" si="0">$G$5*$B$10*$B$19</f>
        <v>101804.73217564663</v>
      </c>
      <c r="C25" s="36">
        <f t="shared" ref="C25:C32" si="1">$G$5*$B$10*$C$19</f>
        <v>75441.477362153091</v>
      </c>
      <c r="D25" s="36">
        <f t="shared" ref="D25:D32" si="2">$G$5*$B$10*$D$19</f>
        <v>43912.701327317569</v>
      </c>
      <c r="E25" s="36">
        <f t="shared" ref="E25:E32" si="3">$G$5*$B$10*$E$19</f>
        <v>29137.505902103778</v>
      </c>
      <c r="F25" s="36">
        <f t="shared" ref="F25:F32" si="4">$G$5*$B$10*$F$19</f>
        <v>28227.794974030749</v>
      </c>
      <c r="H25" s="100">
        <v>2023</v>
      </c>
      <c r="I25" s="36">
        <f t="shared" ref="I25:I32" si="5">$G$5*$C$10*$I$19</f>
        <v>0</v>
      </c>
      <c r="J25" s="36">
        <f t="shared" ref="J25:J32" si="6">$G$5*$C$10*$J$19</f>
        <v>482.1362992497771</v>
      </c>
      <c r="K25" s="36">
        <f t="shared" ref="K25:K32" si="7">$G$5*$C$10*$K$19</f>
        <v>294.84287288180053</v>
      </c>
      <c r="L25" s="36">
        <f t="shared" ref="L25:L32" si="8">$G$5*$C$10*$L$19</f>
        <v>67.152825140338919</v>
      </c>
      <c r="M25" s="36">
        <f t="shared" ref="M25:M32" si="9">$G$5*$C$10*$M$19</f>
        <v>175.75153454698076</v>
      </c>
      <c r="O25" s="100">
        <v>2023</v>
      </c>
      <c r="P25" s="36">
        <f t="shared" ref="P25:P32" si="10">$G$5*$D$10</f>
        <v>455.90472692933224</v>
      </c>
    </row>
    <row r="26" spans="1:16" x14ac:dyDescent="0.25">
      <c r="A26" s="103">
        <v>2024</v>
      </c>
      <c r="B26" s="157">
        <f t="shared" si="0"/>
        <v>101804.73217564663</v>
      </c>
      <c r="C26" s="157">
        <f t="shared" si="1"/>
        <v>75441.477362153091</v>
      </c>
      <c r="D26" s="157">
        <f t="shared" si="2"/>
        <v>43912.701327317569</v>
      </c>
      <c r="E26" s="157">
        <f t="shared" si="3"/>
        <v>29137.505902103778</v>
      </c>
      <c r="F26" s="157">
        <f t="shared" si="4"/>
        <v>28227.794974030749</v>
      </c>
      <c r="H26" s="103">
        <v>2024</v>
      </c>
      <c r="I26" s="157">
        <f t="shared" si="5"/>
        <v>0</v>
      </c>
      <c r="J26" s="157">
        <f t="shared" si="6"/>
        <v>482.1362992497771</v>
      </c>
      <c r="K26" s="157">
        <f t="shared" si="7"/>
        <v>294.84287288180053</v>
      </c>
      <c r="L26" s="157">
        <f t="shared" si="8"/>
        <v>67.152825140338919</v>
      </c>
      <c r="M26" s="157">
        <f t="shared" si="9"/>
        <v>175.75153454698076</v>
      </c>
      <c r="O26" s="103">
        <v>2024</v>
      </c>
      <c r="P26" s="157">
        <f t="shared" si="10"/>
        <v>455.90472692933224</v>
      </c>
    </row>
    <row r="27" spans="1:16" x14ac:dyDescent="0.25">
      <c r="A27" s="100">
        <v>2025</v>
      </c>
      <c r="B27" s="36">
        <f t="shared" si="0"/>
        <v>101804.73217564663</v>
      </c>
      <c r="C27" s="36">
        <f t="shared" si="1"/>
        <v>75441.477362153091</v>
      </c>
      <c r="D27" s="36">
        <f t="shared" si="2"/>
        <v>43912.701327317569</v>
      </c>
      <c r="E27" s="36">
        <f t="shared" si="3"/>
        <v>29137.505902103778</v>
      </c>
      <c r="F27" s="36">
        <f t="shared" si="4"/>
        <v>28227.794974030749</v>
      </c>
      <c r="H27" s="100">
        <v>2025</v>
      </c>
      <c r="I27" s="36">
        <f t="shared" si="5"/>
        <v>0</v>
      </c>
      <c r="J27" s="36">
        <f t="shared" si="6"/>
        <v>482.1362992497771</v>
      </c>
      <c r="K27" s="36">
        <f t="shared" si="7"/>
        <v>294.84287288180053</v>
      </c>
      <c r="L27" s="36">
        <f t="shared" si="8"/>
        <v>67.152825140338919</v>
      </c>
      <c r="M27" s="36">
        <f t="shared" si="9"/>
        <v>175.75153454698076</v>
      </c>
      <c r="O27" s="100">
        <v>2025</v>
      </c>
      <c r="P27" s="36">
        <f t="shared" si="10"/>
        <v>455.90472692933224</v>
      </c>
    </row>
    <row r="28" spans="1:16" x14ac:dyDescent="0.25">
      <c r="A28" s="103">
        <v>2026</v>
      </c>
      <c r="B28" s="157">
        <f t="shared" si="0"/>
        <v>101804.73217564663</v>
      </c>
      <c r="C28" s="157">
        <f t="shared" si="1"/>
        <v>75441.477362153091</v>
      </c>
      <c r="D28" s="157">
        <f t="shared" si="2"/>
        <v>43912.701327317569</v>
      </c>
      <c r="E28" s="157">
        <f t="shared" si="3"/>
        <v>29137.505902103778</v>
      </c>
      <c r="F28" s="157">
        <f t="shared" si="4"/>
        <v>28227.794974030749</v>
      </c>
      <c r="H28" s="103">
        <v>2026</v>
      </c>
      <c r="I28" s="157">
        <f t="shared" si="5"/>
        <v>0</v>
      </c>
      <c r="J28" s="157">
        <f t="shared" si="6"/>
        <v>482.1362992497771</v>
      </c>
      <c r="K28" s="157">
        <f t="shared" si="7"/>
        <v>294.84287288180053</v>
      </c>
      <c r="L28" s="157">
        <f t="shared" si="8"/>
        <v>67.152825140338919</v>
      </c>
      <c r="M28" s="157">
        <f t="shared" si="9"/>
        <v>175.75153454698076</v>
      </c>
      <c r="O28" s="103">
        <v>2026</v>
      </c>
      <c r="P28" s="157">
        <f t="shared" si="10"/>
        <v>455.90472692933224</v>
      </c>
    </row>
    <row r="29" spans="1:16" x14ac:dyDescent="0.25">
      <c r="A29" s="100">
        <v>2027</v>
      </c>
      <c r="B29" s="36">
        <f t="shared" si="0"/>
        <v>101804.73217564663</v>
      </c>
      <c r="C29" s="36">
        <f t="shared" si="1"/>
        <v>75441.477362153091</v>
      </c>
      <c r="D29" s="36">
        <f t="shared" si="2"/>
        <v>43912.701327317569</v>
      </c>
      <c r="E29" s="36">
        <f t="shared" si="3"/>
        <v>29137.505902103778</v>
      </c>
      <c r="F29" s="36">
        <f t="shared" si="4"/>
        <v>28227.794974030749</v>
      </c>
      <c r="H29" s="100">
        <v>2027</v>
      </c>
      <c r="I29" s="36">
        <f t="shared" si="5"/>
        <v>0</v>
      </c>
      <c r="J29" s="36">
        <f t="shared" si="6"/>
        <v>482.1362992497771</v>
      </c>
      <c r="K29" s="36">
        <f t="shared" si="7"/>
        <v>294.84287288180053</v>
      </c>
      <c r="L29" s="36">
        <f t="shared" si="8"/>
        <v>67.152825140338919</v>
      </c>
      <c r="M29" s="36">
        <f t="shared" si="9"/>
        <v>175.75153454698076</v>
      </c>
      <c r="O29" s="100">
        <v>2027</v>
      </c>
      <c r="P29" s="36">
        <f t="shared" si="10"/>
        <v>455.90472692933224</v>
      </c>
    </row>
    <row r="30" spans="1:16" x14ac:dyDescent="0.25">
      <c r="A30" s="103">
        <v>2028</v>
      </c>
      <c r="B30" s="157">
        <f t="shared" si="0"/>
        <v>101804.73217564663</v>
      </c>
      <c r="C30" s="157">
        <f t="shared" si="1"/>
        <v>75441.477362153091</v>
      </c>
      <c r="D30" s="157">
        <f t="shared" si="2"/>
        <v>43912.701327317569</v>
      </c>
      <c r="E30" s="157">
        <f t="shared" si="3"/>
        <v>29137.505902103778</v>
      </c>
      <c r="F30" s="157">
        <f t="shared" si="4"/>
        <v>28227.794974030749</v>
      </c>
      <c r="H30" s="103">
        <v>2028</v>
      </c>
      <c r="I30" s="157">
        <f t="shared" si="5"/>
        <v>0</v>
      </c>
      <c r="J30" s="157">
        <f t="shared" si="6"/>
        <v>482.1362992497771</v>
      </c>
      <c r="K30" s="157">
        <f t="shared" si="7"/>
        <v>294.84287288180053</v>
      </c>
      <c r="L30" s="157">
        <f t="shared" si="8"/>
        <v>67.152825140338919</v>
      </c>
      <c r="M30" s="157">
        <f t="shared" si="9"/>
        <v>175.75153454698076</v>
      </c>
      <c r="O30" s="103">
        <v>2028</v>
      </c>
      <c r="P30" s="157">
        <f t="shared" si="10"/>
        <v>455.90472692933224</v>
      </c>
    </row>
    <row r="31" spans="1:16" x14ac:dyDescent="0.25">
      <c r="A31" s="100">
        <v>2029</v>
      </c>
      <c r="B31" s="36">
        <f t="shared" si="0"/>
        <v>101804.73217564663</v>
      </c>
      <c r="C31" s="36">
        <f t="shared" si="1"/>
        <v>75441.477362153091</v>
      </c>
      <c r="D31" s="36">
        <f t="shared" si="2"/>
        <v>43912.701327317569</v>
      </c>
      <c r="E31" s="36">
        <f t="shared" si="3"/>
        <v>29137.505902103778</v>
      </c>
      <c r="F31" s="36">
        <f t="shared" si="4"/>
        <v>28227.794974030749</v>
      </c>
      <c r="H31" s="100">
        <v>2029</v>
      </c>
      <c r="I31" s="36">
        <f t="shared" si="5"/>
        <v>0</v>
      </c>
      <c r="J31" s="36">
        <f t="shared" si="6"/>
        <v>482.1362992497771</v>
      </c>
      <c r="K31" s="36">
        <f t="shared" si="7"/>
        <v>294.84287288180053</v>
      </c>
      <c r="L31" s="36">
        <f t="shared" si="8"/>
        <v>67.152825140338919</v>
      </c>
      <c r="M31" s="36">
        <f t="shared" si="9"/>
        <v>175.75153454698076</v>
      </c>
      <c r="O31" s="100">
        <v>2029</v>
      </c>
      <c r="P31" s="36">
        <f t="shared" si="10"/>
        <v>455.90472692933224</v>
      </c>
    </row>
    <row r="32" spans="1:16" x14ac:dyDescent="0.25">
      <c r="A32" s="103">
        <v>2030</v>
      </c>
      <c r="B32" s="157">
        <f t="shared" si="0"/>
        <v>101804.73217564663</v>
      </c>
      <c r="C32" s="157">
        <f t="shared" si="1"/>
        <v>75441.477362153091</v>
      </c>
      <c r="D32" s="157">
        <f t="shared" si="2"/>
        <v>43912.701327317569</v>
      </c>
      <c r="E32" s="157">
        <f t="shared" si="3"/>
        <v>29137.505902103778</v>
      </c>
      <c r="F32" s="157">
        <f t="shared" si="4"/>
        <v>28227.794974030749</v>
      </c>
      <c r="H32" s="103">
        <v>2030</v>
      </c>
      <c r="I32" s="157">
        <f t="shared" si="5"/>
        <v>0</v>
      </c>
      <c r="J32" s="157">
        <f t="shared" si="6"/>
        <v>482.1362992497771</v>
      </c>
      <c r="K32" s="157">
        <f t="shared" si="7"/>
        <v>294.84287288180053</v>
      </c>
      <c r="L32" s="157">
        <f t="shared" si="8"/>
        <v>67.152825140338919</v>
      </c>
      <c r="M32" s="157">
        <f t="shared" si="9"/>
        <v>175.75153454698076</v>
      </c>
      <c r="O32" s="103">
        <v>2030</v>
      </c>
      <c r="P32" s="157">
        <f t="shared" si="10"/>
        <v>455.90472692933224</v>
      </c>
    </row>
    <row r="34" spans="1:12" s="2" customFormat="1" x14ac:dyDescent="0.25"/>
    <row r="35" spans="1:12" ht="18.75" x14ac:dyDescent="0.3">
      <c r="A35" s="175" t="s">
        <v>146</v>
      </c>
      <c r="B35" s="176"/>
      <c r="C35" s="176"/>
      <c r="D35" s="177"/>
    </row>
    <row r="37" spans="1:12" ht="15.75" thickBot="1" x14ac:dyDescent="0.3">
      <c r="A37" s="53" t="s">
        <v>187</v>
      </c>
      <c r="B37" s="49" t="s">
        <v>108</v>
      </c>
    </row>
    <row r="38" spans="1:12" x14ac:dyDescent="0.25">
      <c r="A38" s="100">
        <v>2023</v>
      </c>
      <c r="B38" s="34">
        <v>41224.428999999996</v>
      </c>
    </row>
    <row r="39" spans="1:12" x14ac:dyDescent="0.25">
      <c r="A39" s="103">
        <v>2024</v>
      </c>
      <c r="B39" s="64">
        <v>108775.571</v>
      </c>
    </row>
    <row r="40" spans="1:12" x14ac:dyDescent="0.25">
      <c r="A40" s="100">
        <v>2025</v>
      </c>
      <c r="B40" s="34">
        <v>75000</v>
      </c>
    </row>
    <row r="41" spans="1:12" x14ac:dyDescent="0.25">
      <c r="A41" s="103">
        <v>2026</v>
      </c>
      <c r="B41" s="64">
        <v>75000</v>
      </c>
    </row>
    <row r="42" spans="1:12" x14ac:dyDescent="0.25">
      <c r="A42" s="100">
        <v>2027</v>
      </c>
      <c r="B42" s="34">
        <v>75000</v>
      </c>
    </row>
    <row r="43" spans="1:12" x14ac:dyDescent="0.25">
      <c r="A43" s="103">
        <v>2028</v>
      </c>
      <c r="B43" s="64">
        <v>75000</v>
      </c>
    </row>
    <row r="44" spans="1:12" x14ac:dyDescent="0.25">
      <c r="A44" s="100">
        <v>2029</v>
      </c>
      <c r="B44" s="34">
        <v>75000</v>
      </c>
    </row>
    <row r="45" spans="1:12" x14ac:dyDescent="0.25">
      <c r="A45" s="103">
        <v>2030</v>
      </c>
      <c r="B45" s="64">
        <v>75000</v>
      </c>
    </row>
    <row r="46" spans="1:12" x14ac:dyDescent="0.25">
      <c r="A46" s="16"/>
      <c r="H46" s="16"/>
      <c r="I46" s="16"/>
      <c r="J46" s="16"/>
      <c r="K46" s="16"/>
      <c r="L46" s="16"/>
    </row>
    <row r="47" spans="1:12" ht="15.75" thickBot="1" x14ac:dyDescent="0.3">
      <c r="A47" s="53" t="s">
        <v>10</v>
      </c>
      <c r="B47" s="179" t="s">
        <v>183</v>
      </c>
      <c r="C47" s="179"/>
      <c r="D47" s="179"/>
      <c r="E47" s="179"/>
      <c r="F47" s="179"/>
      <c r="H47" s="53" t="s">
        <v>184</v>
      </c>
      <c r="I47" s="179" t="s">
        <v>185</v>
      </c>
      <c r="J47" s="179"/>
      <c r="K47" s="179"/>
      <c r="L47" s="179"/>
    </row>
    <row r="48" spans="1:12" ht="15.75" thickBot="1" x14ac:dyDescent="0.3">
      <c r="A48" s="125"/>
      <c r="B48" s="28" t="s">
        <v>4</v>
      </c>
      <c r="C48" s="28" t="s">
        <v>5</v>
      </c>
      <c r="D48" s="28" t="s">
        <v>6</v>
      </c>
      <c r="E48" s="28" t="s">
        <v>7</v>
      </c>
      <c r="F48" s="28" t="s">
        <v>8</v>
      </c>
      <c r="H48" s="100">
        <v>2023</v>
      </c>
      <c r="I48" s="190">
        <v>0.1428571393917912</v>
      </c>
      <c r="J48" s="190"/>
      <c r="K48" s="190"/>
      <c r="L48" s="190"/>
    </row>
    <row r="49" spans="1:16" x14ac:dyDescent="0.25">
      <c r="A49" s="100">
        <v>2023</v>
      </c>
      <c r="B49" s="48">
        <v>0.33192496128933702</v>
      </c>
      <c r="C49" s="48">
        <v>0.23700660596172238</v>
      </c>
      <c r="D49" s="48">
        <v>0.13397968471558458</v>
      </c>
      <c r="E49" s="48">
        <v>7.4156782135175237E-2</v>
      </c>
      <c r="F49" s="48">
        <v>8.0074826506390195E-2</v>
      </c>
      <c r="H49" s="103">
        <v>2024</v>
      </c>
      <c r="I49" s="189">
        <v>0.1428571393917912</v>
      </c>
      <c r="J49" s="189"/>
      <c r="K49" s="189"/>
      <c r="L49" s="189"/>
    </row>
    <row r="50" spans="1:16" x14ac:dyDescent="0.25">
      <c r="A50" s="103">
        <v>2024</v>
      </c>
      <c r="B50" s="75">
        <v>0.33192496128933652</v>
      </c>
      <c r="C50" s="75">
        <v>0.23700660596172238</v>
      </c>
      <c r="D50" s="75">
        <v>0.13397968471558458</v>
      </c>
      <c r="E50" s="75">
        <v>7.4156782135175237E-2</v>
      </c>
      <c r="F50" s="75">
        <v>8.0074826506390195E-2</v>
      </c>
      <c r="H50" s="100">
        <v>2025</v>
      </c>
      <c r="I50" s="190">
        <v>0.1428571393917912</v>
      </c>
      <c r="J50" s="190"/>
      <c r="K50" s="190"/>
      <c r="L50" s="190"/>
    </row>
    <row r="51" spans="1:16" x14ac:dyDescent="0.25">
      <c r="A51" s="100">
        <v>2025</v>
      </c>
      <c r="B51" s="48">
        <v>0.33192496128933652</v>
      </c>
      <c r="C51" s="48">
        <v>0.23700660596172238</v>
      </c>
      <c r="D51" s="48">
        <v>0.13397968471558458</v>
      </c>
      <c r="E51" s="48">
        <v>7.4156782135175237E-2</v>
      </c>
      <c r="F51" s="48">
        <v>8.0074826506390195E-2</v>
      </c>
      <c r="H51" s="103">
        <v>2026</v>
      </c>
      <c r="I51" s="189">
        <v>0.1428571393917912</v>
      </c>
      <c r="J51" s="189"/>
      <c r="K51" s="189"/>
      <c r="L51" s="189"/>
    </row>
    <row r="52" spans="1:16" x14ac:dyDescent="0.25">
      <c r="A52" s="103">
        <v>2026</v>
      </c>
      <c r="B52" s="75">
        <v>0.33192496128933702</v>
      </c>
      <c r="C52" s="75">
        <v>0.23700660596172199</v>
      </c>
      <c r="D52" s="75">
        <v>0.13397968471558458</v>
      </c>
      <c r="E52" s="75">
        <v>7.4156782135175237E-2</v>
      </c>
      <c r="F52" s="75">
        <v>8.0074826506390195E-2</v>
      </c>
      <c r="H52" s="100">
        <v>2027</v>
      </c>
      <c r="I52" s="190">
        <v>0.1428571393917912</v>
      </c>
      <c r="J52" s="190"/>
      <c r="K52" s="190"/>
      <c r="L52" s="190"/>
    </row>
    <row r="53" spans="1:16" x14ac:dyDescent="0.25">
      <c r="A53" s="100">
        <v>2027</v>
      </c>
      <c r="B53" s="48">
        <v>0.33192496128933652</v>
      </c>
      <c r="C53" s="48">
        <v>0.23700660596172238</v>
      </c>
      <c r="D53" s="48">
        <v>0.13397968471558458</v>
      </c>
      <c r="E53" s="48">
        <v>7.4156782135175237E-2</v>
      </c>
      <c r="F53" s="48">
        <v>8.0074826506390195E-2</v>
      </c>
      <c r="H53" s="103">
        <v>2028</v>
      </c>
      <c r="I53" s="189">
        <v>0.1428571393917912</v>
      </c>
      <c r="J53" s="189"/>
      <c r="K53" s="189"/>
      <c r="L53" s="189"/>
    </row>
    <row r="54" spans="1:16" x14ac:dyDescent="0.25">
      <c r="A54" s="103">
        <v>2028</v>
      </c>
      <c r="B54" s="75">
        <v>0.33192496128933652</v>
      </c>
      <c r="C54" s="75">
        <v>0.23700660596172238</v>
      </c>
      <c r="D54" s="75">
        <v>0.13397968471558458</v>
      </c>
      <c r="E54" s="75">
        <v>7.4156782135175237E-2</v>
      </c>
      <c r="F54" s="75">
        <v>8.0074826506390195E-2</v>
      </c>
      <c r="H54" s="100">
        <v>2029</v>
      </c>
      <c r="I54" s="190">
        <v>0.1428571393917912</v>
      </c>
      <c r="J54" s="190"/>
      <c r="K54" s="190"/>
      <c r="L54" s="190"/>
    </row>
    <row r="55" spans="1:16" x14ac:dyDescent="0.25">
      <c r="A55" s="100">
        <v>2029</v>
      </c>
      <c r="B55" s="48">
        <v>0.33192496128933652</v>
      </c>
      <c r="C55" s="48">
        <v>0.23700660596172238</v>
      </c>
      <c r="D55" s="48">
        <v>0.13397968471558458</v>
      </c>
      <c r="E55" s="48">
        <v>7.4156782135175237E-2</v>
      </c>
      <c r="F55" s="48">
        <v>8.0074826506390195E-2</v>
      </c>
      <c r="H55" s="103">
        <v>2030</v>
      </c>
      <c r="I55" s="189">
        <v>0.1428571393917912</v>
      </c>
      <c r="J55" s="189"/>
      <c r="K55" s="189"/>
      <c r="L55" s="189"/>
    </row>
    <row r="56" spans="1:16" x14ac:dyDescent="0.25">
      <c r="A56" s="103">
        <v>2030</v>
      </c>
      <c r="B56" s="75">
        <v>0.33192496128933652</v>
      </c>
      <c r="C56" s="75">
        <v>0.23700660596172238</v>
      </c>
      <c r="D56" s="75">
        <v>0.13397968471558458</v>
      </c>
      <c r="E56" s="75">
        <v>7.4156782135175237E-2</v>
      </c>
      <c r="F56" s="75">
        <v>8.0074826506390195E-2</v>
      </c>
    </row>
    <row r="58" spans="1:16" ht="15.75" thickBot="1" x14ac:dyDescent="0.3">
      <c r="A58" s="53" t="s">
        <v>10</v>
      </c>
      <c r="B58" s="179" t="s">
        <v>186</v>
      </c>
      <c r="C58" s="179"/>
      <c r="D58" s="179"/>
      <c r="E58" s="179"/>
      <c r="F58" s="179"/>
      <c r="H58" s="53" t="s">
        <v>48</v>
      </c>
      <c r="I58" s="179" t="s">
        <v>108</v>
      </c>
      <c r="J58" s="179"/>
      <c r="K58" s="179"/>
      <c r="L58" s="179"/>
    </row>
    <row r="59" spans="1:16" ht="15.75" thickBot="1" x14ac:dyDescent="0.3">
      <c r="A59" s="125"/>
      <c r="B59" s="28" t="s">
        <v>4</v>
      </c>
      <c r="C59" s="28" t="s">
        <v>5</v>
      </c>
      <c r="D59" s="28" t="s">
        <v>6</v>
      </c>
      <c r="E59" s="28" t="s">
        <v>7</v>
      </c>
      <c r="F59" s="28" t="s">
        <v>8</v>
      </c>
      <c r="H59" s="100">
        <v>2023</v>
      </c>
      <c r="I59" s="191">
        <f>I48*B38</f>
        <v>5889.2039999999988</v>
      </c>
      <c r="J59" s="191"/>
      <c r="K59" s="191"/>
      <c r="L59" s="191"/>
      <c r="M59" s="20"/>
      <c r="N59" s="20"/>
      <c r="O59" s="20"/>
      <c r="P59" s="20"/>
    </row>
    <row r="60" spans="1:16" x14ac:dyDescent="0.25">
      <c r="A60" s="100">
        <v>2023</v>
      </c>
      <c r="B60" s="34">
        <f>$B38*B49</f>
        <v>13683.417000000021</v>
      </c>
      <c r="C60" s="34">
        <f t="shared" ref="C60:F60" si="11">$B38*C49</f>
        <v>9770.4619999999995</v>
      </c>
      <c r="D60" s="34">
        <f t="shared" si="11"/>
        <v>5523.2360000000008</v>
      </c>
      <c r="E60" s="34">
        <f t="shared" si="11"/>
        <v>3057.0709999999995</v>
      </c>
      <c r="F60" s="34">
        <f t="shared" si="11"/>
        <v>3301.0390000000002</v>
      </c>
      <c r="H60" s="103">
        <v>2024</v>
      </c>
      <c r="I60" s="192">
        <f t="shared" ref="I60:I66" si="12">I49*B39</f>
        <v>15539.366908768681</v>
      </c>
      <c r="J60" s="192"/>
      <c r="K60" s="192"/>
      <c r="L60" s="192"/>
      <c r="M60" s="20"/>
      <c r="N60" s="20"/>
      <c r="O60" s="20"/>
      <c r="P60" s="20"/>
    </row>
    <row r="61" spans="1:16" x14ac:dyDescent="0.25">
      <c r="A61" s="103">
        <v>2024</v>
      </c>
      <c r="B61" s="64">
        <f t="shared" ref="B61:F61" si="13">$B39*B50</f>
        <v>36105.327193400473</v>
      </c>
      <c r="C61" s="64">
        <f t="shared" si="13"/>
        <v>25780.528894258354</v>
      </c>
      <c r="D61" s="64">
        <f t="shared" si="13"/>
        <v>14573.716707337684</v>
      </c>
      <c r="E61" s="64">
        <f t="shared" si="13"/>
        <v>8066.4463202762854</v>
      </c>
      <c r="F61" s="64">
        <f t="shared" si="13"/>
        <v>8710.1849759585275</v>
      </c>
      <c r="H61" s="100">
        <v>2025</v>
      </c>
      <c r="I61" s="191">
        <f t="shared" si="12"/>
        <v>10714.28545438434</v>
      </c>
      <c r="J61" s="191"/>
      <c r="K61" s="191"/>
      <c r="L61" s="191"/>
      <c r="M61" s="20"/>
      <c r="N61" s="20"/>
      <c r="O61" s="20"/>
      <c r="P61" s="20"/>
    </row>
    <row r="62" spans="1:16" x14ac:dyDescent="0.25">
      <c r="A62" s="100">
        <v>2025</v>
      </c>
      <c r="B62" s="34">
        <f t="shared" ref="B62:F62" si="14">$B40*B51</f>
        <v>24894.372096700237</v>
      </c>
      <c r="C62" s="34">
        <f t="shared" si="14"/>
        <v>17775.495447129179</v>
      </c>
      <c r="D62" s="34">
        <f t="shared" si="14"/>
        <v>10048.476353668844</v>
      </c>
      <c r="E62" s="34">
        <f t="shared" si="14"/>
        <v>5561.7586601381427</v>
      </c>
      <c r="F62" s="34">
        <f t="shared" si="14"/>
        <v>6005.611987979265</v>
      </c>
      <c r="H62" s="103">
        <v>2026</v>
      </c>
      <c r="I62" s="192">
        <f t="shared" si="12"/>
        <v>10714.28545438434</v>
      </c>
      <c r="J62" s="192"/>
      <c r="K62" s="192"/>
      <c r="L62" s="192"/>
      <c r="M62" s="20"/>
      <c r="N62" s="20"/>
      <c r="O62" s="20"/>
      <c r="P62" s="20"/>
    </row>
    <row r="63" spans="1:16" x14ac:dyDescent="0.25">
      <c r="A63" s="103">
        <v>2026</v>
      </c>
      <c r="B63" s="64">
        <f>$B41*B52</f>
        <v>24894.372096700277</v>
      </c>
      <c r="C63" s="64">
        <f t="shared" ref="C63:F63" si="15">$B41*C52</f>
        <v>17775.495447129149</v>
      </c>
      <c r="D63" s="64">
        <f t="shared" si="15"/>
        <v>10048.476353668844</v>
      </c>
      <c r="E63" s="64">
        <f t="shared" si="15"/>
        <v>5561.7586601381427</v>
      </c>
      <c r="F63" s="64">
        <f t="shared" si="15"/>
        <v>6005.611987979265</v>
      </c>
      <c r="H63" s="100">
        <v>2027</v>
      </c>
      <c r="I63" s="191">
        <f t="shared" si="12"/>
        <v>10714.28545438434</v>
      </c>
      <c r="J63" s="191"/>
      <c r="K63" s="191"/>
      <c r="L63" s="191"/>
      <c r="M63" s="20"/>
      <c r="N63" s="20"/>
      <c r="O63" s="20"/>
      <c r="P63" s="20"/>
    </row>
    <row r="64" spans="1:16" x14ac:dyDescent="0.25">
      <c r="A64" s="100">
        <v>2027</v>
      </c>
      <c r="B64" s="34">
        <f t="shared" ref="B64:F64" si="16">$B42*B53</f>
        <v>24894.372096700237</v>
      </c>
      <c r="C64" s="34">
        <f t="shared" si="16"/>
        <v>17775.495447129179</v>
      </c>
      <c r="D64" s="34">
        <f t="shared" si="16"/>
        <v>10048.476353668844</v>
      </c>
      <c r="E64" s="34">
        <f t="shared" si="16"/>
        <v>5561.7586601381427</v>
      </c>
      <c r="F64" s="34">
        <f t="shared" si="16"/>
        <v>6005.611987979265</v>
      </c>
      <c r="H64" s="103">
        <v>2028</v>
      </c>
      <c r="I64" s="192">
        <f t="shared" si="12"/>
        <v>10714.28545438434</v>
      </c>
      <c r="J64" s="192"/>
      <c r="K64" s="192"/>
      <c r="L64" s="192"/>
      <c r="M64" s="20"/>
      <c r="N64" s="20"/>
      <c r="O64" s="20"/>
      <c r="P64" s="20"/>
    </row>
    <row r="65" spans="1:16" x14ac:dyDescent="0.25">
      <c r="A65" s="103">
        <v>2028</v>
      </c>
      <c r="B65" s="64">
        <f t="shared" ref="B65:F65" si="17">$B43*B54</f>
        <v>24894.372096700237</v>
      </c>
      <c r="C65" s="64">
        <f t="shared" si="17"/>
        <v>17775.495447129179</v>
      </c>
      <c r="D65" s="64">
        <f t="shared" si="17"/>
        <v>10048.476353668844</v>
      </c>
      <c r="E65" s="64">
        <f t="shared" si="17"/>
        <v>5561.7586601381427</v>
      </c>
      <c r="F65" s="64">
        <f t="shared" si="17"/>
        <v>6005.611987979265</v>
      </c>
      <c r="H65" s="100">
        <v>2029</v>
      </c>
      <c r="I65" s="191">
        <f t="shared" si="12"/>
        <v>10714.28545438434</v>
      </c>
      <c r="J65" s="191"/>
      <c r="K65" s="191"/>
      <c r="L65" s="191"/>
      <c r="M65" s="20"/>
      <c r="N65" s="20"/>
      <c r="O65" s="20"/>
      <c r="P65" s="20"/>
    </row>
    <row r="66" spans="1:16" x14ac:dyDescent="0.25">
      <c r="A66" s="100">
        <v>2029</v>
      </c>
      <c r="B66" s="34">
        <f t="shared" ref="B66:F66" si="18">$B44*B55</f>
        <v>24894.372096700237</v>
      </c>
      <c r="C66" s="34">
        <f t="shared" si="18"/>
        <v>17775.495447129179</v>
      </c>
      <c r="D66" s="34">
        <f t="shared" si="18"/>
        <v>10048.476353668844</v>
      </c>
      <c r="E66" s="34">
        <f t="shared" si="18"/>
        <v>5561.7586601381427</v>
      </c>
      <c r="F66" s="34">
        <f t="shared" si="18"/>
        <v>6005.611987979265</v>
      </c>
      <c r="H66" s="103">
        <v>2030</v>
      </c>
      <c r="I66" s="192">
        <f t="shared" si="12"/>
        <v>10714.28545438434</v>
      </c>
      <c r="J66" s="192"/>
      <c r="K66" s="192"/>
      <c r="L66" s="192"/>
      <c r="M66" s="20"/>
      <c r="N66" s="20"/>
      <c r="O66" s="20"/>
      <c r="P66" s="20"/>
    </row>
    <row r="67" spans="1:16" x14ac:dyDescent="0.25">
      <c r="A67" s="103">
        <v>2030</v>
      </c>
      <c r="B67" s="64">
        <f t="shared" ref="B67:F67" si="19">$B45*B56</f>
        <v>24894.372096700237</v>
      </c>
      <c r="C67" s="64">
        <f t="shared" si="19"/>
        <v>17775.495447129179</v>
      </c>
      <c r="D67" s="64">
        <f t="shared" si="19"/>
        <v>10048.476353668844</v>
      </c>
      <c r="E67" s="64">
        <f t="shared" si="19"/>
        <v>5561.7586601381427</v>
      </c>
      <c r="F67" s="64">
        <f t="shared" si="19"/>
        <v>6005.611987979265</v>
      </c>
    </row>
    <row r="68" spans="1:16" x14ac:dyDescent="0.25">
      <c r="H68" s="14"/>
    </row>
    <row r="69" spans="1:16" x14ac:dyDescent="0.25">
      <c r="H69" s="14"/>
    </row>
    <row r="70" spans="1:16" x14ac:dyDescent="0.25">
      <c r="H70" s="14"/>
    </row>
  </sheetData>
  <mergeCells count="29">
    <mergeCell ref="A2:D2"/>
    <mergeCell ref="B47:F47"/>
    <mergeCell ref="I48:L48"/>
    <mergeCell ref="I49:L49"/>
    <mergeCell ref="B4:D4"/>
    <mergeCell ref="G4:J4"/>
    <mergeCell ref="G5:J5"/>
    <mergeCell ref="I50:L50"/>
    <mergeCell ref="I47:L47"/>
    <mergeCell ref="B13:F13"/>
    <mergeCell ref="I13:M13"/>
    <mergeCell ref="B23:F23"/>
    <mergeCell ref="I23:M23"/>
    <mergeCell ref="A35:D35"/>
    <mergeCell ref="B58:F58"/>
    <mergeCell ref="I60:L60"/>
    <mergeCell ref="I61:L61"/>
    <mergeCell ref="I62:L62"/>
    <mergeCell ref="I63:L63"/>
    <mergeCell ref="I59:L59"/>
    <mergeCell ref="I58:L58"/>
    <mergeCell ref="I51:L51"/>
    <mergeCell ref="I52:L52"/>
    <mergeCell ref="I65:L65"/>
    <mergeCell ref="I66:L66"/>
    <mergeCell ref="I64:L64"/>
    <mergeCell ref="I53:L53"/>
    <mergeCell ref="I54:L54"/>
    <mergeCell ref="I55:L55"/>
  </mergeCells>
  <hyperlinks>
    <hyperlink ref="A1" location="Introduksjon!A1" display="Tilbake til introduksjon" xr:uid="{0698BA86-6D84-4CA5-B2E2-303890F09F6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T89"/>
  <sheetViews>
    <sheetView workbookViewId="0"/>
  </sheetViews>
  <sheetFormatPr baseColWidth="10" defaultColWidth="11.42578125" defaultRowHeight="15" x14ac:dyDescent="0.25"/>
  <cols>
    <col min="1" max="1" width="21.85546875" style="9" bestFit="1" customWidth="1"/>
    <col min="2" max="2" width="16.28515625" style="9" bestFit="1" customWidth="1"/>
    <col min="3" max="3" width="13.42578125" style="9" customWidth="1"/>
    <col min="4" max="5" width="11.7109375" style="9" customWidth="1"/>
    <col min="6" max="6" width="13.85546875" style="9" bestFit="1" customWidth="1"/>
    <col min="7" max="7" width="13.42578125" style="9" bestFit="1" customWidth="1"/>
    <col min="8" max="8" width="13.42578125" style="9" customWidth="1"/>
    <col min="9" max="9" width="13.28515625" style="9" customWidth="1"/>
    <col min="10" max="10" width="18.28515625" style="9" bestFit="1" customWidth="1"/>
    <col min="11" max="11" width="16.28515625" style="9" bestFit="1" customWidth="1"/>
    <col min="12" max="12" width="16" style="9" customWidth="1"/>
    <col min="13" max="13" width="13.28515625" style="9" customWidth="1"/>
    <col min="14" max="14" width="11.42578125" style="9"/>
    <col min="15" max="15" width="13.85546875" style="9" bestFit="1" customWidth="1"/>
    <col min="16" max="16" width="13.42578125" style="9" bestFit="1" customWidth="1"/>
    <col min="17" max="17" width="11.42578125" style="9" customWidth="1"/>
    <col min="18" max="19" width="11.42578125" style="9"/>
    <col min="20" max="20" width="13.28515625" style="9" customWidth="1"/>
    <col min="21" max="16384" width="11.42578125" style="9"/>
  </cols>
  <sheetData>
    <row r="1" spans="1:20" x14ac:dyDescent="0.25">
      <c r="A1" s="45" t="s">
        <v>170</v>
      </c>
    </row>
    <row r="2" spans="1:20" ht="18.75" x14ac:dyDescent="0.3">
      <c r="A2" s="175" t="s">
        <v>201</v>
      </c>
      <c r="B2" s="176"/>
      <c r="C2" s="176"/>
      <c r="D2" s="177"/>
    </row>
    <row r="3" spans="1:20" x14ac:dyDescent="0.25">
      <c r="T3" s="37"/>
    </row>
    <row r="4" spans="1:20" ht="15.75" thickBot="1" x14ac:dyDescent="0.3">
      <c r="A4" s="53" t="s">
        <v>4</v>
      </c>
      <c r="B4" s="185" t="s">
        <v>10</v>
      </c>
      <c r="C4" s="185"/>
      <c r="D4" s="185"/>
      <c r="E4" s="185"/>
      <c r="F4" s="185"/>
      <c r="G4" s="185"/>
      <c r="H4" s="185"/>
      <c r="I4" s="32"/>
      <c r="J4" s="53" t="s">
        <v>4</v>
      </c>
      <c r="K4" s="185" t="s">
        <v>12</v>
      </c>
      <c r="L4" s="185"/>
      <c r="M4" s="185"/>
      <c r="N4" s="185"/>
      <c r="O4" s="185"/>
      <c r="P4" s="185"/>
      <c r="Q4" s="185"/>
      <c r="T4" s="14"/>
    </row>
    <row r="5" spans="1:20" ht="15.75" thickBot="1" x14ac:dyDescent="0.3">
      <c r="A5" s="99"/>
      <c r="B5" s="50" t="s">
        <v>74</v>
      </c>
      <c r="C5" s="50" t="s">
        <v>75</v>
      </c>
      <c r="D5" s="50" t="s">
        <v>76</v>
      </c>
      <c r="E5" s="50" t="s">
        <v>77</v>
      </c>
      <c r="F5" s="50" t="s">
        <v>78</v>
      </c>
      <c r="G5" s="50" t="s">
        <v>79</v>
      </c>
      <c r="H5" s="50" t="s">
        <v>80</v>
      </c>
      <c r="J5" s="53"/>
      <c r="K5" s="28" t="s">
        <v>74</v>
      </c>
      <c r="L5" s="28" t="s">
        <v>75</v>
      </c>
      <c r="M5" s="28" t="s">
        <v>76</v>
      </c>
      <c r="N5" s="28" t="s">
        <v>77</v>
      </c>
      <c r="O5" s="28" t="s">
        <v>78</v>
      </c>
      <c r="P5" s="28" t="s">
        <v>79</v>
      </c>
      <c r="Q5" s="28" t="s">
        <v>80</v>
      </c>
    </row>
    <row r="6" spans="1:20" x14ac:dyDescent="0.25">
      <c r="A6" s="100">
        <v>2023</v>
      </c>
      <c r="B6" s="34">
        <f>'Østlandet IR 2023-2030'!H8</f>
        <v>5321837.0291793551</v>
      </c>
      <c r="C6" s="34">
        <f>('TI 2024-2030'!Q6*KON!$K$12)</f>
        <v>2725756.3272681572</v>
      </c>
      <c r="D6" s="34">
        <f>FoU!B12</f>
        <v>31313.205539806902</v>
      </c>
      <c r="E6" s="34">
        <f>'Østlandet IR 2023-2030'!C8*Skatt!$D$10</f>
        <v>77864.956629768509</v>
      </c>
      <c r="F6" s="34">
        <f>Tidsetterslep!D7</f>
        <v>-192552.78588739235</v>
      </c>
      <c r="G6" s="34">
        <f>ROUND('Elhub&amp;Elbits'!B25+'Elhub&amp;Elbits'!B60,-2)</f>
        <v>115500</v>
      </c>
      <c r="H6" s="34">
        <f>SUM(B6:G6)-KON!B34</f>
        <v>8062245.0807356648</v>
      </c>
      <c r="J6" s="100">
        <v>2023</v>
      </c>
      <c r="K6" s="34">
        <f>'Østlandet IR 2023-2030'!H23</f>
        <v>1700018.2089623627</v>
      </c>
      <c r="L6" s="34">
        <f>(('TI T-nett 2024-2030'!K5*Fordelingsnøkler!$B$13)*KON!L17)</f>
        <v>1488476.9841784507</v>
      </c>
      <c r="M6" s="34">
        <f>FoU!J12</f>
        <v>15539.149982058723</v>
      </c>
      <c r="N6" s="34">
        <f>'Østlandet IR 2023-2030'!C23*Skatt!$G$10</f>
        <v>21919.740222214125</v>
      </c>
      <c r="O6" s="34">
        <f>Tidsetterslep!D21</f>
        <v>-108969.35521730009</v>
      </c>
      <c r="P6" s="34">
        <f>ROUND('Elhub&amp;Elbits'!I25,-1)</f>
        <v>0</v>
      </c>
      <c r="Q6" s="34">
        <f t="shared" ref="Q6:Q13" si="0">SUM(K6:P6)</f>
        <v>3116984.7281277864</v>
      </c>
      <c r="R6" s="13"/>
    </row>
    <row r="7" spans="1:20" x14ac:dyDescent="0.25">
      <c r="A7" s="103">
        <v>2024</v>
      </c>
      <c r="B7" s="64">
        <f>'Østlandet IR 2023-2030'!H9</f>
        <v>4936472.4708141824</v>
      </c>
      <c r="C7" s="64">
        <f>('TI 2024-2030'!Q7*KON!$K$12)</f>
        <v>4025553.5907776547</v>
      </c>
      <c r="D7" s="64">
        <f>FoU!B13</f>
        <v>32875.5</v>
      </c>
      <c r="E7" s="64">
        <f>'Østlandet IR 2023-2030'!C9*Skatt!$D$10</f>
        <v>81749.834855704801</v>
      </c>
      <c r="F7" s="64">
        <f>Tidsetterslep!D8</f>
        <v>-114137.77304079023</v>
      </c>
      <c r="G7" s="64">
        <f>ROUND('Elhub&amp;Elbits'!B26+'Elhub&amp;Elbits'!B61,-2)</f>
        <v>137900</v>
      </c>
      <c r="H7" s="64">
        <f>SUM(B7:G7)-KON!B35</f>
        <v>9082939.971412722</v>
      </c>
      <c r="J7" s="103">
        <v>2024</v>
      </c>
      <c r="K7" s="64">
        <f>'Østlandet IR 2023-2030'!H24</f>
        <v>1551352.0575648439</v>
      </c>
      <c r="L7" s="64">
        <f>(('TI T-nett 2024-2030'!K6*Fordelingsnøkler!$B$13)*KON!L18)</f>
        <v>3089169.6598961107</v>
      </c>
      <c r="M7" s="64">
        <f>FoU!J13</f>
        <v>16433.71</v>
      </c>
      <c r="N7" s="64">
        <f>'Østlandet IR 2023-2030'!C24*Skatt!$G$10</f>
        <v>23181.618975498037</v>
      </c>
      <c r="O7" s="64">
        <f>Tidsetterslep!D22</f>
        <v>-76794.869738827809</v>
      </c>
      <c r="P7" s="64">
        <f>ROUND('Elhub&amp;Elbits'!I26,-1)</f>
        <v>0</v>
      </c>
      <c r="Q7" s="64">
        <f t="shared" si="0"/>
        <v>4603342.1766976248</v>
      </c>
      <c r="R7" s="13"/>
    </row>
    <row r="8" spans="1:20" x14ac:dyDescent="0.25">
      <c r="A8" s="100">
        <v>2025</v>
      </c>
      <c r="B8" s="34">
        <f>'Østlandet IR 2023-2030'!H10</f>
        <v>4890540.3708906854</v>
      </c>
      <c r="C8" s="34">
        <f>('TI 2024-2030'!Q8*KON!$K$12)</f>
        <v>3862500.5142308949</v>
      </c>
      <c r="D8" s="34">
        <f>FoU!B14</f>
        <v>34438.119523871057</v>
      </c>
      <c r="E8" s="34">
        <f>'Østlandet IR 2023-2030'!C10*Skatt!$D$10</f>
        <v>85635.52140096674</v>
      </c>
      <c r="F8" s="34">
        <f>Tidsetterslep!D9</f>
        <v>15172.319148438168</v>
      </c>
      <c r="G8" s="34">
        <f>ROUND('Elhub&amp;Elbits'!B27+'Elhub&amp;Elbits'!B62,-2)</f>
        <v>126700</v>
      </c>
      <c r="H8" s="34">
        <f>SUM(B8:G8)-KON!B36</f>
        <v>8997513.1932008266</v>
      </c>
      <c r="J8" s="100">
        <v>2025</v>
      </c>
      <c r="K8" s="34">
        <f>'Østlandet IR 2023-2030'!H25</f>
        <v>1476923.8524725633</v>
      </c>
      <c r="L8" s="34">
        <f>(('TI T-nett 2024-2030'!K7*Fordelingsnøkler!$B$13)*KON!L19)</f>
        <v>2867315.1388851451</v>
      </c>
      <c r="M8" s="34">
        <f>FoU!J14</f>
        <v>16204.437606689937</v>
      </c>
      <c r="N8" s="34">
        <f>'Østlandet IR 2023-2030'!C25*Skatt!$G$10</f>
        <v>22858.204161477686</v>
      </c>
      <c r="O8" s="34">
        <f>Tidsetterslep!D23</f>
        <v>33584.423343325238</v>
      </c>
      <c r="P8" s="34">
        <f>ROUND('Elhub&amp;Elbits'!I27,-1)</f>
        <v>0</v>
      </c>
      <c r="Q8" s="34">
        <f t="shared" si="0"/>
        <v>4416886.0564692002</v>
      </c>
      <c r="R8" s="13"/>
    </row>
    <row r="9" spans="1:20" x14ac:dyDescent="0.25">
      <c r="A9" s="103">
        <v>2026</v>
      </c>
      <c r="B9" s="64">
        <f>'Østlandet IR 2023-2030'!H11</f>
        <v>4811943.9944719812</v>
      </c>
      <c r="C9" s="64">
        <f>('TI 2024-2030'!Q9*KON!$K$12)</f>
        <v>4432513.9743129071</v>
      </c>
      <c r="D9" s="64">
        <f>FoU!B15</f>
        <v>36032.456218364045</v>
      </c>
      <c r="E9" s="64">
        <f>'Østlandet IR 2023-2030'!C11*Skatt!$D$10</f>
        <v>89600.07742229545</v>
      </c>
      <c r="F9" s="64">
        <f>Tidsetterslep!D10</f>
        <v>148652.55188397516</v>
      </c>
      <c r="G9" s="64">
        <f>ROUND('Elhub&amp;Elbits'!B28+'Elhub&amp;Elbits'!B63,-2)</f>
        <v>126700</v>
      </c>
      <c r="H9" s="64">
        <f>SUM(B9:G9)-KON!B37</f>
        <v>9627969.4023154899</v>
      </c>
      <c r="J9" s="103">
        <v>2026</v>
      </c>
      <c r="K9" s="64">
        <f>'Østlandet IR 2023-2030'!H26</f>
        <v>1457491.6101430575</v>
      </c>
      <c r="L9" s="64">
        <f>(('TI T-nett 2024-2030'!K8*Fordelingsnøkler!$B$13)*KON!L20)</f>
        <v>3471711.6881920765</v>
      </c>
      <c r="M9" s="64">
        <f>FoU!J15</f>
        <v>17303.920465004052</v>
      </c>
      <c r="N9" s="64">
        <f>'Østlandet IR 2023-2030'!C26*Skatt!$G$10</f>
        <v>24409.149912104247</v>
      </c>
      <c r="O9" s="64">
        <f>Tidsetterslep!D24</f>
        <v>97797.30423491355</v>
      </c>
      <c r="P9" s="64">
        <f>ROUND('Elhub&amp;Elbits'!I28,-1)</f>
        <v>0</v>
      </c>
      <c r="Q9" s="64">
        <f t="shared" si="0"/>
        <v>5068713.6729471553</v>
      </c>
      <c r="R9" s="13"/>
    </row>
    <row r="10" spans="1:20" x14ac:dyDescent="0.25">
      <c r="A10" s="100">
        <v>2027</v>
      </c>
      <c r="B10" s="34">
        <f>'Østlandet IR 2023-2030'!H12</f>
        <v>4904433.79383035</v>
      </c>
      <c r="C10" s="34">
        <f>('TI 2024-2030'!Q10*KON!$K$12)</f>
        <v>5097093.6586697064</v>
      </c>
      <c r="D10" s="34">
        <f>FoU!B16</f>
        <v>37539.82500942859</v>
      </c>
      <c r="E10" s="34">
        <f>'Østlandet IR 2023-2030'!C12*Skatt!$D$10</f>
        <v>93348.374778568963</v>
      </c>
      <c r="F10" s="34">
        <f>Tidsetterslep!D11</f>
        <v>141754.12083675154</v>
      </c>
      <c r="G10" s="34">
        <f>ROUND('Elhub&amp;Elbits'!B29+'Elhub&amp;Elbits'!B64,-2)</f>
        <v>126700</v>
      </c>
      <c r="H10" s="34">
        <f>SUM(B10:G10)-KON!B38</f>
        <v>10383396.121130774</v>
      </c>
      <c r="J10" s="100">
        <v>2027</v>
      </c>
      <c r="K10" s="34">
        <f>'Østlandet IR 2023-2030'!H27</f>
        <v>1509914.8006928447</v>
      </c>
      <c r="L10" s="34">
        <f>(('TI T-nett 2024-2030'!K9*Fordelingsnøkler!$B$13)*KON!L21)</f>
        <v>4171713.2618090222</v>
      </c>
      <c r="M10" s="34">
        <f>FoU!J16</f>
        <v>18449.829829340746</v>
      </c>
      <c r="N10" s="34">
        <f>'Østlandet IR 2023-2030'!C27*Skatt!$G$10</f>
        <v>26025.585535253762</v>
      </c>
      <c r="O10" s="34">
        <f>Tidsetterslep!D25</f>
        <v>102577.14665344916</v>
      </c>
      <c r="P10" s="34">
        <f>ROUND('Elhub&amp;Elbits'!I29,-1)</f>
        <v>0</v>
      </c>
      <c r="Q10" s="34">
        <f t="shared" si="0"/>
        <v>5828680.6245199097</v>
      </c>
      <c r="R10" s="13"/>
    </row>
    <row r="11" spans="1:20" x14ac:dyDescent="0.25">
      <c r="A11" s="103">
        <v>2028</v>
      </c>
      <c r="B11" s="64">
        <f>'Østlandet IR 2023-2030'!H13</f>
        <v>5057444.7015235033</v>
      </c>
      <c r="C11" s="64">
        <f>('TI 2024-2030'!Q11*KON!$K$12)</f>
        <v>5868337.1249189824</v>
      </c>
      <c r="D11" s="64">
        <f>FoU!B17</f>
        <v>38847.252515890228</v>
      </c>
      <c r="E11" s="64">
        <f>'Østlandet IR 2023-2030'!C13*Skatt!$D$10</f>
        <v>96599.488305026185</v>
      </c>
      <c r="F11" s="64">
        <f>Tidsetterslep!D12</f>
        <v>142315.19320002454</v>
      </c>
      <c r="G11" s="64">
        <f>ROUND('Elhub&amp;Elbits'!B30+'Elhub&amp;Elbits'!B65,-2)</f>
        <v>126700</v>
      </c>
      <c r="H11" s="64">
        <f>SUM(B11:G11)-KON!B39</f>
        <v>11312770.108469395</v>
      </c>
      <c r="J11" s="103">
        <v>2028</v>
      </c>
      <c r="K11" s="64">
        <f>'Østlandet IR 2023-2030'!H28</f>
        <v>1600231.5535149821</v>
      </c>
      <c r="L11" s="64">
        <f>(('TI T-nett 2024-2030'!K10*Fordelingsnøkler!$B$13)*KON!L22)</f>
        <v>4962294.2566025583</v>
      </c>
      <c r="M11" s="64">
        <f>FoU!J17</f>
        <v>19736.663609969946</v>
      </c>
      <c r="N11" s="64">
        <f>'Østlandet IR 2023-2030'!C28*Skatt!$G$10</f>
        <v>27840.811092194086</v>
      </c>
      <c r="O11" s="64">
        <f>Tidsetterslep!D26</f>
        <v>100517.54907198477</v>
      </c>
      <c r="P11" s="64">
        <f>ROUND('Elhub&amp;Elbits'!I30,-1)</f>
        <v>0</v>
      </c>
      <c r="Q11" s="64">
        <f t="shared" si="0"/>
        <v>6710620.8338916898</v>
      </c>
      <c r="R11" s="13"/>
    </row>
    <row r="12" spans="1:20" x14ac:dyDescent="0.25">
      <c r="A12" s="100">
        <v>2029</v>
      </c>
      <c r="B12" s="34">
        <f>'Østlandet IR 2023-2030'!H14</f>
        <v>5213959.408422187</v>
      </c>
      <c r="C12" s="34">
        <f>('TI 2024-2030'!Q12*KON!$K$12)</f>
        <v>6199867.2844466222</v>
      </c>
      <c r="D12" s="34">
        <f>FoU!B18</f>
        <v>40176.606659923229</v>
      </c>
      <c r="E12" s="34">
        <f>'Østlandet IR 2023-2030'!C14*Skatt!$D$10</f>
        <v>99905.125686646075</v>
      </c>
      <c r="F12" s="34">
        <f>Tidsetterslep!D13</f>
        <v>139450.89108057786</v>
      </c>
      <c r="G12" s="34">
        <f>ROUND('Elhub&amp;Elbits'!B31+'Elhub&amp;Elbits'!B66,-2)</f>
        <v>126700</v>
      </c>
      <c r="H12" s="34">
        <f>SUM(B12:G12)-KON!B40</f>
        <v>11802585.664301924</v>
      </c>
      <c r="J12" s="100">
        <v>2029</v>
      </c>
      <c r="K12" s="34">
        <f>'Østlandet IR 2023-2030'!H29</f>
        <v>1690346.7468338807</v>
      </c>
      <c r="L12" s="34">
        <f>(('TI T-nett 2024-2030'!K11*Fordelingsnøkler!$B$13)*KON!L23)</f>
        <v>5250343.1265193066</v>
      </c>
      <c r="M12" s="34">
        <f>FoU!J18</f>
        <v>20985.428550670069</v>
      </c>
      <c r="N12" s="34">
        <f>'Østlandet IR 2023-2030'!C29*Skatt!$G$10</f>
        <v>29602.336216178301</v>
      </c>
      <c r="O12" s="34">
        <f>Tidsetterslep!D27</f>
        <v>98457.951490520616</v>
      </c>
      <c r="P12" s="34">
        <f>ROUND('Elhub&amp;Elbits'!I31,-1)</f>
        <v>0</v>
      </c>
      <c r="Q12" s="34">
        <f t="shared" si="0"/>
        <v>7089735.5896105561</v>
      </c>
      <c r="R12" s="13"/>
    </row>
    <row r="13" spans="1:20" ht="15.75" thickBot="1" x14ac:dyDescent="0.3">
      <c r="A13" s="106">
        <v>2030</v>
      </c>
      <c r="B13" s="127">
        <f>'Østlandet IR 2023-2030'!H15</f>
        <v>5371402.431896192</v>
      </c>
      <c r="C13" s="127">
        <f>('TI 2024-2030'!Q13*KON!$K$12)</f>
        <v>6222763.7225848064</v>
      </c>
      <c r="D13" s="127">
        <f>FoU!B19</f>
        <v>41465.899573806353</v>
      </c>
      <c r="E13" s="127">
        <f>'Østlandet IR 2023-2030'!C15*Skatt!$D$10</f>
        <v>103111.14484348251</v>
      </c>
      <c r="F13" s="127">
        <f>Tidsetterslep!D14</f>
        <v>136038.14832728263</v>
      </c>
      <c r="G13" s="127">
        <f>ROUND('Elhub&amp;Elbits'!B32+'Elhub&amp;Elbits'!B67,-2)</f>
        <v>126700</v>
      </c>
      <c r="H13" s="127">
        <f>SUM(B13:G13)-KON!B41</f>
        <v>11984007.695231538</v>
      </c>
      <c r="J13" s="106">
        <v>2030</v>
      </c>
      <c r="K13" s="127">
        <f>'Østlandet IR 2023-2030'!H30</f>
        <v>1780400.2698742184</v>
      </c>
      <c r="L13" s="127">
        <f>(('TI T-nett 2024-2030'!K12*Fordelingsnøkler!$B$13)*KON!L24)</f>
        <v>5185613.449172548</v>
      </c>
      <c r="M13" s="127">
        <f>FoU!J19</f>
        <v>22196.124651441114</v>
      </c>
      <c r="N13" s="127">
        <f>'Østlandet IR 2023-2030'!C30*Skatt!$G$10</f>
        <v>31310.160907206406</v>
      </c>
      <c r="O13" s="127">
        <f>Tidsetterslep!D28</f>
        <v>96398.35390905611</v>
      </c>
      <c r="P13" s="127">
        <f>ROUND('Elhub&amp;Elbits'!I32,-1)</f>
        <v>0</v>
      </c>
      <c r="Q13" s="127">
        <f t="shared" si="0"/>
        <v>7115918.3585144691</v>
      </c>
      <c r="R13" s="13"/>
    </row>
    <row r="14" spans="1:20" x14ac:dyDescent="0.25">
      <c r="A14" s="54" t="s">
        <v>72</v>
      </c>
      <c r="B14" s="48">
        <f>(B13-B7)/B7</f>
        <v>8.810541609488115E-2</v>
      </c>
      <c r="C14" s="48">
        <f t="shared" ref="C14:E14" si="1">(C13-C7)/C7</f>
        <v>0.54581564554024375</v>
      </c>
      <c r="D14" s="48">
        <f t="shared" si="1"/>
        <v>0.26130095584268992</v>
      </c>
      <c r="E14" s="48">
        <f t="shared" si="1"/>
        <v>0.26130095584268992</v>
      </c>
      <c r="F14" s="48"/>
      <c r="G14" s="48"/>
      <c r="H14" s="48">
        <f t="shared" ref="H14" si="2">(H13-H7)/H7</f>
        <v>0.31939743441545571</v>
      </c>
      <c r="J14" s="54" t="s">
        <v>72</v>
      </c>
      <c r="K14" s="48">
        <f>(K13-K7)/K7</f>
        <v>0.14764425082783031</v>
      </c>
      <c r="L14" s="48">
        <f t="shared" ref="L14" si="3">(L13-L7)/L7</f>
        <v>0.67864313718105762</v>
      </c>
      <c r="M14" s="48">
        <f t="shared" ref="M14" si="4">(M13-M7)/M7</f>
        <v>0.35064599846541744</v>
      </c>
      <c r="N14" s="48">
        <f t="shared" ref="N14" si="5">(N13-N7)/N7</f>
        <v>0.35064599846541711</v>
      </c>
      <c r="O14" s="48"/>
      <c r="P14" s="48"/>
      <c r="Q14" s="48">
        <f t="shared" ref="Q14" si="6">(Q13-Q7)/Q7</f>
        <v>0.54581564554024364</v>
      </c>
    </row>
    <row r="15" spans="1:20" x14ac:dyDescent="0.25">
      <c r="K15" s="10"/>
      <c r="L15" s="10"/>
      <c r="M15" s="10"/>
      <c r="N15" s="10"/>
      <c r="O15" s="10"/>
      <c r="P15" s="10"/>
      <c r="Q15" s="10"/>
    </row>
    <row r="17" spans="1:18" ht="15.75" thickBot="1" x14ac:dyDescent="0.3">
      <c r="A17" s="53" t="s">
        <v>5</v>
      </c>
      <c r="B17" s="185" t="s">
        <v>10</v>
      </c>
      <c r="C17" s="185"/>
      <c r="D17" s="185"/>
      <c r="E17" s="185"/>
      <c r="F17" s="185"/>
      <c r="G17" s="185"/>
      <c r="H17" s="185"/>
      <c r="I17" s="32"/>
      <c r="J17" s="53" t="s">
        <v>5</v>
      </c>
      <c r="K17" s="185" t="s">
        <v>12</v>
      </c>
      <c r="L17" s="185"/>
      <c r="M17" s="185"/>
      <c r="N17" s="185"/>
      <c r="O17" s="185"/>
      <c r="P17" s="185"/>
      <c r="Q17" s="185"/>
    </row>
    <row r="18" spans="1:18" ht="15.75" thickBot="1" x14ac:dyDescent="0.3">
      <c r="A18" s="99"/>
      <c r="B18" s="50" t="s">
        <v>74</v>
      </c>
      <c r="C18" s="50" t="s">
        <v>75</v>
      </c>
      <c r="D18" s="50" t="s">
        <v>76</v>
      </c>
      <c r="E18" s="50" t="s">
        <v>77</v>
      </c>
      <c r="F18" s="50" t="s">
        <v>78</v>
      </c>
      <c r="G18" s="50" t="s">
        <v>79</v>
      </c>
      <c r="H18" s="50" t="s">
        <v>80</v>
      </c>
      <c r="J18" s="53"/>
      <c r="K18" s="28" t="s">
        <v>74</v>
      </c>
      <c r="L18" s="28" t="s">
        <v>75</v>
      </c>
      <c r="M18" s="28" t="s">
        <v>76</v>
      </c>
      <c r="N18" s="28" t="s">
        <v>77</v>
      </c>
      <c r="O18" s="28" t="s">
        <v>78</v>
      </c>
      <c r="P18" s="28" t="s">
        <v>79</v>
      </c>
      <c r="Q18" s="28" t="s">
        <v>80</v>
      </c>
    </row>
    <row r="19" spans="1:18" x14ac:dyDescent="0.25">
      <c r="A19" s="100">
        <v>2023</v>
      </c>
      <c r="B19" s="34">
        <f>'Sørlandet IR 2023-2030'!H8</f>
        <v>4548241.3339917157</v>
      </c>
      <c r="C19" s="34">
        <f>'TI 2024-2030'!Q19*KON!$K$12</f>
        <v>2496454.0801588143</v>
      </c>
      <c r="D19" s="34">
        <f>FoU!C12</f>
        <v>39916.196250672634</v>
      </c>
      <c r="E19" s="34">
        <f>'Sørlandet IR 2023-2030'!$C8*Skatt!$D$18</f>
        <v>64852.882188078649</v>
      </c>
      <c r="F19" s="34">
        <f>Tidsetterslep!G7</f>
        <v>-118710.63260723883</v>
      </c>
      <c r="G19" s="34">
        <f>ROUND('Elhub&amp;Elbits'!C25+'Elhub&amp;Elbits'!C60,-2)</f>
        <v>85200</v>
      </c>
      <c r="H19" s="34">
        <f>SUM(B19:G19)-KON!C34</f>
        <v>7084059.036693234</v>
      </c>
      <c r="J19" s="100">
        <v>2023</v>
      </c>
      <c r="K19" s="34">
        <f>'Sørlandet IR 2023-2030'!H23</f>
        <v>1898094.5007852935</v>
      </c>
      <c r="L19" s="34">
        <f>('TI T-nett 2024-2030'!K5*Fordelingsnøkler!$C$13)*KON!M17</f>
        <v>870603.98605854169</v>
      </c>
      <c r="M19" s="34">
        <f>FoU!K12</f>
        <v>23036.704620686669</v>
      </c>
      <c r="N19" s="34">
        <f>'Sørlandet IR 2023-2030'!C23*Skatt!$G$18</f>
        <v>47572.863488564748</v>
      </c>
      <c r="O19" s="34">
        <f>Tidsetterslep!G21</f>
        <v>14982.624466416193</v>
      </c>
      <c r="P19" s="34">
        <f>ROUND('Elhub&amp;Elbits'!J25,-1)</f>
        <v>480</v>
      </c>
      <c r="Q19" s="34">
        <f>SUM(K19:P19)</f>
        <v>2854770.6794195026</v>
      </c>
      <c r="R19" s="13"/>
    </row>
    <row r="20" spans="1:18" x14ac:dyDescent="0.25">
      <c r="A20" s="103">
        <v>2024</v>
      </c>
      <c r="B20" s="64">
        <f>'Sørlandet IR 2023-2030'!H9</f>
        <v>4335134.7341190884</v>
      </c>
      <c r="C20" s="64">
        <f>'TI 2024-2030'!Q20*KON!$K$12</f>
        <v>3247083.3322037747</v>
      </c>
      <c r="D20" s="64">
        <f>FoU!C13</f>
        <v>42343.239999999991</v>
      </c>
      <c r="E20" s="64">
        <f>'Sørlandet IR 2023-2030'!$C9*Skatt!$D$18</f>
        <v>68796.16329011471</v>
      </c>
      <c r="F20" s="64">
        <f>Tidsetterslep!G8</f>
        <v>-143271.84166338202</v>
      </c>
      <c r="G20" s="64">
        <f>ROUND('Elhub&amp;Elbits'!C26+'Elhub&amp;Elbits'!C61,-2)</f>
        <v>101200</v>
      </c>
      <c r="H20" s="64">
        <f>SUM(B20:G20)-KON!C35</f>
        <v>7619390.8046607869</v>
      </c>
      <c r="J20" s="103">
        <v>2024</v>
      </c>
      <c r="K20" s="64">
        <f>'Sørlandet IR 2023-2030'!H24</f>
        <v>1764396.2848934447</v>
      </c>
      <c r="L20" s="64">
        <f>('TI T-nett 2024-2030'!K6*Fordelingsnøkler!$C$13)*KON!M18</f>
        <v>1770882.0617451521</v>
      </c>
      <c r="M20" s="64">
        <f>FoU!K13</f>
        <v>24967.199999999997</v>
      </c>
      <c r="N20" s="64">
        <f>'Sørlandet IR 2023-2030'!C24*Skatt!$G$18</f>
        <v>51559.509784446302</v>
      </c>
      <c r="O20" s="64">
        <f>Tidsetterslep!G22</f>
        <v>100852.85549777723</v>
      </c>
      <c r="P20" s="64">
        <f>ROUND('Elhub&amp;Elbits'!J26,-1)</f>
        <v>480</v>
      </c>
      <c r="Q20" s="64">
        <f t="shared" ref="Q20:Q26" si="7">SUM(K20:P20)</f>
        <v>3713137.9119208204</v>
      </c>
      <c r="R20" s="13"/>
    </row>
    <row r="21" spans="1:18" x14ac:dyDescent="0.25">
      <c r="A21" s="100">
        <v>2025</v>
      </c>
      <c r="B21" s="34">
        <f>'Sørlandet IR 2023-2030'!H10</f>
        <v>4236874.5382020865</v>
      </c>
      <c r="C21" s="34">
        <f>'TI 2024-2030'!Q21*KON!$K$12</f>
        <v>3182310.0523444954</v>
      </c>
      <c r="D21" s="34">
        <f>FoU!C14</f>
        <v>44221.346784099849</v>
      </c>
      <c r="E21" s="34">
        <f>'Sørlandet IR 2023-2030'!$C10*Skatt!$D$18</f>
        <v>71847.572228004341</v>
      </c>
      <c r="F21" s="34">
        <f>Tidsetterslep!G9</f>
        <v>-32606.652623770526</v>
      </c>
      <c r="G21" s="34">
        <f>ROUND('Elhub&amp;Elbits'!C27+'Elhub&amp;Elbits'!C62,-2)</f>
        <v>93200</v>
      </c>
      <c r="H21" s="34">
        <f>SUM(B21:G21)-KON!C36</f>
        <v>7563952.0336461058</v>
      </c>
      <c r="J21" s="100">
        <v>2025</v>
      </c>
      <c r="K21" s="34">
        <f>'Sørlandet IR 2023-2030'!H25</f>
        <v>1774138.2133186571</v>
      </c>
      <c r="L21" s="34">
        <f>('TI T-nett 2024-2030'!K7*Fordelingsnøkler!$C$13)*KON!M19</f>
        <v>1552071.045079519</v>
      </c>
      <c r="M21" s="34">
        <f>FoU!K14</f>
        <v>27337.792135723867</v>
      </c>
      <c r="N21" s="34">
        <f>'Sørlandet IR 2023-2030'!C25*Skatt!$G$18</f>
        <v>56454.995398243067</v>
      </c>
      <c r="O21" s="34">
        <f>Tidsetterslep!G23</f>
        <v>228585.66312704852</v>
      </c>
      <c r="P21" s="34">
        <f>ROUND('Elhub&amp;Elbits'!J27,-1)</f>
        <v>480</v>
      </c>
      <c r="Q21" s="34">
        <f t="shared" si="7"/>
        <v>3639067.7090591914</v>
      </c>
      <c r="R21" s="13"/>
    </row>
    <row r="22" spans="1:18" x14ac:dyDescent="0.25">
      <c r="A22" s="103">
        <v>2026</v>
      </c>
      <c r="B22" s="64">
        <f>'Sørlandet IR 2023-2030'!H11</f>
        <v>4137879.9784277985</v>
      </c>
      <c r="C22" s="64">
        <f>'TI 2024-2030'!Q22*KON!$K$12</f>
        <v>3554723.4009297453</v>
      </c>
      <c r="D22" s="64">
        <f>FoU!C15</f>
        <v>45712.481697447642</v>
      </c>
      <c r="E22" s="64">
        <f>'Sørlandet IR 2023-2030'!$C11*Skatt!$D$18</f>
        <v>74270.25790312665</v>
      </c>
      <c r="F22" s="64">
        <f>Tidsetterslep!G10</f>
        <v>105194.7263602626</v>
      </c>
      <c r="G22" s="64">
        <f>ROUND('Elhub&amp;Elbits'!C28+'Elhub&amp;Elbits'!C63,-2)</f>
        <v>93200</v>
      </c>
      <c r="H22" s="64">
        <f>SUM(B22:G22)-KON!C37</f>
        <v>7979086.0220295712</v>
      </c>
      <c r="J22" s="103">
        <v>2026</v>
      </c>
      <c r="K22" s="64">
        <f>'Sørlandet IR 2023-2030'!H26</f>
        <v>1854727.6162660113</v>
      </c>
      <c r="L22" s="64">
        <f>('TI T-nett 2024-2030'!K8*Fordelingsnøkler!$C$13)*KON!M20</f>
        <v>1803489.7828388254</v>
      </c>
      <c r="M22" s="64">
        <f>FoU!K15</f>
        <v>32792.811714804302</v>
      </c>
      <c r="N22" s="64">
        <f>'Sørlandet IR 2023-2030'!C26*Skatt!$G$18</f>
        <v>67720.100630785921</v>
      </c>
      <c r="O22" s="64">
        <f>Tidsetterslep!G24</f>
        <v>305723.31543809373</v>
      </c>
      <c r="P22" s="64">
        <f>ROUND('Elhub&amp;Elbits'!J28,-1)</f>
        <v>480</v>
      </c>
      <c r="Q22" s="64">
        <f t="shared" si="7"/>
        <v>4064933.6268885201</v>
      </c>
      <c r="R22" s="13"/>
    </row>
    <row r="23" spans="1:18" x14ac:dyDescent="0.25">
      <c r="A23" s="100">
        <v>2027</v>
      </c>
      <c r="B23" s="34">
        <f>'Sørlandet IR 2023-2030'!H12</f>
        <v>4189570.0051512895</v>
      </c>
      <c r="C23" s="34">
        <f>'TI 2024-2030'!Q23*KON!$K$12</f>
        <v>3985803.796929006</v>
      </c>
      <c r="D23" s="34">
        <f>FoU!C16</f>
        <v>47040.202777980361</v>
      </c>
      <c r="E23" s="34">
        <f>'Sørlandet IR 2023-2030'!$C12*Skatt!$D$18</f>
        <v>76427.440874010703</v>
      </c>
      <c r="F23" s="34">
        <f>Tidsetterslep!G11</f>
        <v>106924.7243113392</v>
      </c>
      <c r="G23" s="34">
        <f>ROUND('Elhub&amp;Elbits'!C29+'Elhub&amp;Elbits'!C64,-2)</f>
        <v>93200</v>
      </c>
      <c r="H23" s="34">
        <f>SUM(B23:G23)-KON!C38</f>
        <v>8467071.3467548154</v>
      </c>
      <c r="J23" s="100">
        <v>2027</v>
      </c>
      <c r="K23" s="34">
        <f>'Sørlandet IR 2023-2030'!H27</f>
        <v>1994798.7582715829</v>
      </c>
      <c r="L23" s="34">
        <f>('TI T-nett 2024-2030'!K9*Fordelingsnøkler!$C$13)*KON!M21</f>
        <v>2120328.9144211421</v>
      </c>
      <c r="M23" s="34">
        <f>FoU!K16</f>
        <v>37591.421948392323</v>
      </c>
      <c r="N23" s="34">
        <f>'Sørlandet IR 2023-2030'!C27*Skatt!$G$18</f>
        <v>77629.661626429239</v>
      </c>
      <c r="O23" s="34">
        <f>Tidsetterslep!G25</f>
        <v>327058.32999041199</v>
      </c>
      <c r="P23" s="34">
        <f>ROUND('Elhub&amp;Elbits'!J29,-1)</f>
        <v>480</v>
      </c>
      <c r="Q23" s="34">
        <f t="shared" si="7"/>
        <v>4557887.0862579588</v>
      </c>
      <c r="R23" s="13"/>
    </row>
    <row r="24" spans="1:18" x14ac:dyDescent="0.25">
      <c r="A24" s="103">
        <v>2028</v>
      </c>
      <c r="B24" s="64">
        <f>'Sørlandet IR 2023-2030'!H13</f>
        <v>4290683.6621338548</v>
      </c>
      <c r="C24" s="64">
        <f>'TI 2024-2030'!Q24*KON!$K$12</f>
        <v>4485503.0956684584</v>
      </c>
      <c r="D24" s="64">
        <f>FoU!C17</f>
        <v>48351.426560470645</v>
      </c>
      <c r="E24" s="64">
        <f>'Sørlandet IR 2023-2030'!$C13*Skatt!$D$18</f>
        <v>78557.820255703831</v>
      </c>
      <c r="F24" s="64">
        <f>Tidsetterslep!G12</f>
        <v>106096.88675667229</v>
      </c>
      <c r="G24" s="64">
        <f>ROUND('Elhub&amp;Elbits'!C30+'Elhub&amp;Elbits'!C65,-2)</f>
        <v>93200</v>
      </c>
      <c r="H24" s="64">
        <f>SUM(B24:G24)-KON!C39</f>
        <v>9070498.0680863503</v>
      </c>
      <c r="J24" s="103">
        <v>2028</v>
      </c>
      <c r="K24" s="64">
        <f>'Sørlandet IR 2023-2030'!H28</f>
        <v>2186121.7496826211</v>
      </c>
      <c r="L24" s="64">
        <f>('TI T-nett 2024-2030'!K10*Fordelingsnøkler!$C$13)*KON!M22</f>
        <v>2489616.9468210307</v>
      </c>
      <c r="M24" s="64">
        <f>FoU!K17</f>
        <v>43214.516547908439</v>
      </c>
      <c r="N24" s="64">
        <f>'Sørlandet IR 2023-2030'!C28*Skatt!$G$18</f>
        <v>89241.856867490249</v>
      </c>
      <c r="O24" s="64">
        <f>Tidsetterslep!G26</f>
        <v>320633.26454273018</v>
      </c>
      <c r="P24" s="64">
        <f>ROUND('Elhub&amp;Elbits'!J30,-1)</f>
        <v>480</v>
      </c>
      <c r="Q24" s="64">
        <f t="shared" si="7"/>
        <v>5129308.3344617812</v>
      </c>
      <c r="R24" s="13"/>
    </row>
    <row r="25" spans="1:18" x14ac:dyDescent="0.25">
      <c r="A25" s="100">
        <v>2029</v>
      </c>
      <c r="B25" s="34">
        <f>'Sørlandet IR 2023-2030'!H14</f>
        <v>4394818.7637369465</v>
      </c>
      <c r="C25" s="34">
        <f>'TI 2024-2030'!Q25*KON!$K$12</f>
        <v>4688839.8517785333</v>
      </c>
      <c r="D25" s="34">
        <f>FoU!C18</f>
        <v>49699.767485216071</v>
      </c>
      <c r="E25" s="34">
        <f>'Sørlandet IR 2023-2030'!$C14*Skatt!$D$18</f>
        <v>80748.504823760741</v>
      </c>
      <c r="F25" s="34">
        <f>Tidsetterslep!G13</f>
        <v>102229.94479712937</v>
      </c>
      <c r="G25" s="34">
        <f>ROUND('Elhub&amp;Elbits'!C31+'Elhub&amp;Elbits'!C66,-2)</f>
        <v>93200</v>
      </c>
      <c r="H25" s="34">
        <f>SUM(B25:G25)-KON!C40</f>
        <v>9377642.0093327761</v>
      </c>
      <c r="J25" s="100">
        <v>2029</v>
      </c>
      <c r="K25" s="34">
        <f>'Sørlandet IR 2023-2030'!H29</f>
        <v>2374873.548346105</v>
      </c>
      <c r="L25" s="34">
        <f>('TI T-nett 2024-2030'!K11*Fordelingsnøkler!$C$13)*KON!M23</f>
        <v>2523070.4705284261</v>
      </c>
      <c r="M25" s="34">
        <f>FoU!K18</f>
        <v>48676.499505751832</v>
      </c>
      <c r="N25" s="34">
        <f>'Sørlandet IR 2023-2030'!C29*Skatt!$G$18</f>
        <v>100521.3421024147</v>
      </c>
      <c r="O25" s="34">
        <f>Tidsetterslep!G27</f>
        <v>314208.19909504836</v>
      </c>
      <c r="P25" s="34">
        <f>ROUND('Elhub&amp;Elbits'!J31,-1)</f>
        <v>480</v>
      </c>
      <c r="Q25" s="34">
        <f t="shared" si="7"/>
        <v>5361830.0595777463</v>
      </c>
      <c r="R25" s="13"/>
    </row>
    <row r="26" spans="1:18" ht="15.75" thickBot="1" x14ac:dyDescent="0.3">
      <c r="A26" s="106">
        <v>2030</v>
      </c>
      <c r="B26" s="127">
        <f>'Sørlandet IR 2023-2030'!H15</f>
        <v>4497646.6112411981</v>
      </c>
      <c r="C26" s="127">
        <f>'TI 2024-2030'!Q26*KON!$K$12</f>
        <v>4741201.2162631452</v>
      </c>
      <c r="D26" s="127">
        <f>FoU!C19</f>
        <v>50959.544019164474</v>
      </c>
      <c r="E26" s="127">
        <f>'Sørlandet IR 2023-2030'!$C15*Skatt!$D$18</f>
        <v>82795.296522708886</v>
      </c>
      <c r="F26" s="127">
        <f>Tidsetterslep!G14</f>
        <v>99815.774067495717</v>
      </c>
      <c r="G26" s="127">
        <f>ROUND('Elhub&amp;Elbits'!C32+'Elhub&amp;Elbits'!C67,-2)</f>
        <v>93200</v>
      </c>
      <c r="H26" s="127">
        <f>SUM(B26:G26)-KON!C41</f>
        <v>9533723.6188249029</v>
      </c>
      <c r="J26" s="106">
        <v>2030</v>
      </c>
      <c r="K26" s="127">
        <f>'Sørlandet IR 2023-2030'!H30</f>
        <v>2561142.1394885024</v>
      </c>
      <c r="L26" s="127">
        <f>('TI T-nett 2024-2030'!K12*Fordelingsnøkler!$C$13)*KON!M24</f>
        <v>2386856.100851675</v>
      </c>
      <c r="M26" s="127">
        <f>FoU!K19</f>
        <v>53977.370821922501</v>
      </c>
      <c r="N26" s="127">
        <f>'Sørlandet IR 2023-2030'!C30*Skatt!$G$18</f>
        <v>111468.11733120256</v>
      </c>
      <c r="O26" s="127">
        <f>Tidsetterslep!G28</f>
        <v>307783.13364736666</v>
      </c>
      <c r="P26" s="127">
        <f>ROUND('Elhub&amp;Elbits'!J32,-1)</f>
        <v>480</v>
      </c>
      <c r="Q26" s="127">
        <f t="shared" si="7"/>
        <v>5421706.8621406676</v>
      </c>
      <c r="R26" s="13"/>
    </row>
    <row r="27" spans="1:18" x14ac:dyDescent="0.25">
      <c r="A27" s="54" t="s">
        <v>72</v>
      </c>
      <c r="B27" s="48">
        <f>(B26-B20)/B20</f>
        <v>3.7487157167938087E-2</v>
      </c>
      <c r="C27" s="48">
        <f t="shared" ref="C27" si="8">(C26-C20)/C20</f>
        <v>0.46014152739508607</v>
      </c>
      <c r="D27" s="48">
        <f t="shared" ref="D27" si="9">(D26-D20)/D20</f>
        <v>0.20348712141925099</v>
      </c>
      <c r="E27" s="48">
        <f t="shared" ref="E27" si="10">(E26-E20)/E20</f>
        <v>0.20348712141925079</v>
      </c>
      <c r="F27" s="48"/>
      <c r="G27" s="48"/>
      <c r="H27" s="48">
        <f t="shared" ref="H27" si="11">(H26-H20)/H20</f>
        <v>0.25124486500851451</v>
      </c>
      <c r="J27" s="54" t="s">
        <v>72</v>
      </c>
      <c r="K27" s="48">
        <f>(K26-K20)/K20</f>
        <v>0.45156854013846137</v>
      </c>
      <c r="L27" s="48">
        <f t="shared" ref="L27" si="12">(L26-L20)/L20</f>
        <v>0.34783459181889204</v>
      </c>
      <c r="M27" s="48">
        <f t="shared" ref="M27" si="13">(M26-M20)/M20</f>
        <v>1.1619312867250835</v>
      </c>
      <c r="N27" s="48">
        <f t="shared" ref="N27" si="14">(N26-N20)/N20</f>
        <v>1.1619312867250842</v>
      </c>
      <c r="O27" s="48"/>
      <c r="P27" s="48"/>
      <c r="Q27" s="48">
        <f t="shared" ref="Q27" si="15">(Q26-Q20)/Q20</f>
        <v>0.46014152739508618</v>
      </c>
    </row>
    <row r="28" spans="1:18" x14ac:dyDescent="0.25">
      <c r="K28" s="10"/>
      <c r="L28" s="10"/>
      <c r="M28" s="10"/>
      <c r="N28" s="10"/>
    </row>
    <row r="30" spans="1:18" ht="15.75" thickBot="1" x14ac:dyDescent="0.3">
      <c r="A30" s="53" t="s">
        <v>6</v>
      </c>
      <c r="B30" s="185" t="s">
        <v>10</v>
      </c>
      <c r="C30" s="185"/>
      <c r="D30" s="185"/>
      <c r="E30" s="185"/>
      <c r="F30" s="185"/>
      <c r="G30" s="185"/>
      <c r="H30" s="185"/>
      <c r="I30" s="32"/>
      <c r="J30" s="53" t="s">
        <v>6</v>
      </c>
      <c r="K30" s="185" t="s">
        <v>12</v>
      </c>
      <c r="L30" s="185"/>
      <c r="M30" s="185"/>
      <c r="N30" s="185"/>
      <c r="O30" s="185"/>
      <c r="P30" s="185"/>
      <c r="Q30" s="185"/>
    </row>
    <row r="31" spans="1:18" ht="15.75" thickBot="1" x14ac:dyDescent="0.3">
      <c r="A31" s="99"/>
      <c r="B31" s="50" t="s">
        <v>74</v>
      </c>
      <c r="C31" s="50" t="s">
        <v>75</v>
      </c>
      <c r="D31" s="50" t="s">
        <v>76</v>
      </c>
      <c r="E31" s="50" t="s">
        <v>77</v>
      </c>
      <c r="F31" s="50" t="s">
        <v>78</v>
      </c>
      <c r="G31" s="50" t="s">
        <v>79</v>
      </c>
      <c r="H31" s="50" t="s">
        <v>80</v>
      </c>
      <c r="J31" s="53"/>
      <c r="K31" s="28" t="s">
        <v>74</v>
      </c>
      <c r="L31" s="28" t="s">
        <v>75</v>
      </c>
      <c r="M31" s="28" t="s">
        <v>76</v>
      </c>
      <c r="N31" s="28" t="s">
        <v>77</v>
      </c>
      <c r="O31" s="28" t="s">
        <v>78</v>
      </c>
      <c r="P31" s="28" t="s">
        <v>79</v>
      </c>
      <c r="Q31" s="28" t="s">
        <v>80</v>
      </c>
    </row>
    <row r="32" spans="1:18" x14ac:dyDescent="0.25">
      <c r="A32" s="100">
        <v>2023</v>
      </c>
      <c r="B32" s="34">
        <f>'Midt-Norge IR 2023-2030'!H8</f>
        <v>2815034.2792681661</v>
      </c>
      <c r="C32" s="34">
        <f>'TI 2024-2030'!Q32*KON!$K$12</f>
        <v>1399678.149919712</v>
      </c>
      <c r="D32" s="34">
        <f>FoU!D12</f>
        <v>22280.768255660831</v>
      </c>
      <c r="E32" s="34">
        <f>'Midt-Norge IR 2023-2030'!$C8*Skatt!$D$26</f>
        <v>60816.540816137116</v>
      </c>
      <c r="F32" s="34">
        <f>Tidsetterslep!J7</f>
        <v>-53358.572233355138</v>
      </c>
      <c r="G32" s="34">
        <f>ROUND('Elhub&amp;Elbits'!D25+'Elhub&amp;Elbits'!D60,-2)</f>
        <v>49400</v>
      </c>
      <c r="H32" s="34">
        <f>SUM(B32:G32)-KON!D34</f>
        <v>4221956.287373662</v>
      </c>
      <c r="J32" s="100">
        <v>2023</v>
      </c>
      <c r="K32" s="34">
        <f>'Midt-Norge IR 2023-2030'!H23</f>
        <v>940083.99199444149</v>
      </c>
      <c r="L32" s="34">
        <f>('TI T-nett 2024-2030'!K5*Fordelingsnøkler!$D$13)*KON!N17</f>
        <v>634153.21513436071</v>
      </c>
      <c r="M32" s="34">
        <f>FoU!L12</f>
        <v>4025.5274871923775</v>
      </c>
      <c r="N32" s="34">
        <f>'Midt-Norge IR 2023-2030'!C23*Skatt!$G$26</f>
        <v>33929.540645328903</v>
      </c>
      <c r="O32" s="34">
        <f>Tidsetterslep!J21</f>
        <v>-11908.014844430902</v>
      </c>
      <c r="P32" s="34">
        <f>ROUND('Elhub&amp;Elbits'!K25,-1)</f>
        <v>290</v>
      </c>
      <c r="Q32" s="34">
        <f>SUM(K32:P32)</f>
        <v>1600574.2604168926</v>
      </c>
      <c r="R32" s="13"/>
    </row>
    <row r="33" spans="1:18" x14ac:dyDescent="0.25">
      <c r="A33" s="103">
        <v>2024</v>
      </c>
      <c r="B33" s="64">
        <f>'Midt-Norge IR 2023-2030'!H9</f>
        <v>2838243.4627154013</v>
      </c>
      <c r="C33" s="64">
        <f>'TI 2024-2030'!Q33*KON!$K$12</f>
        <v>2064281.5431208354</v>
      </c>
      <c r="D33" s="64">
        <f>FoU!D13</f>
        <v>23664.300000000003</v>
      </c>
      <c r="E33" s="64">
        <f>'Midt-Norge IR 2023-2030'!$C9*Skatt!$D$26</f>
        <v>64592.964224636366</v>
      </c>
      <c r="F33" s="64">
        <f>Tidsetterslep!J8</f>
        <v>-82305.328697955993</v>
      </c>
      <c r="G33" s="64">
        <f>ROUND('Elhub&amp;Elbits'!D26+'Elhub&amp;Elbits'!D61,-2)</f>
        <v>58500</v>
      </c>
      <c r="H33" s="64">
        <f>SUM(B33:G33)-KON!D35</f>
        <v>4895082.0627102572</v>
      </c>
      <c r="J33" s="103">
        <v>2024</v>
      </c>
      <c r="K33" s="64">
        <f>'Midt-Norge IR 2023-2030'!H24</f>
        <v>1002013.1680813662</v>
      </c>
      <c r="L33" s="64">
        <f>('TI T-nett 2024-2030'!K6*Fordelingsnøkler!$D$13)*KON!N18</f>
        <v>1323921.9918748434</v>
      </c>
      <c r="M33" s="64">
        <f>FoU!L13</f>
        <v>4260.1799999999994</v>
      </c>
      <c r="N33" s="64">
        <f>'Midt-Norge IR 2023-2030'!C24*Skatt!$G$26</f>
        <v>35907.331629532986</v>
      </c>
      <c r="O33" s="64">
        <f>Tidsetterslep!J22</f>
        <v>-5824.3478161682724</v>
      </c>
      <c r="P33" s="64">
        <f>ROUND('Elhub&amp;Elbits'!K26,-1)</f>
        <v>290</v>
      </c>
      <c r="Q33" s="64">
        <f t="shared" ref="Q33:Q39" si="16">SUM(K33:P33)</f>
        <v>2360568.3237695741</v>
      </c>
      <c r="R33" s="13"/>
    </row>
    <row r="34" spans="1:18" x14ac:dyDescent="0.25">
      <c r="A34" s="100">
        <v>2025</v>
      </c>
      <c r="B34" s="34">
        <f>'Midt-Norge IR 2023-2030'!H10</f>
        <v>2735720.7754626763</v>
      </c>
      <c r="C34" s="34">
        <f>'TI 2024-2030'!Q34*KON!$K$12</f>
        <v>1999476.8599263274</v>
      </c>
      <c r="D34" s="34">
        <f>FoU!D14</f>
        <v>24840.079891026187</v>
      </c>
      <c r="E34" s="34">
        <f>'Midt-Norge IR 2023-2030'!$C10*Skatt!$D$26</f>
        <v>67802.317910868413</v>
      </c>
      <c r="F34" s="34">
        <f>Tidsetterslep!J9</f>
        <v>-13343.825700481073</v>
      </c>
      <c r="G34" s="34">
        <f>ROUND('Elhub&amp;Elbits'!D27+'Elhub&amp;Elbits'!D62,-2)</f>
        <v>54000</v>
      </c>
      <c r="H34" s="34">
        <f>SUM(B34:G34)-KON!D36</f>
        <v>4796601.328837757</v>
      </c>
      <c r="J34" s="100">
        <v>2025</v>
      </c>
      <c r="K34" s="34">
        <f>'Midt-Norge IR 2023-2030'!H25</f>
        <v>946671.05937296012</v>
      </c>
      <c r="L34" s="34">
        <f>('TI T-nett 2024-2030'!K7*Fordelingsnøkler!$D$13)*KON!N19</f>
        <v>1230171.6592476664</v>
      </c>
      <c r="M34" s="34">
        <f>FoU!L14</f>
        <v>4487.1264798984867</v>
      </c>
      <c r="N34" s="34">
        <f>'Midt-Norge IR 2023-2030'!C25*Skatt!$G$26</f>
        <v>37820.171583682844</v>
      </c>
      <c r="O34" s="34">
        <f>Tidsetterslep!J23</f>
        <v>67022.1935609465</v>
      </c>
      <c r="P34" s="34">
        <f>ROUND('Elhub&amp;Elbits'!K27,-1)</f>
        <v>290</v>
      </c>
      <c r="Q34" s="34">
        <f t="shared" si="16"/>
        <v>2286462.2102451539</v>
      </c>
      <c r="R34" s="13"/>
    </row>
    <row r="35" spans="1:18" x14ac:dyDescent="0.25">
      <c r="A35" s="103">
        <v>2026</v>
      </c>
      <c r="B35" s="64">
        <f>'Midt-Norge IR 2023-2030'!H11</f>
        <v>2703073.0116447066</v>
      </c>
      <c r="C35" s="64">
        <f>'TI 2024-2030'!Q35*KON!$K$12</f>
        <v>2301843.1748543177</v>
      </c>
      <c r="D35" s="64">
        <f>FoU!D15</f>
        <v>25764.228748605768</v>
      </c>
      <c r="E35" s="64">
        <f>'Midt-Norge IR 2023-2030'!$C11*Skatt!$D$26</f>
        <v>70324.83132119014</v>
      </c>
      <c r="F35" s="64">
        <f>Tidsetterslep!J10</f>
        <v>74973.508285802032</v>
      </c>
      <c r="G35" s="64">
        <f>ROUND('Elhub&amp;Elbits'!D28+'Elhub&amp;Elbits'!D63,-2)</f>
        <v>54000</v>
      </c>
      <c r="H35" s="64">
        <f>SUM(B35:G35)-KON!D37</f>
        <v>5158083.8762019612</v>
      </c>
      <c r="J35" s="103">
        <v>2026</v>
      </c>
      <c r="K35" s="64">
        <f>'Midt-Norge IR 2023-2030'!H26</f>
        <v>966129.6672512769</v>
      </c>
      <c r="L35" s="64">
        <f>('TI T-nett 2024-2030'!K8*Fordelingsnøkler!$D$13)*KON!N20</f>
        <v>1467565.6876309111</v>
      </c>
      <c r="M35" s="64">
        <f>FoU!L15</f>
        <v>4942.8941430686918</v>
      </c>
      <c r="N35" s="64">
        <f>'Midt-Norge IR 2023-2030'!C26*Skatt!$G$26</f>
        <v>41661.652607364907</v>
      </c>
      <c r="O35" s="64">
        <f>Tidsetterslep!J24</f>
        <v>151637.32674802991</v>
      </c>
      <c r="P35" s="64">
        <f>ROUND('Elhub&amp;Elbits'!K28,-1)</f>
        <v>290</v>
      </c>
      <c r="Q35" s="64">
        <f t="shared" si="16"/>
        <v>2632227.2283806517</v>
      </c>
      <c r="R35" s="13"/>
    </row>
    <row r="36" spans="1:18" x14ac:dyDescent="0.25">
      <c r="A36" s="100">
        <v>2027</v>
      </c>
      <c r="B36" s="34">
        <f>'Midt-Norge IR 2023-2030'!H12</f>
        <v>2748616.0188040147</v>
      </c>
      <c r="C36" s="34">
        <f>'TI 2024-2030'!Q36*KON!$K$12</f>
        <v>2617631.255197159</v>
      </c>
      <c r="D36" s="34">
        <f>FoU!D16</f>
        <v>26617.894034079342</v>
      </c>
      <c r="E36" s="34">
        <f>'Midt-Norge IR 2023-2030'!$C12*Skatt!$D$26</f>
        <v>72654.956076387141</v>
      </c>
      <c r="F36" s="34">
        <f>Tidsetterslep!J11</f>
        <v>76081.691303505795</v>
      </c>
      <c r="G36" s="34">
        <f>ROUND('Elhub&amp;Elbits'!D29+'Elhub&amp;Elbits'!D64,-2)</f>
        <v>54000</v>
      </c>
      <c r="H36" s="34">
        <f>SUM(B36:G36)-KON!D38</f>
        <v>5523706.9367624857</v>
      </c>
      <c r="J36" s="100">
        <v>2027</v>
      </c>
      <c r="K36" s="34">
        <f>'Midt-Norge IR 2023-2030'!H27</f>
        <v>1032224.0424039119</v>
      </c>
      <c r="L36" s="34">
        <f>('TI T-nett 2024-2030'!K9*Fordelingsnøkler!$D$13)*KON!N21</f>
        <v>1728215.1804471032</v>
      </c>
      <c r="M36" s="34">
        <f>FoU!L16</f>
        <v>5517.1708753102303</v>
      </c>
      <c r="N36" s="34">
        <f>'Midt-Norge IR 2023-2030'!C27*Skatt!$G$26</f>
        <v>46501.998572024015</v>
      </c>
      <c r="O36" s="34">
        <f>Tidsetterslep!J25</f>
        <v>180592.04855347401</v>
      </c>
      <c r="P36" s="34">
        <f>ROUND('Elhub&amp;Elbits'!K29,-1)</f>
        <v>290</v>
      </c>
      <c r="Q36" s="34">
        <f t="shared" si="16"/>
        <v>2993340.4408518234</v>
      </c>
      <c r="R36" s="13"/>
    </row>
    <row r="37" spans="1:18" x14ac:dyDescent="0.25">
      <c r="A37" s="103">
        <v>2028</v>
      </c>
      <c r="B37" s="64">
        <f>'Midt-Norge IR 2023-2030'!H13</f>
        <v>2871743.7457650779</v>
      </c>
      <c r="C37" s="64">
        <f>'TI 2024-2030'!Q37*KON!$K$12</f>
        <v>3024576.5009390414</v>
      </c>
      <c r="D37" s="64">
        <f>FoU!D17</f>
        <v>27458.456587986551</v>
      </c>
      <c r="E37" s="64">
        <f>'Midt-Norge IR 2023-2030'!$C13*Skatt!$D$26</f>
        <v>74949.31622957559</v>
      </c>
      <c r="F37" s="64">
        <f>Tidsetterslep!J12</f>
        <v>76794.901073507732</v>
      </c>
      <c r="G37" s="64">
        <f>ROUND('Elhub&amp;Elbits'!D30+'Elhub&amp;Elbits'!D65,-2)</f>
        <v>54000</v>
      </c>
      <c r="H37" s="64">
        <f>SUM(B37:G37)-KON!D39</f>
        <v>6057628.0419425284</v>
      </c>
      <c r="J37" s="103">
        <v>2028</v>
      </c>
      <c r="K37" s="64">
        <f>'Midt-Norge IR 2023-2030'!H28</f>
        <v>1183938.684888823</v>
      </c>
      <c r="L37" s="64">
        <f>('TI T-nett 2024-2030'!K10*Fordelingsnøkler!$D$13)*KON!N22</f>
        <v>2037129.9223348396</v>
      </c>
      <c r="M37" s="64">
        <f>FoU!L17</f>
        <v>6386.5550827855477</v>
      </c>
      <c r="N37" s="64">
        <f>'Midt-Norge IR 2023-2030'!C28*Skatt!$G$26</f>
        <v>53829.685911830064</v>
      </c>
      <c r="O37" s="64">
        <f>Tidsetterslep!J26</f>
        <v>177119.77835891803</v>
      </c>
      <c r="P37" s="64">
        <f>ROUND('Elhub&amp;Elbits'!K30,-1)</f>
        <v>290</v>
      </c>
      <c r="Q37" s="64">
        <f t="shared" si="16"/>
        <v>3458694.6265771962</v>
      </c>
      <c r="R37" s="13"/>
    </row>
    <row r="38" spans="1:18" x14ac:dyDescent="0.25">
      <c r="A38" s="100">
        <v>2029</v>
      </c>
      <c r="B38" s="34">
        <f>'Midt-Norge IR 2023-2030'!H14</f>
        <v>2997451.4260068596</v>
      </c>
      <c r="C38" s="34">
        <f>'TI 2024-2030'!Q38*KON!$K$12</f>
        <v>3255813.6823234702</v>
      </c>
      <c r="D38" s="34">
        <f>FoU!D18</f>
        <v>28322.61046333296</v>
      </c>
      <c r="E38" s="34">
        <f>'Midt-Norge IR 2023-2030'!$C14*Skatt!$D$26</f>
        <v>77308.070148129336</v>
      </c>
      <c r="F38" s="34">
        <f>Tidsetterslep!J13</f>
        <v>75352.040111921728</v>
      </c>
      <c r="G38" s="34">
        <f>ROUND('Elhub&amp;Elbits'!D31+'Elhub&amp;Elbits'!D66,-2)</f>
        <v>54000</v>
      </c>
      <c r="H38" s="34">
        <f>SUM(B38:G38)-KON!D40</f>
        <v>6416352.9504010538</v>
      </c>
      <c r="J38" s="100">
        <v>2029</v>
      </c>
      <c r="K38" s="34">
        <f>'Midt-Norge IR 2023-2030'!H29</f>
        <v>1334819.7616817418</v>
      </c>
      <c r="L38" s="34">
        <f>('TI T-nett 2024-2030'!K11*Fordelingsnøkler!$D$13)*KON!N23</f>
        <v>2146178.3936625039</v>
      </c>
      <c r="M38" s="34">
        <f>FoU!L18</f>
        <v>7231.7951890296199</v>
      </c>
      <c r="N38" s="34">
        <f>'Midt-Norge IR 2023-2030'!C29*Skatt!$G$26</f>
        <v>60953.872401951987</v>
      </c>
      <c r="O38" s="34">
        <f>Tidsetterslep!J27</f>
        <v>173647.50816436211</v>
      </c>
      <c r="P38" s="34">
        <f>ROUND('Elhub&amp;Elbits'!K31,-1)</f>
        <v>290</v>
      </c>
      <c r="Q38" s="34">
        <f t="shared" si="16"/>
        <v>3723121.3310995894</v>
      </c>
      <c r="R38" s="13"/>
    </row>
    <row r="39" spans="1:18" ht="15.75" thickBot="1" x14ac:dyDescent="0.3">
      <c r="A39" s="106">
        <v>2030</v>
      </c>
      <c r="B39" s="127">
        <f>'Midt-Norge IR 2023-2030'!H15</f>
        <v>3124129.9403053899</v>
      </c>
      <c r="C39" s="127">
        <f>'TI 2024-2030'!Q39*KON!$K$12</f>
        <v>3359965.1402635695</v>
      </c>
      <c r="D39" s="127">
        <f>FoU!D19</f>
        <v>29163.431361308063</v>
      </c>
      <c r="E39" s="127">
        <f>'Midt-Norge IR 2023-2030'!$C15*Skatt!$D$26</f>
        <v>79603.135465177897</v>
      </c>
      <c r="F39" s="127">
        <f>Tidsetterslep!J14</f>
        <v>73643.780171027756</v>
      </c>
      <c r="G39" s="127">
        <f>ROUND('Elhub&amp;Elbits'!D32+'Elhub&amp;Elbits'!D67,-2)</f>
        <v>54000</v>
      </c>
      <c r="H39" s="127">
        <f>SUM(B39:G39)-KON!D41</f>
        <v>6648610.5489138132</v>
      </c>
      <c r="J39" s="106">
        <v>2030</v>
      </c>
      <c r="K39" s="127">
        <f>'Midt-Norge IR 2023-2030'!H30</f>
        <v>1485066.113321505</v>
      </c>
      <c r="L39" s="127">
        <f>('TI T-nett 2024-2030'!K12*Fordelingsnøkler!$D$13)*KON!N24</f>
        <v>2110762.8700130079</v>
      </c>
      <c r="M39" s="127">
        <f>FoU!L19</f>
        <v>8052.8911940424487</v>
      </c>
      <c r="N39" s="127">
        <f>'Midt-Norge IR 2023-2030'!C30*Skatt!$G$26</f>
        <v>67874.558042389792</v>
      </c>
      <c r="O39" s="127">
        <f>Tidsetterslep!J28</f>
        <v>170175.2379698063</v>
      </c>
      <c r="P39" s="127">
        <f>ROUND('Elhub&amp;Elbits'!K32,-1)</f>
        <v>290</v>
      </c>
      <c r="Q39" s="127">
        <f t="shared" si="16"/>
        <v>3842221.6705407514</v>
      </c>
      <c r="R39" s="13"/>
    </row>
    <row r="40" spans="1:18" x14ac:dyDescent="0.25">
      <c r="A40" s="54" t="s">
        <v>72</v>
      </c>
      <c r="B40" s="48">
        <f>(B39-B33)/B33</f>
        <v>0.10072655194860401</v>
      </c>
      <c r="C40" s="48">
        <f t="shared" ref="C40" si="17">(C39-C33)/C33</f>
        <v>0.62766806275072606</v>
      </c>
      <c r="D40" s="48">
        <f t="shared" ref="D40" si="18">(D39-D33)/D33</f>
        <v>0.23238090124398605</v>
      </c>
      <c r="E40" s="48">
        <f t="shared" ref="E40" si="19">(E39-E33)/E33</f>
        <v>0.2323809012439858</v>
      </c>
      <c r="F40" s="48"/>
      <c r="G40" s="48"/>
      <c r="H40" s="48">
        <f t="shared" ref="H40" si="20">(H39-H33)/H33</f>
        <v>0.35822249019308183</v>
      </c>
      <c r="J40" s="54" t="s">
        <v>72</v>
      </c>
      <c r="K40" s="48">
        <f>(K39-K33)/K33</f>
        <v>0.48208243227489556</v>
      </c>
      <c r="L40" s="48">
        <f t="shared" ref="L40" si="21">(L39-L33)/L33</f>
        <v>0.59432571025117342</v>
      </c>
      <c r="M40" s="48">
        <f t="shared" ref="M40" si="22">(M39-M33)/M33</f>
        <v>0.89027017497909711</v>
      </c>
      <c r="N40" s="48">
        <f t="shared" ref="N40" si="23">(N39-N33)/N33</f>
        <v>0.89027017497909733</v>
      </c>
      <c r="O40" s="48"/>
      <c r="P40" s="48"/>
      <c r="Q40" s="48">
        <f t="shared" ref="Q40" si="24">(Q39-Q33)/Q33</f>
        <v>0.62766806275072606</v>
      </c>
    </row>
    <row r="41" spans="1:18" x14ac:dyDescent="0.25">
      <c r="K41" s="10"/>
      <c r="L41" s="10"/>
      <c r="M41" s="10"/>
      <c r="N41" s="10"/>
    </row>
    <row r="43" spans="1:18" ht="15.75" thickBot="1" x14ac:dyDescent="0.3">
      <c r="A43" s="53" t="s">
        <v>7</v>
      </c>
      <c r="B43" s="185" t="s">
        <v>10</v>
      </c>
      <c r="C43" s="185"/>
      <c r="D43" s="185"/>
      <c r="E43" s="185"/>
      <c r="F43" s="185"/>
      <c r="G43" s="185"/>
      <c r="H43" s="185"/>
      <c r="I43" s="32"/>
      <c r="J43" s="53" t="s">
        <v>7</v>
      </c>
      <c r="K43" s="185" t="s">
        <v>12</v>
      </c>
      <c r="L43" s="185"/>
      <c r="M43" s="185"/>
      <c r="N43" s="185"/>
      <c r="O43" s="185"/>
      <c r="P43" s="185"/>
      <c r="Q43" s="185"/>
    </row>
    <row r="44" spans="1:18" ht="15.75" thickBot="1" x14ac:dyDescent="0.3">
      <c r="A44" s="99"/>
      <c r="B44" s="50" t="s">
        <v>74</v>
      </c>
      <c r="C44" s="50" t="s">
        <v>75</v>
      </c>
      <c r="D44" s="50" t="s">
        <v>76</v>
      </c>
      <c r="E44" s="50" t="s">
        <v>77</v>
      </c>
      <c r="F44" s="50" t="s">
        <v>78</v>
      </c>
      <c r="G44" s="50" t="s">
        <v>79</v>
      </c>
      <c r="H44" s="50" t="s">
        <v>80</v>
      </c>
      <c r="J44" s="53"/>
      <c r="K44" s="28" t="s">
        <v>74</v>
      </c>
      <c r="L44" s="28" t="s">
        <v>75</v>
      </c>
      <c r="M44" s="28" t="s">
        <v>76</v>
      </c>
      <c r="N44" s="28" t="s">
        <v>77</v>
      </c>
      <c r="O44" s="28" t="s">
        <v>78</v>
      </c>
      <c r="P44" s="28" t="s">
        <v>79</v>
      </c>
      <c r="Q44" s="28" t="s">
        <v>80</v>
      </c>
    </row>
    <row r="45" spans="1:18" x14ac:dyDescent="0.25">
      <c r="A45" s="100">
        <v>2023</v>
      </c>
      <c r="B45" s="34">
        <f>'Nord-Norge IR 2023-2030'!H8</f>
        <v>2407693.1000837339</v>
      </c>
      <c r="C45" s="34">
        <f>'TI 2024-2030'!Q45*KON!$K$12</f>
        <v>1251644.3483824027</v>
      </c>
      <c r="D45" s="34">
        <f>FoU!E12</f>
        <v>10186.362352070224</v>
      </c>
      <c r="E45" s="34">
        <f>'Nord-Norge IR 2023-2030'!$C8*Skatt!$D$34</f>
        <v>58468.865197372259</v>
      </c>
      <c r="F45" s="34">
        <f>Tidsetterslep!M7</f>
        <v>-7032.9714596904814</v>
      </c>
      <c r="G45" s="34">
        <f>ROUND('Elhub&amp;Elbits'!E25+'Elhub&amp;Elbits'!E60,-2)</f>
        <v>32200</v>
      </c>
      <c r="H45" s="34">
        <f>SUM(B45:G45)-KON!E34</f>
        <v>3709335.9273462822</v>
      </c>
      <c r="J45" s="100">
        <v>2023</v>
      </c>
      <c r="K45" s="34">
        <f>'Nord-Norge IR 2023-2030'!H23</f>
        <v>932456.18865415896</v>
      </c>
      <c r="L45" s="34">
        <f>('TI T-nett 2024-2030'!K5*Fordelingsnøkler!$E$13)*KON!O17</f>
        <v>496158.99472615012</v>
      </c>
      <c r="M45" s="34">
        <f>FoU!M12</f>
        <v>143.87182458766651</v>
      </c>
      <c r="N45" s="34">
        <f>'Nord-Norge IR 2023-2030'!C23*Skatt!$G$34</f>
        <v>22475.667077648581</v>
      </c>
      <c r="O45" s="34">
        <f>Tidsetterslep!M21</f>
        <v>-20011.587262852699</v>
      </c>
      <c r="P45" s="34">
        <f>ROUND('Elhub&amp;Elbits'!L25,-1)</f>
        <v>70</v>
      </c>
      <c r="Q45" s="34">
        <f>SUM(K45:P45)</f>
        <v>1431293.1350196926</v>
      </c>
      <c r="R45" s="10"/>
    </row>
    <row r="46" spans="1:18" x14ac:dyDescent="0.25">
      <c r="A46" s="103">
        <v>2024</v>
      </c>
      <c r="B46" s="64">
        <f>'Nord-Norge IR 2023-2030'!H9</f>
        <v>2425868.0067848754</v>
      </c>
      <c r="C46" s="64">
        <f>'TI 2024-2030'!Q46*KON!$K$12</f>
        <v>1750083.003323806</v>
      </c>
      <c r="D46" s="64">
        <f>FoU!E13</f>
        <v>10615.100000000002</v>
      </c>
      <c r="E46" s="64">
        <f>'Nord-Norge IR 2023-2030'!$C9*Skatt!$D$34</f>
        <v>60929.783322550662</v>
      </c>
      <c r="F46" s="64">
        <f>Tidsetterslep!M8</f>
        <v>13124.858500198927</v>
      </c>
      <c r="G46" s="64">
        <f>ROUND('Elhub&amp;Elbits'!E26+'Elhub&amp;Elbits'!E61,-2)</f>
        <v>37200</v>
      </c>
      <c r="H46" s="64">
        <f>SUM(B46:G46)-KON!E35</f>
        <v>4253996.9747218238</v>
      </c>
      <c r="J46" s="103">
        <v>2024</v>
      </c>
      <c r="K46" s="64">
        <f>'Nord-Norge IR 2023-2030'!H24</f>
        <v>945941.8904175309</v>
      </c>
      <c r="L46" s="64">
        <f>('TI T-nett 2024-2030'!K6*Fordelingsnøkler!$E$13)*KON!O18</f>
        <v>1027664.7937131532</v>
      </c>
      <c r="M46" s="64">
        <f>FoU!M13</f>
        <v>153.52000000000004</v>
      </c>
      <c r="N46" s="64">
        <f>'Nord-Norge IR 2023-2030'!C24*Skatt!$G$34</f>
        <v>23982.90575412918</v>
      </c>
      <c r="O46" s="64">
        <f>Tidsetterslep!M22</f>
        <v>3459.6890610398259</v>
      </c>
      <c r="P46" s="64">
        <f>ROUND('Elhub&amp;Elbits'!L26,-1)</f>
        <v>70</v>
      </c>
      <c r="Q46" s="64">
        <f t="shared" ref="Q46:Q52" si="25">SUM(K46:P46)</f>
        <v>2001272.798945853</v>
      </c>
      <c r="R46" s="10"/>
    </row>
    <row r="47" spans="1:18" x14ac:dyDescent="0.25">
      <c r="A47" s="100">
        <v>2025</v>
      </c>
      <c r="B47" s="34">
        <f>'Nord-Norge IR 2023-2030'!H10</f>
        <v>2410986.1320551238</v>
      </c>
      <c r="C47" s="34">
        <f>'TI 2024-2030'!Q47*KON!$K$12</f>
        <v>1727504.3266631507</v>
      </c>
      <c r="D47" s="34">
        <f>FoU!E14</f>
        <v>11762.015875233892</v>
      </c>
      <c r="E47" s="34">
        <f>'Nord-Norge IR 2023-2030'!$C10*Skatt!$D$34</f>
        <v>67512.984212527619</v>
      </c>
      <c r="F47" s="34">
        <f>Tidsetterslep!M9</f>
        <v>48286.512064283947</v>
      </c>
      <c r="G47" s="34">
        <f>ROUND('Elhub&amp;Elbits'!E27+'Elhub&amp;Elbits'!E62,-2)</f>
        <v>34700</v>
      </c>
      <c r="H47" s="34">
        <f>SUM(B47:G47)-KON!E36</f>
        <v>4256928.1936607128</v>
      </c>
      <c r="J47" s="100">
        <v>2025</v>
      </c>
      <c r="K47" s="34">
        <f>'Nord-Norge IR 2023-2030'!H25</f>
        <v>912074.94825659343</v>
      </c>
      <c r="L47" s="34">
        <f>('TI T-nett 2024-2030'!K7*Fordelingsnøkler!$E$13)*KON!O19</f>
        <v>936653.44892369048</v>
      </c>
      <c r="M47" s="34">
        <f>FoU!M14</f>
        <v>159.16548570585761</v>
      </c>
      <c r="N47" s="34">
        <f>'Nord-Norge IR 2023-2030'!C25*Skatt!$G$34</f>
        <v>24864.843948630652</v>
      </c>
      <c r="O47" s="34">
        <f>Tidsetterslep!M23</f>
        <v>101630.99327910511</v>
      </c>
      <c r="P47" s="34">
        <f>ROUND('Elhub&amp;Elbits'!L27,-1)</f>
        <v>70</v>
      </c>
      <c r="Q47" s="34">
        <f t="shared" si="25"/>
        <v>1975453.3998937255</v>
      </c>
      <c r="R47" s="10"/>
    </row>
    <row r="48" spans="1:18" x14ac:dyDescent="0.25">
      <c r="A48" s="103">
        <v>2026</v>
      </c>
      <c r="B48" s="64">
        <f>'Nord-Norge IR 2023-2030'!H11</f>
        <v>2409819.9553942848</v>
      </c>
      <c r="C48" s="64">
        <f>'TI 2024-2030'!Q48*KON!$K$12</f>
        <v>1939882.9828474252</v>
      </c>
      <c r="D48" s="64">
        <f>FoU!E15</f>
        <v>12636.770772697408</v>
      </c>
      <c r="E48" s="64">
        <f>'Nord-Norge IR 2023-2030'!$C11*Skatt!$D$34</f>
        <v>72534.00392621776</v>
      </c>
      <c r="F48" s="64">
        <f>Tidsetterslep!M10</f>
        <v>119255.23473350436</v>
      </c>
      <c r="G48" s="64">
        <f>ROUND('Elhub&amp;Elbits'!E28+'Elhub&amp;Elbits'!E63,-2)</f>
        <v>34700</v>
      </c>
      <c r="H48" s="64">
        <f>SUM(B48:G48)-KON!E37</f>
        <v>4545005.1704645222</v>
      </c>
      <c r="J48" s="103">
        <v>2026</v>
      </c>
      <c r="K48" s="64">
        <f>'Nord-Norge IR 2023-2030'!H26</f>
        <v>947241.29670137004</v>
      </c>
      <c r="L48" s="64">
        <f>('TI T-nett 2024-2030'!K8*Fordelingsnøkler!$E$13)*KON!O20</f>
        <v>1113037.654675812</v>
      </c>
      <c r="M48" s="64">
        <f>FoU!M15</f>
        <v>181.56251649866545</v>
      </c>
      <c r="N48" s="64">
        <f>'Nord-Norge IR 2023-2030'!C26*Skatt!$G$34</f>
        <v>28363.709755536853</v>
      </c>
      <c r="O48" s="64">
        <f>Tidsetterslep!M24</f>
        <v>129420.58732674661</v>
      </c>
      <c r="P48" s="64">
        <f>ROUND('Elhub&amp;Elbits'!L28,-1)</f>
        <v>70</v>
      </c>
      <c r="Q48" s="64">
        <f t="shared" si="25"/>
        <v>2218314.8109759642</v>
      </c>
      <c r="R48" s="10"/>
    </row>
    <row r="49" spans="1:18" x14ac:dyDescent="0.25">
      <c r="A49" s="100">
        <v>2027</v>
      </c>
      <c r="B49" s="34">
        <f>'Nord-Norge IR 2023-2030'!H12</f>
        <v>2467659.4318527379</v>
      </c>
      <c r="C49" s="34">
        <f>'TI 2024-2030'!Q49*KON!$K$12</f>
        <v>2156632.5061183688</v>
      </c>
      <c r="D49" s="34">
        <f>FoU!E16</f>
        <v>13383.991091008456</v>
      </c>
      <c r="E49" s="34">
        <f>'Nord-Norge IR 2023-2030'!$C12*Skatt!$D$34</f>
        <v>76822.985856571642</v>
      </c>
      <c r="F49" s="34">
        <f>Tidsetterslep!M11</f>
        <v>116292.73373789189</v>
      </c>
      <c r="G49" s="34">
        <f>ROUND('Elhub&amp;Elbits'!E29+'Elhub&amp;Elbits'!E64,-2)</f>
        <v>34700</v>
      </c>
      <c r="H49" s="34">
        <f>SUM(B49:G49)-KON!E38</f>
        <v>4821667.8714469709</v>
      </c>
      <c r="J49" s="100">
        <v>2027</v>
      </c>
      <c r="K49" s="34">
        <f>'Nord-Norge IR 2023-2030'!H27</f>
        <v>1021244.6329136788</v>
      </c>
      <c r="L49" s="34">
        <f>('TI T-nett 2024-2030'!K9*Fordelingsnøkler!$E$13)*KON!O21</f>
        <v>1306951.6074059715</v>
      </c>
      <c r="M49" s="34">
        <f>FoU!M16</f>
        <v>206.05606730999162</v>
      </c>
      <c r="N49" s="34">
        <f>'Nord-Norge IR 2023-2030'!C27*Skatt!$G$34</f>
        <v>32190.094074791738</v>
      </c>
      <c r="O49" s="34">
        <f>Tidsetterslep!M25</f>
        <v>105512.05019051</v>
      </c>
      <c r="P49" s="34">
        <f>ROUND('Elhub&amp;Elbits'!L29,-1)</f>
        <v>70</v>
      </c>
      <c r="Q49" s="34">
        <f t="shared" si="25"/>
        <v>2466174.4406522615</v>
      </c>
      <c r="R49" s="10"/>
    </row>
    <row r="50" spans="1:18" x14ac:dyDescent="0.25">
      <c r="A50" s="103">
        <v>2028</v>
      </c>
      <c r="B50" s="64">
        <f>'Nord-Norge IR 2023-2030'!H13</f>
        <v>2590876.1744300909</v>
      </c>
      <c r="C50" s="64">
        <f>'TI 2024-2030'!Q50*KON!$K$12</f>
        <v>2438987.286658112</v>
      </c>
      <c r="D50" s="64">
        <f>FoU!E17</f>
        <v>14109.222084494762</v>
      </c>
      <c r="E50" s="64">
        <f>'Nord-Norge IR 2023-2030'!$C13*Skatt!$D$34</f>
        <v>80985.750907482026</v>
      </c>
      <c r="F50" s="64">
        <f>Tidsetterslep!M12</f>
        <v>106364.41632399056</v>
      </c>
      <c r="G50" s="64">
        <f>ROUND('Elhub&amp;Elbits'!E30+'Elhub&amp;Elbits'!E65,-2)</f>
        <v>34700</v>
      </c>
      <c r="H50" s="64">
        <f>SUM(B50:G50)-KON!E39</f>
        <v>5222199.0731945625</v>
      </c>
      <c r="J50" s="103">
        <v>2028</v>
      </c>
      <c r="K50" s="64">
        <f>'Nord-Norge IR 2023-2030'!H28</f>
        <v>1132213.3731469975</v>
      </c>
      <c r="L50" s="64">
        <f>('TI T-nett 2024-2030'!K10*Fordelingsnøkler!$E$13)*KON!O22</f>
        <v>1518327.2812140677</v>
      </c>
      <c r="M50" s="64">
        <f>FoU!M17</f>
        <v>222.84529069010244</v>
      </c>
      <c r="N50" s="64">
        <f>'Nord-Norge IR 2023-2030'!C28*Skatt!$G$34</f>
        <v>34812.907792940641</v>
      </c>
      <c r="O50" s="64">
        <f>Tidsetterslep!M26</f>
        <v>103409.25705427327</v>
      </c>
      <c r="P50" s="64">
        <f>ROUND('Elhub&amp;Elbits'!L30,-1)</f>
        <v>70</v>
      </c>
      <c r="Q50" s="64">
        <f t="shared" si="25"/>
        <v>2789055.6644989699</v>
      </c>
      <c r="R50" s="10"/>
    </row>
    <row r="51" spans="1:18" x14ac:dyDescent="0.25">
      <c r="A51" s="100">
        <v>2029</v>
      </c>
      <c r="B51" s="34">
        <f>'Nord-Norge IR 2023-2030'!H14</f>
        <v>2713225.0770080574</v>
      </c>
      <c r="C51" s="34">
        <f>'TI 2024-2030'!Q51*KON!$K$12</f>
        <v>2522485.0476662549</v>
      </c>
      <c r="D51" s="34">
        <f>FoU!E18</f>
        <v>14804.481797653618</v>
      </c>
      <c r="E51" s="34">
        <f>'Nord-Norge IR 2023-2030'!$C14*Skatt!$D$34</f>
        <v>84976.48332410249</v>
      </c>
      <c r="F51" s="34">
        <f>Tidsetterslep!M13</f>
        <v>97149.717898274888</v>
      </c>
      <c r="G51" s="34">
        <f>ROUND('Elhub&amp;Elbits'!E31+'Elhub&amp;Elbits'!E66,-2)</f>
        <v>34700</v>
      </c>
      <c r="H51" s="34">
        <f>SUM(B51:G51)-KON!E40</f>
        <v>5423517.030484736</v>
      </c>
      <c r="J51" s="100">
        <v>2029</v>
      </c>
      <c r="K51" s="34">
        <f>'Nord-Norge IR 2023-2030'!H29</f>
        <v>1242957.1419325415</v>
      </c>
      <c r="L51" s="34">
        <f>('TI T-nett 2024-2030'!K11*Fordelingsnøkler!$E$13)*KON!O23</f>
        <v>1502606.1523302211</v>
      </c>
      <c r="M51" s="34">
        <f>FoU!M18</f>
        <v>239.14324837809176</v>
      </c>
      <c r="N51" s="34">
        <f>'Nord-Norge IR 2023-2030'!C29*Skatt!$G$34</f>
        <v>37358.975948332991</v>
      </c>
      <c r="O51" s="34">
        <f>Tidsetterslep!M27</f>
        <v>101306.46391803655</v>
      </c>
      <c r="P51" s="34">
        <f>ROUND('Elhub&amp;Elbits'!L31,-1)</f>
        <v>70</v>
      </c>
      <c r="Q51" s="34">
        <f t="shared" si="25"/>
        <v>2884537.8773775101</v>
      </c>
      <c r="R51" s="10"/>
    </row>
    <row r="52" spans="1:18" ht="15.75" thickBot="1" x14ac:dyDescent="0.3">
      <c r="A52" s="106">
        <v>2030</v>
      </c>
      <c r="B52" s="127">
        <f>'Nord-Norge IR 2023-2030'!H15</f>
        <v>2828585.7496743845</v>
      </c>
      <c r="C52" s="127">
        <f>'TI 2024-2030'!Q52*KON!$K$12</f>
        <v>2519197.1891863081</v>
      </c>
      <c r="D52" s="127">
        <f>FoU!E19</f>
        <v>15386.988988499528</v>
      </c>
      <c r="E52" s="127">
        <f>'Nord-Norge IR 2023-2030'!$C15*Skatt!$D$34</f>
        <v>88320.025723332728</v>
      </c>
      <c r="F52" s="127">
        <f>Tidsetterslep!M14</f>
        <v>95002.481391711044</v>
      </c>
      <c r="G52" s="127">
        <f>ROUND('Elhub&amp;Elbits'!E32+'Elhub&amp;Elbits'!E67,-2)</f>
        <v>34700</v>
      </c>
      <c r="H52" s="127">
        <f>SUM(B52:G52)-KON!E41</f>
        <v>5537368.657754628</v>
      </c>
      <c r="J52" s="106">
        <v>2030</v>
      </c>
      <c r="K52" s="127">
        <f>'Nord-Norge IR 2023-2030'!H30</f>
        <v>1353685.7848411421</v>
      </c>
      <c r="L52" s="127">
        <f>('TI T-nett 2024-2030'!K12*Fordelingsnøkler!$E$13)*KON!O24</f>
        <v>1387735.4077477017</v>
      </c>
      <c r="M52" s="127">
        <f>FoU!M19</f>
        <v>254.94994037395952</v>
      </c>
      <c r="N52" s="127">
        <f>'Nord-Norge IR 2023-2030'!C30*Skatt!$G$34</f>
        <v>39828.298540968768</v>
      </c>
      <c r="O52" s="127">
        <f>Tidsetterslep!M28</f>
        <v>99203.670781800058</v>
      </c>
      <c r="P52" s="127">
        <f>ROUND('Elhub&amp;Elbits'!L32,-1)</f>
        <v>70</v>
      </c>
      <c r="Q52" s="127">
        <f t="shared" si="25"/>
        <v>2880778.111851987</v>
      </c>
      <c r="R52" s="10"/>
    </row>
    <row r="53" spans="1:18" x14ac:dyDescent="0.25">
      <c r="A53" s="54" t="s">
        <v>72</v>
      </c>
      <c r="B53" s="48">
        <f>(B52-B46)/B46</f>
        <v>0.16600975063900986</v>
      </c>
      <c r="C53" s="48">
        <f t="shared" ref="C53" si="26">(C52-C46)/C46</f>
        <v>0.43947297608272246</v>
      </c>
      <c r="D53" s="48">
        <f t="shared" ref="D53" si="27">(D52-D46)/D46</f>
        <v>0.44953782710473994</v>
      </c>
      <c r="E53" s="48">
        <f t="shared" ref="E53" si="28">(E52-E46)/E46</f>
        <v>0.44953782710474027</v>
      </c>
      <c r="F53" s="48"/>
      <c r="G53" s="48"/>
      <c r="H53" s="48">
        <f t="shared" ref="H53" si="29">(H52-H46)/H46</f>
        <v>0.3016860826791552</v>
      </c>
      <c r="J53" s="54" t="s">
        <v>72</v>
      </c>
      <c r="K53" s="48">
        <f>(K52-K46)/K46</f>
        <v>0.4310453935427645</v>
      </c>
      <c r="L53" s="48">
        <f t="shared" ref="L53" si="30">(L52-L46)/L46</f>
        <v>0.35037749296980703</v>
      </c>
      <c r="M53" s="48">
        <f t="shared" ref="M53" si="31">(M52-M46)/M46</f>
        <v>0.66069528643798503</v>
      </c>
      <c r="N53" s="48">
        <f t="shared" ref="N53" si="32">(N52-N46)/N46</f>
        <v>0.66069528643798547</v>
      </c>
      <c r="O53" s="48"/>
      <c r="P53" s="48"/>
      <c r="Q53" s="48">
        <f t="shared" ref="Q53" si="33">(Q52-Q46)/Q46</f>
        <v>0.43947297608272246</v>
      </c>
    </row>
    <row r="54" spans="1:18" x14ac:dyDescent="0.25">
      <c r="K54" s="10"/>
      <c r="L54" s="10"/>
      <c r="M54" s="10"/>
      <c r="N54" s="10"/>
    </row>
    <row r="56" spans="1:18" ht="15.75" thickBot="1" x14ac:dyDescent="0.3">
      <c r="A56" s="53" t="s">
        <v>8</v>
      </c>
      <c r="B56" s="185" t="s">
        <v>10</v>
      </c>
      <c r="C56" s="185"/>
      <c r="D56" s="185"/>
      <c r="E56" s="185"/>
      <c r="F56" s="185"/>
      <c r="G56" s="185"/>
      <c r="H56" s="185"/>
      <c r="I56" s="32"/>
      <c r="J56" s="53" t="s">
        <v>8</v>
      </c>
      <c r="K56" s="185" t="s">
        <v>12</v>
      </c>
      <c r="L56" s="185"/>
      <c r="M56" s="185"/>
      <c r="N56" s="185"/>
      <c r="O56" s="185"/>
      <c r="P56" s="185"/>
      <c r="Q56" s="185"/>
    </row>
    <row r="57" spans="1:18" ht="15.75" thickBot="1" x14ac:dyDescent="0.3">
      <c r="A57" s="99"/>
      <c r="B57" s="50" t="s">
        <v>74</v>
      </c>
      <c r="C57" s="50" t="s">
        <v>75</v>
      </c>
      <c r="D57" s="50" t="s">
        <v>76</v>
      </c>
      <c r="E57" s="50" t="s">
        <v>77</v>
      </c>
      <c r="F57" s="50" t="s">
        <v>78</v>
      </c>
      <c r="G57" s="50" t="s">
        <v>79</v>
      </c>
      <c r="H57" s="50" t="s">
        <v>80</v>
      </c>
      <c r="J57" s="53"/>
      <c r="K57" s="28" t="s">
        <v>74</v>
      </c>
      <c r="L57" s="28" t="s">
        <v>75</v>
      </c>
      <c r="M57" s="28" t="s">
        <v>76</v>
      </c>
      <c r="N57" s="28" t="s">
        <v>77</v>
      </c>
      <c r="O57" s="28" t="s">
        <v>78</v>
      </c>
      <c r="P57" s="28" t="s">
        <v>79</v>
      </c>
      <c r="Q57" s="28" t="s">
        <v>80</v>
      </c>
    </row>
    <row r="58" spans="1:18" x14ac:dyDescent="0.25">
      <c r="A58" s="100">
        <v>2023</v>
      </c>
      <c r="B58" s="34">
        <f>'Vestlandet IR 2023-2030'!H8</f>
        <v>2034654.8095967816</v>
      </c>
      <c r="C58" s="34">
        <f>'TI 2024-2030'!Q58*KON!$K$12</f>
        <v>784736.08431671583</v>
      </c>
      <c r="D58" s="34">
        <f>FoU!F12</f>
        <v>7568.0643461174313</v>
      </c>
      <c r="E58" s="34">
        <f>'Vestlandet IR 2023-2030'!$C8*Skatt!$D$42</f>
        <v>48018.337814712846</v>
      </c>
      <c r="F58" s="34">
        <f>Tidsetterslep!P7</f>
        <v>-25316.208660802804</v>
      </c>
      <c r="G58" s="34">
        <f>ROUND('Elhub&amp;Elbits'!F25+'Elhub&amp;Elbits'!F60,-2)</f>
        <v>31500</v>
      </c>
      <c r="H58" s="34">
        <f>SUM(B58:G58)-KON!F34</f>
        <v>2818474.2185586314</v>
      </c>
      <c r="J58" s="100">
        <v>2023</v>
      </c>
      <c r="K58" s="34">
        <f>'Vestlandet IR 2023-2030'!H23</f>
        <v>521742.98154359451</v>
      </c>
      <c r="L58" s="34">
        <f>('TI T-nett 2024-2030'!K5*Fordelingsnøkler!$F$13)*KON!P17</f>
        <v>386848.96620054526</v>
      </c>
      <c r="M58" s="34">
        <f>FoU!N12</f>
        <v>2204.0554939042431</v>
      </c>
      <c r="N58" s="34">
        <f>'Vestlandet IR 2023-2030'!C23*Skatt!$G$42</f>
        <v>13914.321552048417</v>
      </c>
      <c r="O58" s="34">
        <f>Tidsetterslep!P21</f>
        <v>-27520.898933352524</v>
      </c>
      <c r="P58" s="34">
        <f>ROUND('Elhub&amp;Elbits'!M25,-1)</f>
        <v>180</v>
      </c>
      <c r="Q58" s="34">
        <f>SUM(K58:P58)</f>
        <v>897369.42585673986</v>
      </c>
      <c r="R58" s="10"/>
    </row>
    <row r="59" spans="1:18" x14ac:dyDescent="0.25">
      <c r="A59" s="103">
        <v>2024</v>
      </c>
      <c r="B59" s="64">
        <f>'Vestlandet IR 2023-2030'!H9</f>
        <v>1917634.4358337121</v>
      </c>
      <c r="C59" s="64">
        <f>'TI 2024-2030'!Q59*KON!$K$12</f>
        <v>1074466.7142778523</v>
      </c>
      <c r="D59" s="64">
        <f>FoU!F13</f>
        <v>8183.02</v>
      </c>
      <c r="E59" s="64">
        <f>'Vestlandet IR 2023-2030'!$C9*Skatt!$D$42</f>
        <v>51920.147706742886</v>
      </c>
      <c r="F59" s="64">
        <f>Tidsetterslep!P8</f>
        <v>-58940.755571110989</v>
      </c>
      <c r="G59" s="64">
        <f>ROUND('Elhub&amp;Elbits'!F26+'Elhub&amp;Elbits'!F61,-2)</f>
        <v>36900</v>
      </c>
      <c r="H59" s="64">
        <f>SUM(B59:G59)-KON!F35</f>
        <v>2967476.6933923028</v>
      </c>
      <c r="J59" s="103">
        <v>2024</v>
      </c>
      <c r="K59" s="64">
        <f>'Vestlandet IR 2023-2030'!H24</f>
        <v>477767.25529250025</v>
      </c>
      <c r="L59" s="64">
        <f>('TI T-nett 2024-2030'!K6*Fordelingsnøkler!$F$13)*KON!P18</f>
        <v>769566.63216740568</v>
      </c>
      <c r="M59" s="64">
        <f>FoU!N13</f>
        <v>2323</v>
      </c>
      <c r="N59" s="64">
        <f>'Vestlandet IR 2023-2030'!C24*Skatt!$G$42</f>
        <v>14665.224652829349</v>
      </c>
      <c r="O59" s="64">
        <f>Tidsetterslep!P22</f>
        <v>-35816.955709821312</v>
      </c>
      <c r="P59" s="64">
        <f>ROUND('Elhub&amp;Elbits'!M26,-1)</f>
        <v>180</v>
      </c>
      <c r="Q59" s="64">
        <f t="shared" ref="Q59:Q65" si="34">SUM(K59:P59)</f>
        <v>1228685.1564029139</v>
      </c>
      <c r="R59" s="10"/>
    </row>
    <row r="60" spans="1:18" x14ac:dyDescent="0.25">
      <c r="A60" s="100">
        <v>2025</v>
      </c>
      <c r="B60" s="34">
        <f>'Vestlandet IR 2023-2030'!H10</f>
        <v>1915903.8926792922</v>
      </c>
      <c r="C60" s="34">
        <f>'TI 2024-2030'!Q60*KON!$K$12</f>
        <v>1043679.7950878328</v>
      </c>
      <c r="D60" s="34">
        <f>FoU!F14</f>
        <v>8504.9259214526301</v>
      </c>
      <c r="E60" s="34">
        <f>'Vestlandet IR 2023-2030'!$C10*Skatt!$D$42</f>
        <v>53962.596947914935</v>
      </c>
      <c r="F60" s="34">
        <f>Tidsetterslep!P9</f>
        <v>-11532.337295230129</v>
      </c>
      <c r="G60" s="34">
        <f>ROUND('Elhub&amp;Elbits'!F27+'Elhub&amp;Elbits'!F62,-2)</f>
        <v>34200</v>
      </c>
      <c r="H60" s="34">
        <f>SUM(B60:G60)-KON!F36</f>
        <v>2982032.0044863694</v>
      </c>
      <c r="J60" s="100">
        <v>2025</v>
      </c>
      <c r="K60" s="34">
        <f>'Vestlandet IR 2023-2030'!H25</f>
        <v>460324.36032433162</v>
      </c>
      <c r="L60" s="34">
        <f>('TI T-nett 2024-2030'!K7*Fordelingsnøkler!$F$13)*KON!P19</f>
        <v>709602.35771918145</v>
      </c>
      <c r="M60" s="34">
        <f>FoU!N14</f>
        <v>2244.4356485008179</v>
      </c>
      <c r="N60" s="34">
        <f>'Vestlandet IR 2023-2030'!C25*Skatt!$G$42</f>
        <v>14169.243652209738</v>
      </c>
      <c r="O60" s="34">
        <f>Tidsetterslep!P23</f>
        <v>6958.9866345747141</v>
      </c>
      <c r="P60" s="34">
        <f>ROUND('Elhub&amp;Elbits'!M27,-1)</f>
        <v>180</v>
      </c>
      <c r="Q60" s="34">
        <f t="shared" si="34"/>
        <v>1193479.3839787985</v>
      </c>
      <c r="R60" s="10"/>
    </row>
    <row r="61" spans="1:18" x14ac:dyDescent="0.25">
      <c r="A61" s="103">
        <v>2026</v>
      </c>
      <c r="B61" s="64">
        <f>'Vestlandet IR 2023-2030'!H11</f>
        <v>1878189.5162266153</v>
      </c>
      <c r="C61" s="64">
        <f>'TI 2024-2030'!Q61*KON!$K$12</f>
        <v>1167676.9140950257</v>
      </c>
      <c r="D61" s="64">
        <f>FoU!F15</f>
        <v>8777.6926886982201</v>
      </c>
      <c r="E61" s="64">
        <f>'Vestlandet IR 2023-2030'!$C11*Skatt!$D$42</f>
        <v>55693.264946390053</v>
      </c>
      <c r="F61" s="64">
        <f>Tidsetterslep!P10</f>
        <v>41242.999456456164</v>
      </c>
      <c r="G61" s="64">
        <f>ROUND('Elhub&amp;Elbits'!F28+'Elhub&amp;Elbits'!F63,-2)</f>
        <v>34200</v>
      </c>
      <c r="H61" s="64">
        <f>SUM(B61:G61)-KON!F37</f>
        <v>3123093.5185582926</v>
      </c>
      <c r="J61" s="103">
        <v>2026</v>
      </c>
      <c r="K61" s="64">
        <f>'Vestlandet IR 2023-2030'!H26</f>
        <v>449483.63437843334</v>
      </c>
      <c r="L61" s="64">
        <f>('TI T-nett 2024-2030'!K8*Fordelingsnøkler!$F$13)*KON!P20</f>
        <v>823986.54614182166</v>
      </c>
      <c r="M61" s="64">
        <f>FoU!N15</f>
        <v>2335.1321717559945</v>
      </c>
      <c r="N61" s="64">
        <f>'Vestlandet IR 2023-2030'!C26*Skatt!$G$42</f>
        <v>14741.815709363304</v>
      </c>
      <c r="O61" s="64">
        <f>Tidsetterslep!P24</f>
        <v>44546.708152216132</v>
      </c>
      <c r="P61" s="64">
        <f>ROUND('Elhub&amp;Elbits'!M28,-1)</f>
        <v>180</v>
      </c>
      <c r="Q61" s="64">
        <f t="shared" si="34"/>
        <v>1335273.8365535904</v>
      </c>
      <c r="R61" s="10"/>
    </row>
    <row r="62" spans="1:18" x14ac:dyDescent="0.25">
      <c r="A62" s="100">
        <v>2027</v>
      </c>
      <c r="B62" s="34">
        <f>'Vestlandet IR 2023-2030'!H12</f>
        <v>1905131.8169217706</v>
      </c>
      <c r="C62" s="34">
        <f>'TI 2024-2030'!Q62*KON!$K$12</f>
        <v>1317454.8232628473</v>
      </c>
      <c r="D62" s="34">
        <f>FoU!F16</f>
        <v>9040.1616427903591</v>
      </c>
      <c r="E62" s="34">
        <f>'Vestlandet IR 2023-2030'!$C12*Skatt!$D$42</f>
        <v>57358.59472254826</v>
      </c>
      <c r="F62" s="34">
        <f>Tidsetterslep!P11</f>
        <v>37507.608270511322</v>
      </c>
      <c r="G62" s="34">
        <f>ROUND('Elhub&amp;Elbits'!F29+'Elhub&amp;Elbits'!F64,-2)</f>
        <v>34200</v>
      </c>
      <c r="H62" s="34">
        <f>SUM(B62:G62)-KON!F38</f>
        <v>3298006.1359655741</v>
      </c>
      <c r="J62" s="100">
        <v>2027</v>
      </c>
      <c r="K62" s="34">
        <f>'Vestlandet IR 2023-2030'!H27</f>
        <v>467516.02151034685</v>
      </c>
      <c r="L62" s="34">
        <f>('TI T-nett 2024-2030'!K9*Fordelingsnøkler!$F$13)*KON!P21</f>
        <v>965079.7567233498</v>
      </c>
      <c r="M62" s="34">
        <f>FoU!N16</f>
        <v>2505.9536217119767</v>
      </c>
      <c r="N62" s="34">
        <f>'Vestlandet IR 2023-2030'!C27*Skatt!$G$42</f>
        <v>15820.220762797022</v>
      </c>
      <c r="O62" s="34">
        <f>Tidsetterslep!P25</f>
        <v>55447.449112154834</v>
      </c>
      <c r="P62" s="34">
        <f>ROUND('Elhub&amp;Elbits'!M29,-1)</f>
        <v>180</v>
      </c>
      <c r="Q62" s="34">
        <f t="shared" si="34"/>
        <v>1506549.4017303605</v>
      </c>
      <c r="R62" s="10"/>
    </row>
    <row r="63" spans="1:18" x14ac:dyDescent="0.25">
      <c r="A63" s="103">
        <v>2028</v>
      </c>
      <c r="B63" s="64">
        <f>'Vestlandet IR 2023-2030'!H13</f>
        <v>1956506.7067361018</v>
      </c>
      <c r="C63" s="64">
        <f>'TI 2024-2030'!Q63*KON!$K$12</f>
        <v>1491998.8320251168</v>
      </c>
      <c r="D63" s="64">
        <f>FoU!F17</f>
        <v>9259.2917371173717</v>
      </c>
      <c r="E63" s="64">
        <f>'Vestlandet IR 2023-2030'!$C13*Skatt!$D$42</f>
        <v>58748.945334480166</v>
      </c>
      <c r="F63" s="64">
        <f>Tidsetterslep!P12</f>
        <v>36231.33884580445</v>
      </c>
      <c r="G63" s="64">
        <f>ROUND('Elhub&amp;Elbits'!F30+'Elhub&amp;Elbits'!F65,-2)</f>
        <v>34200</v>
      </c>
      <c r="H63" s="64">
        <f>SUM(B63:G63)-KON!F39</f>
        <v>3524258.245823727</v>
      </c>
      <c r="J63" s="103">
        <v>2028</v>
      </c>
      <c r="K63" s="64">
        <f>'Vestlandet IR 2023-2030'!H28</f>
        <v>505376.72840633808</v>
      </c>
      <c r="L63" s="64">
        <f>('TI T-nett 2024-2030'!K10*Fordelingsnøkler!$F$13)*KON!P22</f>
        <v>1125758.3466435566</v>
      </c>
      <c r="M63" s="64">
        <f>FoU!N17</f>
        <v>2799.3258094832358</v>
      </c>
      <c r="N63" s="64">
        <f>'Vestlandet IR 2023-2030'!C28*Skatt!$G$42</f>
        <v>17672.295252920809</v>
      </c>
      <c r="O63" s="64">
        <f>Tidsetterslep!P26</f>
        <v>54359.054072093568</v>
      </c>
      <c r="P63" s="64">
        <f>ROUND('Elhub&amp;Elbits'!M30,-1)</f>
        <v>180</v>
      </c>
      <c r="Q63" s="64">
        <f t="shared" si="34"/>
        <v>1706145.7501843921</v>
      </c>
      <c r="R63" s="10"/>
    </row>
    <row r="64" spans="1:18" x14ac:dyDescent="0.25">
      <c r="A64" s="100">
        <v>2029</v>
      </c>
      <c r="B64" s="34">
        <f>'Vestlandet IR 2023-2030'!H14</f>
        <v>2007771.4996361895</v>
      </c>
      <c r="C64" s="34">
        <f>'TI 2024-2030'!Q64*KON!$K$12</f>
        <v>1565977.812647284</v>
      </c>
      <c r="D64" s="34">
        <f>FoU!F18</f>
        <v>9465.1124281358552</v>
      </c>
      <c r="E64" s="34">
        <f>'Vestlandet IR 2023-2030'!$C14*Skatt!$D$42</f>
        <v>60054.849594616833</v>
      </c>
      <c r="F64" s="34">
        <f>Tidsetterslep!P13</f>
        <v>25206.634298502817</v>
      </c>
      <c r="G64" s="34">
        <f>ROUND('Elhub&amp;Elbits'!F31+'Elhub&amp;Elbits'!F66,-2)</f>
        <v>34200</v>
      </c>
      <c r="H64" s="34">
        <f>SUM(B64:G64)-KON!F40</f>
        <v>3639989.0397498356</v>
      </c>
      <c r="J64" s="100">
        <v>2029</v>
      </c>
      <c r="K64" s="34">
        <f>'Vestlandet IR 2023-2030'!H29</f>
        <v>542896.84282926354</v>
      </c>
      <c r="L64" s="34">
        <f>('TI T-nett 2024-2030'!K11*Fordelingsnøkler!$F$13)*KON!P23</f>
        <v>1171839.7796515855</v>
      </c>
      <c r="M64" s="34">
        <f>FoU!N18</f>
        <v>3084.3021611483591</v>
      </c>
      <c r="N64" s="34">
        <f>'Vestlandet IR 2023-2030'!C29*Skatt!$G$42</f>
        <v>19471.366375569425</v>
      </c>
      <c r="O64" s="34">
        <f>Tidsetterslep!P27</f>
        <v>53270.659032032214</v>
      </c>
      <c r="P64" s="34">
        <f>ROUND('Elhub&amp;Elbits'!M31,-1)</f>
        <v>180</v>
      </c>
      <c r="Q64" s="34">
        <f t="shared" si="34"/>
        <v>1790742.9500495989</v>
      </c>
      <c r="R64" s="10"/>
    </row>
    <row r="65" spans="1:18" ht="15.75" thickBot="1" x14ac:dyDescent="0.3">
      <c r="A65" s="106">
        <v>2030</v>
      </c>
      <c r="B65" s="127">
        <f>'Vestlandet IR 2023-2030'!H15</f>
        <v>2059313.4599972162</v>
      </c>
      <c r="C65" s="127">
        <f>'TI 2024-2030'!Q65*KON!$K$12</f>
        <v>1570454.9841568733</v>
      </c>
      <c r="D65" s="127">
        <f>FoU!F19</f>
        <v>9661.3959332067388</v>
      </c>
      <c r="E65" s="127">
        <f>'Vestlandet IR 2023-2030'!$C15*Skatt!$D$42</f>
        <v>61300.241708491369</v>
      </c>
      <c r="F65" s="127">
        <f>Tidsetterslep!P14</f>
        <v>24086.055668957008</v>
      </c>
      <c r="G65" s="127">
        <f>ROUND('Elhub&amp;Elbits'!F32+'Elhub&amp;Elbits'!F67,-2)</f>
        <v>34200</v>
      </c>
      <c r="H65" s="127">
        <f>SUM(B65:G65)-KON!F41</f>
        <v>3696329.2686098511</v>
      </c>
      <c r="J65" s="106">
        <v>2030</v>
      </c>
      <c r="K65" s="127">
        <f>'Vestlandet IR 2023-2030'!H30</f>
        <v>580110.88225362287</v>
      </c>
      <c r="L65" s="127">
        <f>('TI T-nett 2024-2030'!K12*Fordelingsnøkler!$F$13)*KON!P24</f>
        <v>1138811.2679105685</v>
      </c>
      <c r="M65" s="127">
        <f>FoU!N19</f>
        <v>3360.8826767073456</v>
      </c>
      <c r="N65" s="127">
        <f>'Vestlandet IR 2023-2030'!C30*Skatt!$G$42</f>
        <v>21217.434130742866</v>
      </c>
      <c r="O65" s="127">
        <f>Tidsetterslep!P28</f>
        <v>52182.263991970918</v>
      </c>
      <c r="P65" s="127">
        <f>ROUND('Elhub&amp;Elbits'!M32,-1)</f>
        <v>180</v>
      </c>
      <c r="Q65" s="127">
        <f t="shared" si="34"/>
        <v>1795862.7309636124</v>
      </c>
      <c r="R65" s="10"/>
    </row>
    <row r="66" spans="1:18" x14ac:dyDescent="0.25">
      <c r="A66" s="54" t="s">
        <v>72</v>
      </c>
      <c r="B66" s="48">
        <f>(B65-B59)/B59</f>
        <v>7.3882186049661569E-2</v>
      </c>
      <c r="C66" s="48">
        <f t="shared" ref="C66" si="35">(C65-C59)/C59</f>
        <v>0.46161343416987471</v>
      </c>
      <c r="D66" s="48">
        <f t="shared" ref="D66" si="36">(D65-D59)/D59</f>
        <v>0.18066385432355517</v>
      </c>
      <c r="E66" s="48">
        <f t="shared" ref="E66" si="37">(E65-E59)/E59</f>
        <v>0.18066385432355553</v>
      </c>
      <c r="F66" s="48"/>
      <c r="G66" s="48"/>
      <c r="H66" s="48">
        <f t="shared" ref="H66" si="38">(H65-H59)/H59</f>
        <v>0.24561358033257294</v>
      </c>
      <c r="J66" s="54" t="s">
        <v>72</v>
      </c>
      <c r="K66" s="48">
        <f>(K65-K59)/K59</f>
        <v>0.21421230908440023</v>
      </c>
      <c r="L66" s="48">
        <f t="shared" ref="L66" si="39">(L65-L59)/L59</f>
        <v>0.47980853159293446</v>
      </c>
      <c r="M66" s="48">
        <f t="shared" ref="M66" si="40">(M65-M59)/M59</f>
        <v>0.44678548287014447</v>
      </c>
      <c r="N66" s="48">
        <f t="shared" ref="N66" si="41">(N65-N59)/N59</f>
        <v>0.44678548287014508</v>
      </c>
      <c r="O66" s="48"/>
      <c r="P66" s="48"/>
      <c r="Q66" s="48">
        <f t="shared" ref="Q66" si="42">(Q65-Q59)/Q59</f>
        <v>0.4616134341698746</v>
      </c>
    </row>
    <row r="67" spans="1:18" x14ac:dyDescent="0.25">
      <c r="K67" s="10"/>
      <c r="L67" s="10"/>
      <c r="M67" s="10"/>
      <c r="N67" s="10"/>
    </row>
    <row r="69" spans="1:18" ht="15.75" thickBot="1" x14ac:dyDescent="0.3">
      <c r="A69" s="53" t="s">
        <v>61</v>
      </c>
      <c r="B69" s="185" t="s">
        <v>10</v>
      </c>
      <c r="C69" s="185"/>
      <c r="D69" s="185"/>
      <c r="E69" s="185"/>
      <c r="F69" s="185"/>
      <c r="G69" s="185"/>
      <c r="H69" s="185"/>
      <c r="I69" s="32"/>
      <c r="J69" s="53" t="s">
        <v>61</v>
      </c>
      <c r="K69" s="185" t="s">
        <v>12</v>
      </c>
      <c r="L69" s="185"/>
      <c r="M69" s="185"/>
      <c r="N69" s="185"/>
      <c r="O69" s="185"/>
      <c r="P69" s="185"/>
      <c r="Q69" s="185"/>
    </row>
    <row r="70" spans="1:18" ht="15.75" thickBot="1" x14ac:dyDescent="0.3">
      <c r="A70" s="99"/>
      <c r="B70" s="50" t="s">
        <v>74</v>
      </c>
      <c r="C70" s="50" t="s">
        <v>75</v>
      </c>
      <c r="D70" s="50" t="s">
        <v>76</v>
      </c>
      <c r="E70" s="50" t="s">
        <v>77</v>
      </c>
      <c r="F70" s="50" t="s">
        <v>78</v>
      </c>
      <c r="G70" s="50" t="s">
        <v>79</v>
      </c>
      <c r="H70" s="50" t="s">
        <v>80</v>
      </c>
      <c r="J70" s="53"/>
      <c r="K70" s="28" t="s">
        <v>74</v>
      </c>
      <c r="L70" s="28" t="s">
        <v>75</v>
      </c>
      <c r="M70" s="28" t="s">
        <v>76</v>
      </c>
      <c r="N70" s="28" t="s">
        <v>77</v>
      </c>
      <c r="O70" s="28" t="s">
        <v>78</v>
      </c>
      <c r="P70" s="28" t="s">
        <v>79</v>
      </c>
      <c r="Q70" s="28" t="s">
        <v>80</v>
      </c>
    </row>
    <row r="71" spans="1:18" x14ac:dyDescent="0.25">
      <c r="A71" s="100">
        <v>2023</v>
      </c>
      <c r="B71" s="34">
        <f t="shared" ref="B71:G78" si="43">B6+B19+B32+B45+B58</f>
        <v>17127460.552119751</v>
      </c>
      <c r="C71" s="34">
        <f t="shared" si="43"/>
        <v>8658268.9900458027</v>
      </c>
      <c r="D71" s="34">
        <f t="shared" si="43"/>
        <v>111264.59674432802</v>
      </c>
      <c r="E71" s="34">
        <f t="shared" si="43"/>
        <v>310021.58264606941</v>
      </c>
      <c r="F71" s="34">
        <f t="shared" si="43"/>
        <v>-396971.17084847961</v>
      </c>
      <c r="G71" s="34">
        <f t="shared" si="43"/>
        <v>313800</v>
      </c>
      <c r="H71" s="34">
        <f t="shared" ref="H71:H78" si="44">SUM(B71:G71)</f>
        <v>26123844.550707471</v>
      </c>
      <c r="J71" s="100">
        <v>2023</v>
      </c>
      <c r="K71" s="34">
        <f t="shared" ref="K71:P78" si="45">K6+K19+K32+K45+K58</f>
        <v>5992395.871939851</v>
      </c>
      <c r="L71" s="34">
        <f t="shared" si="45"/>
        <v>3876242.146298049</v>
      </c>
      <c r="M71" s="34">
        <f t="shared" si="45"/>
        <v>44949.309408429675</v>
      </c>
      <c r="N71" s="34">
        <f>N6+N19+N32+N45+N58</f>
        <v>139812.13298580478</v>
      </c>
      <c r="O71" s="34">
        <f t="shared" si="45"/>
        <v>-153427.23179152003</v>
      </c>
      <c r="P71" s="34">
        <f t="shared" si="45"/>
        <v>1020</v>
      </c>
      <c r="Q71" s="34">
        <f t="shared" ref="Q71:Q77" si="46">SUM(K71:P71)</f>
        <v>9900992.2288406137</v>
      </c>
    </row>
    <row r="72" spans="1:18" x14ac:dyDescent="0.25">
      <c r="A72" s="103">
        <v>2024</v>
      </c>
      <c r="B72" s="64">
        <f t="shared" si="43"/>
        <v>16453353.110267259</v>
      </c>
      <c r="C72" s="64">
        <f t="shared" si="43"/>
        <v>12161468.183703924</v>
      </c>
      <c r="D72" s="64">
        <f t="shared" si="43"/>
        <v>117681.16</v>
      </c>
      <c r="E72" s="64">
        <f t="shared" si="43"/>
        <v>327988.89339974942</v>
      </c>
      <c r="F72" s="64">
        <f t="shared" si="43"/>
        <v>-385530.8404730403</v>
      </c>
      <c r="G72" s="64">
        <f t="shared" si="43"/>
        <v>371700</v>
      </c>
      <c r="H72" s="64">
        <f t="shared" si="44"/>
        <v>29046660.506897889</v>
      </c>
      <c r="J72" s="103">
        <v>2024</v>
      </c>
      <c r="K72" s="64">
        <f t="shared" si="45"/>
        <v>5741470.6562496861</v>
      </c>
      <c r="L72" s="64">
        <f t="shared" si="45"/>
        <v>7981205.1393966656</v>
      </c>
      <c r="M72" s="64">
        <f t="shared" si="45"/>
        <v>48137.609999999993</v>
      </c>
      <c r="N72" s="64">
        <f>N7+N20+N33+N46+N59</f>
        <v>149296.59079643586</v>
      </c>
      <c r="O72" s="64">
        <f t="shared" si="45"/>
        <v>-14123.628706000338</v>
      </c>
      <c r="P72" s="64">
        <f t="shared" si="45"/>
        <v>1020</v>
      </c>
      <c r="Q72" s="64">
        <f t="shared" si="46"/>
        <v>13907006.367736785</v>
      </c>
    </row>
    <row r="73" spans="1:18" x14ac:dyDescent="0.25">
      <c r="A73" s="100">
        <v>2025</v>
      </c>
      <c r="B73" s="34">
        <f t="shared" si="43"/>
        <v>16190025.709289866</v>
      </c>
      <c r="C73" s="34">
        <f t="shared" si="43"/>
        <v>11815471.548252702</v>
      </c>
      <c r="D73" s="34">
        <f t="shared" si="43"/>
        <v>123766.48799568361</v>
      </c>
      <c r="E73" s="34">
        <f t="shared" si="43"/>
        <v>346760.99270028202</v>
      </c>
      <c r="F73" s="34">
        <f t="shared" si="43"/>
        <v>5976.0155932403868</v>
      </c>
      <c r="G73" s="34">
        <f t="shared" si="43"/>
        <v>342800</v>
      </c>
      <c r="H73" s="34">
        <f t="shared" si="44"/>
        <v>28824800.753831774</v>
      </c>
      <c r="J73" s="100">
        <v>2025</v>
      </c>
      <c r="K73" s="34">
        <f t="shared" si="45"/>
        <v>5570132.4337451058</v>
      </c>
      <c r="L73" s="34">
        <f t="shared" si="45"/>
        <v>7295813.6498552021</v>
      </c>
      <c r="M73" s="34">
        <f t="shared" si="45"/>
        <v>50432.957356518964</v>
      </c>
      <c r="N73" s="34">
        <f t="shared" si="45"/>
        <v>156167.45874424398</v>
      </c>
      <c r="O73" s="34">
        <f t="shared" si="45"/>
        <v>437782.25994500011</v>
      </c>
      <c r="P73" s="34">
        <f t="shared" si="45"/>
        <v>1020</v>
      </c>
      <c r="Q73" s="34">
        <f t="shared" si="46"/>
        <v>13511348.759646071</v>
      </c>
    </row>
    <row r="74" spans="1:18" x14ac:dyDescent="0.25">
      <c r="A74" s="103">
        <v>2026</v>
      </c>
      <c r="B74" s="64">
        <f t="shared" si="43"/>
        <v>15940906.456165386</v>
      </c>
      <c r="C74" s="64">
        <f t="shared" si="43"/>
        <v>13396640.447039422</v>
      </c>
      <c r="D74" s="64">
        <f t="shared" si="43"/>
        <v>128923.63012581308</v>
      </c>
      <c r="E74" s="64">
        <f t="shared" si="43"/>
        <v>362422.43551922007</v>
      </c>
      <c r="F74" s="64">
        <f t="shared" si="43"/>
        <v>489319.02072000032</v>
      </c>
      <c r="G74" s="64">
        <f t="shared" si="43"/>
        <v>342800</v>
      </c>
      <c r="H74" s="64">
        <f t="shared" si="44"/>
        <v>30661011.989569839</v>
      </c>
      <c r="J74" s="103">
        <v>2026</v>
      </c>
      <c r="K74" s="64">
        <f t="shared" si="45"/>
        <v>5675073.8247401491</v>
      </c>
      <c r="L74" s="64">
        <f t="shared" si="45"/>
        <v>8679791.3594794478</v>
      </c>
      <c r="M74" s="64">
        <f t="shared" si="45"/>
        <v>57556.321011131702</v>
      </c>
      <c r="N74" s="64">
        <f t="shared" si="45"/>
        <v>176896.42861515519</v>
      </c>
      <c r="O74" s="64">
        <f t="shared" si="45"/>
        <v>729125.24190000002</v>
      </c>
      <c r="P74" s="64">
        <f t="shared" si="45"/>
        <v>1020</v>
      </c>
      <c r="Q74" s="64">
        <f t="shared" si="46"/>
        <v>15319463.175745884</v>
      </c>
    </row>
    <row r="75" spans="1:18" x14ac:dyDescent="0.25">
      <c r="A75" s="100">
        <v>2027</v>
      </c>
      <c r="B75" s="34">
        <f t="shared" si="43"/>
        <v>16215411.066560162</v>
      </c>
      <c r="C75" s="34">
        <f t="shared" si="43"/>
        <v>15174616.040177088</v>
      </c>
      <c r="D75" s="34">
        <f t="shared" si="43"/>
        <v>133622.07455528711</v>
      </c>
      <c r="E75" s="34">
        <f t="shared" si="43"/>
        <v>376612.3523080867</v>
      </c>
      <c r="F75" s="34">
        <f t="shared" si="43"/>
        <v>478560.87845999975</v>
      </c>
      <c r="G75" s="34">
        <f t="shared" si="43"/>
        <v>342800</v>
      </c>
      <c r="H75" s="34">
        <f t="shared" si="44"/>
        <v>32721622.412060622</v>
      </c>
      <c r="J75" s="100">
        <v>2027</v>
      </c>
      <c r="K75" s="34">
        <f t="shared" si="45"/>
        <v>6025698.2557923654</v>
      </c>
      <c r="L75" s="34">
        <f t="shared" si="45"/>
        <v>10292288.720806589</v>
      </c>
      <c r="M75" s="34">
        <f t="shared" si="45"/>
        <v>64270.432342065258</v>
      </c>
      <c r="N75" s="34">
        <f t="shared" si="45"/>
        <v>198167.56057129576</v>
      </c>
      <c r="O75" s="34">
        <f t="shared" si="45"/>
        <v>771187.02450000006</v>
      </c>
      <c r="P75" s="34">
        <f t="shared" si="45"/>
        <v>1020</v>
      </c>
      <c r="Q75" s="34">
        <f t="shared" si="46"/>
        <v>17352631.994012319</v>
      </c>
    </row>
    <row r="76" spans="1:18" x14ac:dyDescent="0.25">
      <c r="A76" s="103">
        <v>2028</v>
      </c>
      <c r="B76" s="64">
        <f t="shared" si="43"/>
        <v>16767254.990588631</v>
      </c>
      <c r="C76" s="64">
        <f t="shared" si="43"/>
        <v>17309402.840209711</v>
      </c>
      <c r="D76" s="64">
        <f t="shared" si="43"/>
        <v>138025.64948595956</v>
      </c>
      <c r="E76" s="64">
        <f t="shared" si="43"/>
        <v>389841.32103226776</v>
      </c>
      <c r="F76" s="64">
        <f t="shared" si="43"/>
        <v>467802.73619999958</v>
      </c>
      <c r="G76" s="64">
        <f t="shared" si="43"/>
        <v>342800</v>
      </c>
      <c r="H76" s="64">
        <f t="shared" si="44"/>
        <v>35415127.537516572</v>
      </c>
      <c r="J76" s="103">
        <v>2028</v>
      </c>
      <c r="K76" s="64">
        <f t="shared" si="45"/>
        <v>6607882.0896397624</v>
      </c>
      <c r="L76" s="64">
        <f t="shared" si="45"/>
        <v>12133126.753616052</v>
      </c>
      <c r="M76" s="64">
        <f t="shared" si="45"/>
        <v>72359.906340837275</v>
      </c>
      <c r="N76" s="64">
        <f t="shared" si="45"/>
        <v>223397.55691737583</v>
      </c>
      <c r="O76" s="64">
        <f t="shared" si="45"/>
        <v>756038.90309999988</v>
      </c>
      <c r="P76" s="64">
        <f t="shared" si="45"/>
        <v>1020</v>
      </c>
      <c r="Q76" s="64">
        <f t="shared" si="46"/>
        <v>19793825.209614027</v>
      </c>
    </row>
    <row r="77" spans="1:18" x14ac:dyDescent="0.25">
      <c r="A77" s="100">
        <v>2029</v>
      </c>
      <c r="B77" s="34">
        <f t="shared" si="43"/>
        <v>17327226.174810238</v>
      </c>
      <c r="C77" s="34">
        <f t="shared" si="43"/>
        <v>18232983.678862166</v>
      </c>
      <c r="D77" s="34">
        <f t="shared" si="43"/>
        <v>142468.57883426175</v>
      </c>
      <c r="E77" s="34">
        <f t="shared" si="43"/>
        <v>402993.0335772555</v>
      </c>
      <c r="F77" s="34">
        <f t="shared" si="43"/>
        <v>439389.22818640666</v>
      </c>
      <c r="G77" s="34">
        <f t="shared" si="43"/>
        <v>342800</v>
      </c>
      <c r="H77" s="34">
        <f t="shared" si="44"/>
        <v>36887860.694270328</v>
      </c>
      <c r="J77" s="100">
        <v>2029</v>
      </c>
      <c r="K77" s="34">
        <f t="shared" si="45"/>
        <v>7185894.0416235328</v>
      </c>
      <c r="L77" s="34">
        <f t="shared" si="45"/>
        <v>12594037.922692044</v>
      </c>
      <c r="M77" s="34">
        <f t="shared" si="45"/>
        <v>80217.16865497797</v>
      </c>
      <c r="N77" s="34">
        <f t="shared" si="45"/>
        <v>247907.89304444741</v>
      </c>
      <c r="O77" s="34">
        <f t="shared" si="45"/>
        <v>740890.78169999982</v>
      </c>
      <c r="P77" s="34">
        <f t="shared" si="45"/>
        <v>1020</v>
      </c>
      <c r="Q77" s="34">
        <f t="shared" si="46"/>
        <v>20849967.807715002</v>
      </c>
    </row>
    <row r="78" spans="1:18" ht="15.75" thickBot="1" x14ac:dyDescent="0.3">
      <c r="A78" s="106">
        <v>2030</v>
      </c>
      <c r="B78" s="127">
        <f t="shared" si="43"/>
        <v>17881078.193114378</v>
      </c>
      <c r="C78" s="127">
        <f t="shared" si="43"/>
        <v>18413582.252454702</v>
      </c>
      <c r="D78" s="127">
        <f t="shared" si="43"/>
        <v>146637.25987598515</v>
      </c>
      <c r="E78" s="127">
        <f t="shared" si="43"/>
        <v>415129.84426319337</v>
      </c>
      <c r="F78" s="127">
        <f t="shared" si="43"/>
        <v>428586.23962647415</v>
      </c>
      <c r="G78" s="127">
        <f t="shared" si="43"/>
        <v>342800</v>
      </c>
      <c r="H78" s="127">
        <f t="shared" si="44"/>
        <v>37627813.789334737</v>
      </c>
      <c r="J78" s="106">
        <v>2030</v>
      </c>
      <c r="K78" s="127">
        <f t="shared" si="45"/>
        <v>7760405.189778991</v>
      </c>
      <c r="L78" s="127">
        <f>L13+L26+L39+L52+L65</f>
        <v>12209779.095695501</v>
      </c>
      <c r="M78" s="127">
        <f t="shared" si="45"/>
        <v>87842.219284487364</v>
      </c>
      <c r="N78" s="127">
        <f t="shared" si="45"/>
        <v>271698.56895251042</v>
      </c>
      <c r="O78" s="127">
        <f t="shared" si="45"/>
        <v>725742.66029999999</v>
      </c>
      <c r="P78" s="127">
        <f t="shared" si="45"/>
        <v>1020</v>
      </c>
      <c r="Q78" s="127">
        <f>SUM(K78:P78)</f>
        <v>21056487.734011494</v>
      </c>
    </row>
    <row r="79" spans="1:18" x14ac:dyDescent="0.25">
      <c r="A79" s="54" t="s">
        <v>72</v>
      </c>
      <c r="B79" s="48">
        <f>(B78-B72)/B72</f>
        <v>8.6774110619201747E-2</v>
      </c>
      <c r="C79" s="48">
        <f t="shared" ref="C79" si="47">(C78-C72)/C72</f>
        <v>0.5140920466435509</v>
      </c>
      <c r="D79" s="48">
        <f t="shared" ref="D79" si="48">(D78-D72)/D72</f>
        <v>0.24605552729073327</v>
      </c>
      <c r="E79" s="48">
        <f t="shared" ref="E79" si="49">(E78-E72)/E72</f>
        <v>0.26568262711639284</v>
      </c>
      <c r="F79" s="48"/>
      <c r="G79" s="48"/>
      <c r="H79" s="48">
        <f t="shared" ref="H79" si="50">(H78-H72)/H72</f>
        <v>0.29542650110841584</v>
      </c>
      <c r="J79" s="54" t="s">
        <v>72</v>
      </c>
      <c r="K79" s="48">
        <f>(K78-K72)/K72</f>
        <v>0.35164066045198039</v>
      </c>
      <c r="L79" s="48">
        <f t="shared" ref="L79" si="51">(L78-L72)/L72</f>
        <v>0.52981647288149925</v>
      </c>
      <c r="M79" s="48">
        <f t="shared" ref="M79" si="52">(M78-M72)/M72</f>
        <v>0.82481471939482198</v>
      </c>
      <c r="N79" s="48">
        <f t="shared" ref="N79" si="53">(N78-N72)/N72</f>
        <v>0.81985782463692158</v>
      </c>
      <c r="O79" s="48"/>
      <c r="P79" s="48"/>
      <c r="Q79" s="48">
        <f t="shared" ref="Q79" si="54">(Q78-Q72)/Q72</f>
        <v>0.51409204664355168</v>
      </c>
    </row>
    <row r="81" spans="12:13" x14ac:dyDescent="0.25">
      <c r="L81" s="42"/>
    </row>
    <row r="82" spans="12:13" x14ac:dyDescent="0.25">
      <c r="L82" s="39"/>
    </row>
    <row r="83" spans="12:13" x14ac:dyDescent="0.25">
      <c r="L83" s="39"/>
      <c r="M83" s="25"/>
    </row>
    <row r="84" spans="12:13" x14ac:dyDescent="0.25">
      <c r="L84" s="39"/>
      <c r="M84" s="25"/>
    </row>
    <row r="85" spans="12:13" x14ac:dyDescent="0.25">
      <c r="L85" s="39"/>
      <c r="M85" s="25"/>
    </row>
    <row r="86" spans="12:13" x14ac:dyDescent="0.25">
      <c r="L86" s="39"/>
      <c r="M86" s="25"/>
    </row>
    <row r="87" spans="12:13" x14ac:dyDescent="0.25">
      <c r="L87" s="39"/>
      <c r="M87" s="25"/>
    </row>
    <row r="88" spans="12:13" x14ac:dyDescent="0.25">
      <c r="L88" s="39"/>
      <c r="M88" s="25"/>
    </row>
    <row r="89" spans="12:13" x14ac:dyDescent="0.25">
      <c r="L89" s="39"/>
      <c r="M89" s="25"/>
    </row>
  </sheetData>
  <mergeCells count="13">
    <mergeCell ref="A2:D2"/>
    <mergeCell ref="B69:H69"/>
    <mergeCell ref="K69:Q69"/>
    <mergeCell ref="B4:H4"/>
    <mergeCell ref="K4:Q4"/>
    <mergeCell ref="B17:H17"/>
    <mergeCell ref="K17:Q17"/>
    <mergeCell ref="B30:H30"/>
    <mergeCell ref="K30:Q30"/>
    <mergeCell ref="B43:H43"/>
    <mergeCell ref="K43:Q43"/>
    <mergeCell ref="B56:H56"/>
    <mergeCell ref="K56:Q56"/>
  </mergeCells>
  <hyperlinks>
    <hyperlink ref="A1" location="Introduksjon!A1" display="Tilbake til introduksjon" xr:uid="{37BD93B1-4941-4FDE-9AC5-109036627586}"/>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EACD6-29B8-444B-A68F-B23ADCBEC96A}">
  <sheetPr>
    <tabColor theme="8"/>
  </sheetPr>
  <dimension ref="A1:K15"/>
  <sheetViews>
    <sheetView workbookViewId="0">
      <selection activeCell="I13" sqref="I13"/>
    </sheetView>
  </sheetViews>
  <sheetFormatPr baseColWidth="10" defaultColWidth="11.42578125" defaultRowHeight="15" x14ac:dyDescent="0.25"/>
  <cols>
    <col min="1" max="1" width="21.85546875" style="9" bestFit="1" customWidth="1"/>
    <col min="2" max="2" width="16.28515625" style="9" bestFit="1" customWidth="1"/>
    <col min="3" max="5" width="11.42578125" style="9"/>
    <col min="6" max="6" width="13.85546875" style="9" bestFit="1" customWidth="1"/>
    <col min="7" max="7" width="12.7109375" style="9" customWidth="1"/>
    <col min="8" max="8" width="11.42578125" style="9"/>
    <col min="9" max="9" width="20.42578125" style="9" bestFit="1" customWidth="1"/>
    <col min="10" max="10" width="23.140625" style="9" customWidth="1"/>
    <col min="11" max="16384" width="11.42578125" style="9"/>
  </cols>
  <sheetData>
    <row r="1" spans="1:11" x14ac:dyDescent="0.25">
      <c r="A1" s="45" t="s">
        <v>170</v>
      </c>
    </row>
    <row r="2" spans="1:11" ht="18.75" x14ac:dyDescent="0.3">
      <c r="A2" s="175" t="s">
        <v>202</v>
      </c>
      <c r="B2" s="176"/>
      <c r="C2" s="176"/>
      <c r="D2" s="177"/>
    </row>
    <row r="3" spans="1:11" x14ac:dyDescent="0.25">
      <c r="C3" s="48"/>
      <c r="D3" s="48"/>
      <c r="E3" s="48"/>
    </row>
    <row r="4" spans="1:11" ht="15.75" thickBot="1" x14ac:dyDescent="0.3">
      <c r="A4" s="53" t="s">
        <v>48</v>
      </c>
      <c r="B4" s="50" t="s">
        <v>74</v>
      </c>
      <c r="C4" s="50" t="s">
        <v>75</v>
      </c>
      <c r="D4" s="50" t="s">
        <v>76</v>
      </c>
      <c r="E4" s="50" t="s">
        <v>77</v>
      </c>
      <c r="F4" s="50" t="s">
        <v>78</v>
      </c>
      <c r="G4" s="50" t="s">
        <v>86</v>
      </c>
      <c r="H4" s="50" t="s">
        <v>87</v>
      </c>
      <c r="I4" s="50" t="s">
        <v>26</v>
      </c>
      <c r="J4" s="82" t="s">
        <v>125</v>
      </c>
      <c r="K4" s="50" t="s">
        <v>80</v>
      </c>
    </row>
    <row r="5" spans="1:11" x14ac:dyDescent="0.25">
      <c r="A5" s="100">
        <v>2023</v>
      </c>
      <c r="B5" s="34">
        <f>'IR T-nett 2024-2030'!I18</f>
        <v>15025712.460053137</v>
      </c>
      <c r="C5" s="34">
        <f>'IR T-nett 2024-2030'!H6</f>
        <v>850000</v>
      </c>
      <c r="D5" s="34">
        <f>'IR T-nett 2024-2030'!I6</f>
        <v>36960</v>
      </c>
      <c r="E5" s="34">
        <f>'IR T-nett 2024-2030'!F6</f>
        <v>401000</v>
      </c>
      <c r="F5" s="34">
        <f>Tidsetterslep!D34</f>
        <v>-134931.43836059421</v>
      </c>
      <c r="G5" s="34">
        <f>'Elhub&amp;Elbits'!P25</f>
        <v>455.90472692933224</v>
      </c>
      <c r="H5" s="34">
        <f>'Elhub&amp;Elbits'!I59</f>
        <v>5889.2039999999988</v>
      </c>
      <c r="I5" s="34">
        <v>9943186.20273</v>
      </c>
      <c r="J5" s="34">
        <v>1974000</v>
      </c>
      <c r="K5" s="34">
        <f>B5+C5+D5+E5+F5+G5+H5-I5-J5</f>
        <v>4267899.9276894722</v>
      </c>
    </row>
    <row r="6" spans="1:11" x14ac:dyDescent="0.25">
      <c r="A6" s="103">
        <v>2024</v>
      </c>
      <c r="B6" s="64">
        <f>'IR T-nett 2024-2030'!I19</f>
        <v>16718090.868409825</v>
      </c>
      <c r="C6" s="64">
        <f>'IR T-nett 2024-2030'!H7</f>
        <v>911000</v>
      </c>
      <c r="D6" s="64">
        <f>'IR T-nett 2024-2030'!I7</f>
        <v>37080</v>
      </c>
      <c r="E6" s="64">
        <f>'IR T-nett 2024-2030'!F7</f>
        <v>437000</v>
      </c>
      <c r="F6" s="64">
        <f>Tidsetterslep!D35</f>
        <v>-100700.4091988178</v>
      </c>
      <c r="G6" s="64">
        <f>'Elhub&amp;Elbits'!P26</f>
        <v>455.90472692933224</v>
      </c>
      <c r="H6" s="64">
        <f>'Elhub&amp;Elbits'!J60</f>
        <v>0</v>
      </c>
      <c r="I6" s="64">
        <f>7000000</f>
        <v>7000000</v>
      </c>
      <c r="J6" s="64">
        <v>2137000</v>
      </c>
      <c r="K6" s="64">
        <f>B6+C6+D6+E6+F6+G6+H6-I6-J6</f>
        <v>8865926.3639379404</v>
      </c>
    </row>
    <row r="7" spans="1:11" x14ac:dyDescent="0.25">
      <c r="A7" s="100">
        <v>2025</v>
      </c>
      <c r="B7" s="34">
        <f>'IR T-nett 2024-2030'!I20</f>
        <v>16098280.489075657</v>
      </c>
      <c r="C7" s="34">
        <f>'IR T-nett 2024-2030'!H8</f>
        <v>700000</v>
      </c>
      <c r="D7" s="34">
        <f>'IR T-nett 2024-2030'!I8</f>
        <v>37888</v>
      </c>
      <c r="E7" s="34">
        <f>'IR T-nett 2024-2030'!F8</f>
        <v>453000</v>
      </c>
      <c r="F7" s="34">
        <f>Tidsetterslep!D36</f>
        <v>909579.6835483918</v>
      </c>
      <c r="G7" s="34">
        <f>'Elhub&amp;Elbits'!P27</f>
        <v>455.90472692933224</v>
      </c>
      <c r="H7" s="34">
        <f>'Elhub&amp;Elbits'!J61</f>
        <v>0</v>
      </c>
      <c r="I7" s="34">
        <f>7000000*(1+Forutsetninger!$E$12)</f>
        <v>7000000</v>
      </c>
      <c r="J7" s="34">
        <v>2961000</v>
      </c>
      <c r="K7" s="34">
        <f t="shared" ref="K7:K12" si="0">B7+C7+D7+E7+F7+G7+H7-I7-J7</f>
        <v>8238204.0773509778</v>
      </c>
    </row>
    <row r="8" spans="1:11" x14ac:dyDescent="0.25">
      <c r="A8" s="103">
        <v>2026</v>
      </c>
      <c r="B8" s="64">
        <f>'IR T-nett 2024-2030'!I21</f>
        <v>16514948.146098875</v>
      </c>
      <c r="C8" s="64">
        <f>'IR T-nett 2024-2030'!H9</f>
        <v>600000</v>
      </c>
      <c r="D8" s="64">
        <f>'IR T-nett 2024-2030'!I9</f>
        <v>38836</v>
      </c>
      <c r="E8" s="64">
        <f>'IR T-nett 2024-2030'!F9</f>
        <v>478000</v>
      </c>
      <c r="F8" s="64">
        <f>Tidsetterslep!D37</f>
        <v>2420007.5032405537</v>
      </c>
      <c r="G8" s="64">
        <f>'Elhub&amp;Elbits'!P28</f>
        <v>455.90472692933224</v>
      </c>
      <c r="H8" s="64">
        <f>'Elhub&amp;Elbits'!J62</f>
        <v>0</v>
      </c>
      <c r="I8" s="64">
        <f>7000000*(1+Forutsetninger!$E$12)</f>
        <v>7000000</v>
      </c>
      <c r="J8" s="64">
        <v>3056000</v>
      </c>
      <c r="K8" s="64">
        <f t="shared" si="0"/>
        <v>9996247.55406636</v>
      </c>
    </row>
    <row r="9" spans="1:11" x14ac:dyDescent="0.25">
      <c r="A9" s="100">
        <v>2027</v>
      </c>
      <c r="B9" s="34">
        <f>'IR T-nett 2024-2030'!I22</f>
        <v>18154669.799203482</v>
      </c>
      <c r="C9" s="34">
        <f>'IR T-nett 2024-2030'!H10</f>
        <v>500000</v>
      </c>
      <c r="D9" s="34">
        <f>'IR T-nett 2024-2030'!I10</f>
        <v>39780</v>
      </c>
      <c r="E9" s="34">
        <f>'IR T-nett 2024-2030'!F10</f>
        <v>508000</v>
      </c>
      <c r="F9" s="34">
        <f>Tidsetterslep!D38</f>
        <v>3015870.5752904722</v>
      </c>
      <c r="G9" s="34">
        <f>'Elhub&amp;Elbits'!P29</f>
        <v>455.90472692933224</v>
      </c>
      <c r="H9" s="34">
        <f>'Elhub&amp;Elbits'!J63</f>
        <v>0</v>
      </c>
      <c r="I9" s="34">
        <f>7000000*(1+Forutsetninger!$E$12)</f>
        <v>7000000</v>
      </c>
      <c r="J9" s="34">
        <v>3151000</v>
      </c>
      <c r="K9" s="34">
        <f t="shared" si="0"/>
        <v>12067776.279220883</v>
      </c>
    </row>
    <row r="10" spans="1:11" x14ac:dyDescent="0.25">
      <c r="A10" s="103">
        <v>2028</v>
      </c>
      <c r="B10" s="64">
        <f>'IR T-nett 2024-2030'!I23</f>
        <v>20443204.121255815</v>
      </c>
      <c r="C10" s="64">
        <f>'IR T-nett 2024-2030'!H11</f>
        <v>500000</v>
      </c>
      <c r="D10" s="64">
        <f>'IR T-nett 2024-2030'!I11</f>
        <v>40800</v>
      </c>
      <c r="E10" s="64">
        <f>'IR T-nett 2024-2030'!F11</f>
        <v>518159.99999999994</v>
      </c>
      <c r="F10" s="64">
        <f>Tidsetterslep!D39</f>
        <v>3143402.6393918479</v>
      </c>
      <c r="G10" s="64">
        <f>'Elhub&amp;Elbits'!P30</f>
        <v>455.90472692933224</v>
      </c>
      <c r="H10" s="64">
        <f>'Elhub&amp;Elbits'!J64</f>
        <v>0</v>
      </c>
      <c r="I10" s="64">
        <f>7000000*(1+Forutsetninger!$E$12)</f>
        <v>7000000</v>
      </c>
      <c r="J10" s="64">
        <v>3245000</v>
      </c>
      <c r="K10" s="64">
        <f t="shared" si="0"/>
        <v>14401022.665374592</v>
      </c>
    </row>
    <row r="11" spans="1:11" x14ac:dyDescent="0.25">
      <c r="A11" s="100">
        <v>2029</v>
      </c>
      <c r="B11" s="34">
        <f>'IR T-nett 2024-2030'!I24</f>
        <v>22246194.395196334</v>
      </c>
      <c r="C11" s="34">
        <f>'IR T-nett 2024-2030'!H12</f>
        <v>500000</v>
      </c>
      <c r="D11" s="34">
        <f>'IR T-nett 2024-2030'!I12</f>
        <v>41820</v>
      </c>
      <c r="E11" s="34">
        <f>'IR T-nett 2024-2030'!F12</f>
        <v>529523.19999999995</v>
      </c>
      <c r="F11" s="34">
        <f>Tidsetterslep!D40</f>
        <v>2277618.4025218887</v>
      </c>
      <c r="G11" s="34">
        <f>'Elhub&amp;Elbits'!P31</f>
        <v>455.90472692933224</v>
      </c>
      <c r="H11" s="34">
        <f>'Elhub&amp;Elbits'!J65</f>
        <v>0</v>
      </c>
      <c r="I11" s="34">
        <f>7000000*(1+Forutsetninger!$E$12)</f>
        <v>7000000</v>
      </c>
      <c r="J11" s="34">
        <v>3338000</v>
      </c>
      <c r="K11" s="34">
        <f t="shared" si="0"/>
        <v>15257611.902445152</v>
      </c>
    </row>
    <row r="12" spans="1:11" ht="15.75" thickBot="1" x14ac:dyDescent="0.3">
      <c r="A12" s="106">
        <v>2030</v>
      </c>
      <c r="B12" s="127">
        <f>'IR T-nett 2024-2030'!I25</f>
        <v>24240374.221668854</v>
      </c>
      <c r="C12" s="127">
        <f>'IR T-nett 2024-2030'!H13</f>
        <v>500000</v>
      </c>
      <c r="D12" s="127">
        <f>'IR T-nett 2024-2030'!I13</f>
        <v>41820</v>
      </c>
      <c r="E12" s="127">
        <f>'IR T-nett 2024-2030'!F13</f>
        <v>530000</v>
      </c>
      <c r="F12" s="127">
        <f>Tidsetterslep!D41</f>
        <v>203032</v>
      </c>
      <c r="G12" s="127">
        <f>'Elhub&amp;Elbits'!P32</f>
        <v>455.90472692933224</v>
      </c>
      <c r="H12" s="127">
        <f>'Elhub&amp;Elbits'!J66</f>
        <v>0</v>
      </c>
      <c r="I12" s="127">
        <f>7000000*(1+Forutsetninger!$E$12)</f>
        <v>7000000</v>
      </c>
      <c r="J12" s="127">
        <v>3426000</v>
      </c>
      <c r="K12" s="127">
        <f t="shared" si="0"/>
        <v>15089682.126395784</v>
      </c>
    </row>
    <row r="13" spans="1:11" x14ac:dyDescent="0.25">
      <c r="A13" s="54" t="s">
        <v>72</v>
      </c>
      <c r="B13" s="48">
        <f>(B12-B6)/B6</f>
        <v>0.4499487060136147</v>
      </c>
      <c r="C13" s="48">
        <f t="shared" ref="C13:K13" si="1">(C12-C6)/C6</f>
        <v>-0.45115257958287597</v>
      </c>
      <c r="D13" s="48">
        <f t="shared" si="1"/>
        <v>0.127831715210356</v>
      </c>
      <c r="E13" s="48">
        <f t="shared" si="1"/>
        <v>0.21281464530892449</v>
      </c>
      <c r="F13" s="48">
        <f t="shared" si="1"/>
        <v>-3.0161983612116599</v>
      </c>
      <c r="G13" s="48">
        <f t="shared" si="1"/>
        <v>0</v>
      </c>
      <c r="H13" s="48"/>
      <c r="I13" s="48">
        <f t="shared" si="1"/>
        <v>0</v>
      </c>
      <c r="J13" s="48">
        <f t="shared" si="1"/>
        <v>0.60318203088441735</v>
      </c>
      <c r="K13" s="48">
        <f t="shared" si="1"/>
        <v>0.70198595239555595</v>
      </c>
    </row>
    <row r="14" spans="1:11" x14ac:dyDescent="0.25">
      <c r="B14" s="14"/>
      <c r="C14" s="14"/>
      <c r="D14" s="14"/>
      <c r="E14" s="14"/>
      <c r="F14" s="14"/>
      <c r="G14" s="14"/>
      <c r="H14" s="14"/>
      <c r="I14" s="14"/>
      <c r="J14" s="14"/>
    </row>
    <row r="15" spans="1:11" x14ac:dyDescent="0.25">
      <c r="J15" s="14"/>
    </row>
  </sheetData>
  <mergeCells count="1">
    <mergeCell ref="A2:D2"/>
  </mergeCells>
  <hyperlinks>
    <hyperlink ref="A1" location="Introduksjon!A1" display="Tilbake til introduksjon" xr:uid="{B50B1340-9C69-4E74-9770-C46AF80778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G33"/>
  <sheetViews>
    <sheetView workbookViewId="0">
      <selection activeCell="D31" sqref="D31"/>
    </sheetView>
  </sheetViews>
  <sheetFormatPr baseColWidth="10" defaultColWidth="11.42578125" defaultRowHeight="15" x14ac:dyDescent="0.25"/>
  <cols>
    <col min="1" max="1" width="23.5703125" style="9" customWidth="1"/>
    <col min="2" max="3" width="11.42578125" style="9"/>
    <col min="4" max="4" width="21" style="9" bestFit="1" customWidth="1"/>
    <col min="5" max="5" width="23.85546875" style="9" bestFit="1" customWidth="1"/>
    <col min="6" max="6" width="26.140625" style="9" bestFit="1" customWidth="1"/>
    <col min="7" max="7" width="23" style="9" bestFit="1" customWidth="1"/>
    <col min="8" max="8" width="11.42578125" style="9"/>
    <col min="9" max="9" width="13.85546875" style="9" customWidth="1"/>
    <col min="10" max="11" width="11" style="9" bestFit="1" customWidth="1"/>
    <col min="12" max="12" width="11.7109375" style="9" bestFit="1" customWidth="1"/>
    <col min="13" max="13" width="11" style="9" bestFit="1" customWidth="1"/>
    <col min="14" max="14" width="11.7109375" style="9" bestFit="1" customWidth="1"/>
    <col min="15" max="16384" width="11.42578125" style="9"/>
  </cols>
  <sheetData>
    <row r="1" spans="1:7" x14ac:dyDescent="0.25">
      <c r="A1" s="45" t="s">
        <v>170</v>
      </c>
    </row>
    <row r="2" spans="1:7" ht="18.75" x14ac:dyDescent="0.3">
      <c r="A2" s="175" t="s">
        <v>137</v>
      </c>
      <c r="B2" s="176"/>
      <c r="C2" s="176"/>
      <c r="D2" s="177"/>
    </row>
    <row r="3" spans="1:7" ht="15.75" thickBot="1" x14ac:dyDescent="0.3">
      <c r="D3" s="53"/>
      <c r="E3" s="50" t="s">
        <v>0</v>
      </c>
      <c r="F3" s="50" t="s">
        <v>1</v>
      </c>
      <c r="G3" s="50" t="s">
        <v>2</v>
      </c>
    </row>
    <row r="4" spans="1:7" x14ac:dyDescent="0.25">
      <c r="A4" s="5" t="s">
        <v>9</v>
      </c>
      <c r="B4" s="8">
        <v>0.01</v>
      </c>
      <c r="D4" s="54" t="s">
        <v>10</v>
      </c>
      <c r="E4" s="9">
        <v>40</v>
      </c>
      <c r="F4" s="34">
        <v>57000</v>
      </c>
      <c r="G4" s="48">
        <v>0.81</v>
      </c>
    </row>
    <row r="5" spans="1:7" x14ac:dyDescent="0.25">
      <c r="D5" s="55" t="s">
        <v>12</v>
      </c>
      <c r="E5" s="68">
        <v>40</v>
      </c>
      <c r="F5" s="64">
        <v>19000</v>
      </c>
      <c r="G5" s="75">
        <v>0.94</v>
      </c>
    </row>
    <row r="6" spans="1:7" ht="15.75" thickBot="1" x14ac:dyDescent="0.3">
      <c r="A6" s="159" t="s">
        <v>188</v>
      </c>
      <c r="B6" s="70"/>
      <c r="D6" s="54" t="s">
        <v>15</v>
      </c>
      <c r="E6" s="9">
        <v>40</v>
      </c>
      <c r="F6" s="34">
        <v>30000</v>
      </c>
      <c r="G6" s="48">
        <v>1</v>
      </c>
    </row>
    <row r="7" spans="1:7" x14ac:dyDescent="0.25">
      <c r="A7" s="9" t="s">
        <v>14</v>
      </c>
      <c r="B7" s="26">
        <v>7.4700000000000003E-2</v>
      </c>
    </row>
    <row r="8" spans="1:7" x14ac:dyDescent="0.25">
      <c r="A8" s="68" t="s">
        <v>16</v>
      </c>
      <c r="B8" s="69">
        <v>8.3599999999999994E-2</v>
      </c>
    </row>
    <row r="9" spans="1:7" x14ac:dyDescent="0.25">
      <c r="A9" s="9" t="s">
        <v>18</v>
      </c>
      <c r="B9" s="26">
        <v>7.5300000000000006E-2</v>
      </c>
    </row>
    <row r="10" spans="1:7" x14ac:dyDescent="0.25">
      <c r="A10" s="68" t="s">
        <v>20</v>
      </c>
      <c r="B10" s="69">
        <v>6.7699999999999996E-2</v>
      </c>
    </row>
    <row r="11" spans="1:7" ht="15.75" thickBot="1" x14ac:dyDescent="0.3">
      <c r="A11" s="9" t="s">
        <v>22</v>
      </c>
      <c r="B11" s="26">
        <v>0.06</v>
      </c>
      <c r="D11" s="76"/>
      <c r="E11" s="98" t="s">
        <v>123</v>
      </c>
    </row>
    <row r="12" spans="1:7" x14ac:dyDescent="0.25">
      <c r="A12" s="68" t="s">
        <v>23</v>
      </c>
      <c r="B12" s="69">
        <v>0.06</v>
      </c>
      <c r="D12" s="77" t="s">
        <v>26</v>
      </c>
      <c r="E12" s="78">
        <v>0</v>
      </c>
    </row>
    <row r="13" spans="1:7" x14ac:dyDescent="0.25">
      <c r="A13" s="9" t="s">
        <v>25</v>
      </c>
      <c r="B13" s="26">
        <v>0.06</v>
      </c>
      <c r="D13" s="80" t="s">
        <v>28</v>
      </c>
      <c r="E13" s="81">
        <v>0</v>
      </c>
    </row>
    <row r="14" spans="1:7" x14ac:dyDescent="0.25">
      <c r="A14" s="68" t="s">
        <v>27</v>
      </c>
      <c r="B14" s="69">
        <v>0.06</v>
      </c>
      <c r="D14" s="77" t="s">
        <v>30</v>
      </c>
      <c r="E14" s="78">
        <v>0</v>
      </c>
    </row>
    <row r="15" spans="1:7" x14ac:dyDescent="0.25">
      <c r="A15" s="9" t="s">
        <v>29</v>
      </c>
      <c r="B15" s="26">
        <v>0.06</v>
      </c>
      <c r="D15" s="80" t="s">
        <v>32</v>
      </c>
      <c r="E15" s="81">
        <v>0</v>
      </c>
    </row>
    <row r="16" spans="1:7" x14ac:dyDescent="0.25">
      <c r="D16" s="77" t="s">
        <v>34</v>
      </c>
      <c r="E16" s="78">
        <v>0</v>
      </c>
    </row>
    <row r="17" spans="1:6" ht="15.75" thickBot="1" x14ac:dyDescent="0.3">
      <c r="A17" s="49" t="s">
        <v>171</v>
      </c>
      <c r="B17" s="70"/>
      <c r="D17" s="80" t="s">
        <v>128</v>
      </c>
      <c r="E17" s="81">
        <v>0</v>
      </c>
    </row>
    <row r="18" spans="1:6" x14ac:dyDescent="0.25">
      <c r="A18" s="71" t="s">
        <v>36</v>
      </c>
      <c r="B18" s="72">
        <v>1.064597</v>
      </c>
    </row>
    <row r="19" spans="1:6" x14ac:dyDescent="0.25">
      <c r="A19" s="73" t="s">
        <v>37</v>
      </c>
      <c r="B19" s="74">
        <v>1.116279</v>
      </c>
    </row>
    <row r="20" spans="1:6" x14ac:dyDescent="0.25">
      <c r="A20" s="71" t="s">
        <v>203</v>
      </c>
      <c r="B20" s="72">
        <v>1.0308692120227401</v>
      </c>
    </row>
    <row r="21" spans="1:6" x14ac:dyDescent="0.25">
      <c r="A21" s="73" t="s">
        <v>204</v>
      </c>
      <c r="B21" s="74">
        <v>1.0577088716623599</v>
      </c>
    </row>
    <row r="23" spans="1:6" x14ac:dyDescent="0.25">
      <c r="E23" s="79"/>
    </row>
    <row r="25" spans="1:6" x14ac:dyDescent="0.25">
      <c r="F25" s="25"/>
    </row>
    <row r="26" spans="1:6" x14ac:dyDescent="0.25">
      <c r="F26" s="25"/>
    </row>
    <row r="27" spans="1:6" x14ac:dyDescent="0.25">
      <c r="F27" s="25"/>
    </row>
    <row r="28" spans="1:6" x14ac:dyDescent="0.25">
      <c r="F28" s="25"/>
    </row>
    <row r="29" spans="1:6" x14ac:dyDescent="0.25">
      <c r="F29" s="25"/>
    </row>
    <row r="30" spans="1:6" x14ac:dyDescent="0.25">
      <c r="F30" s="25"/>
    </row>
    <row r="31" spans="1:6" x14ac:dyDescent="0.25">
      <c r="F31" s="25"/>
    </row>
    <row r="32" spans="1:6" x14ac:dyDescent="0.25">
      <c r="F32" s="25"/>
    </row>
    <row r="33" spans="6:6" x14ac:dyDescent="0.25">
      <c r="F33" s="25"/>
    </row>
  </sheetData>
  <mergeCells count="1">
    <mergeCell ref="A2:D2"/>
  </mergeCells>
  <phoneticPr fontId="10" type="noConversion"/>
  <hyperlinks>
    <hyperlink ref="A1" location="Introduksjon!A1" display="Tilbake til introduksjon" xr:uid="{696B9087-AA54-43A5-A964-99C016930F69}"/>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7B16720-D87C-4754-ADEC-70BE35786AA5}">
          <x14:formula1>
            <xm:f>Skaleringsfaktor!$A$2:$A$10</xm:f>
          </x14:formula1>
          <xm:sqref>E12:E17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9"/>
  <sheetViews>
    <sheetView workbookViewId="0"/>
  </sheetViews>
  <sheetFormatPr baseColWidth="10" defaultColWidth="11.42578125" defaultRowHeight="15" x14ac:dyDescent="0.25"/>
  <cols>
    <col min="1" max="1" width="21.85546875" style="9" bestFit="1" customWidth="1"/>
    <col min="2" max="2" width="14" style="9" customWidth="1"/>
    <col min="3" max="3" width="14.42578125" style="9" customWidth="1"/>
    <col min="4" max="4" width="16.7109375" style="9" bestFit="1" customWidth="1"/>
    <col min="5" max="5" width="21.7109375" style="9" bestFit="1" customWidth="1"/>
    <col min="6" max="6" width="20" style="9" customWidth="1"/>
    <col min="7" max="7" width="23.85546875" style="9" bestFit="1" customWidth="1"/>
    <col min="8" max="8" width="20.7109375" style="9" customWidth="1"/>
    <col min="9" max="9" width="22" style="9" customWidth="1"/>
    <col min="10" max="10" width="16.140625" style="9" customWidth="1"/>
    <col min="11" max="11" width="15.140625" style="9" customWidth="1"/>
    <col min="12" max="12" width="15.85546875" style="9" bestFit="1" customWidth="1"/>
    <col min="13" max="13" width="15.140625" style="9" customWidth="1"/>
    <col min="14" max="14" width="15.28515625" style="9" customWidth="1"/>
    <col min="15" max="15" width="14.42578125" style="9" bestFit="1" customWidth="1"/>
    <col min="16" max="16" width="23.28515625" style="9" customWidth="1"/>
    <col min="17" max="26" width="11.42578125" style="9"/>
    <col min="27" max="27" width="14" style="9" bestFit="1" customWidth="1"/>
    <col min="28" max="16384" width="11.42578125" style="9"/>
  </cols>
  <sheetData>
    <row r="1" spans="1:17" x14ac:dyDescent="0.25">
      <c r="A1" s="45" t="s">
        <v>170</v>
      </c>
    </row>
    <row r="2" spans="1:17" ht="18.75" x14ac:dyDescent="0.3">
      <c r="A2" s="175" t="s">
        <v>109</v>
      </c>
      <c r="B2" s="176"/>
      <c r="C2" s="176"/>
      <c r="D2" s="177"/>
      <c r="P2" s="39"/>
    </row>
    <row r="4" spans="1:17" ht="31.5" customHeight="1" thickBot="1" x14ac:dyDescent="0.3">
      <c r="A4" s="155" t="s">
        <v>4</v>
      </c>
      <c r="B4" s="82" t="s">
        <v>110</v>
      </c>
      <c r="C4" s="82" t="s">
        <v>111</v>
      </c>
      <c r="D4" s="50" t="s">
        <v>112</v>
      </c>
      <c r="E4" s="50" t="s">
        <v>121</v>
      </c>
      <c r="F4" s="50" t="s">
        <v>113</v>
      </c>
      <c r="G4" s="50" t="s">
        <v>114</v>
      </c>
      <c r="H4" s="50" t="s">
        <v>115</v>
      </c>
      <c r="I4" s="50" t="s">
        <v>116</v>
      </c>
      <c r="J4" s="82" t="s">
        <v>117</v>
      </c>
      <c r="K4" s="82" t="s">
        <v>122</v>
      </c>
      <c r="L4" s="82" t="s">
        <v>118</v>
      </c>
      <c r="M4" s="82" t="s">
        <v>119</v>
      </c>
      <c r="N4" s="82" t="s">
        <v>120</v>
      </c>
      <c r="O4" s="82" t="s">
        <v>127</v>
      </c>
    </row>
    <row r="5" spans="1:17" x14ac:dyDescent="0.25">
      <c r="A5" s="87">
        <v>2021</v>
      </c>
      <c r="B5" s="34">
        <v>1782</v>
      </c>
      <c r="C5" s="34">
        <v>0</v>
      </c>
      <c r="D5" s="34">
        <v>0</v>
      </c>
      <c r="E5" s="34">
        <v>0</v>
      </c>
      <c r="F5" s="34">
        <v>437</v>
      </c>
      <c r="G5" s="34">
        <f>SUM(B5:F5)</f>
        <v>2219</v>
      </c>
      <c r="H5" s="34"/>
      <c r="I5" s="34">
        <v>932</v>
      </c>
      <c r="J5" s="34">
        <v>26507.423477283457</v>
      </c>
      <c r="K5" s="34">
        <v>4053.1902</v>
      </c>
      <c r="L5" s="34">
        <f t="shared" ref="L5:L14" si="0">SUM(I5:K5)</f>
        <v>31492.613677283458</v>
      </c>
      <c r="M5" s="34"/>
      <c r="N5" s="34">
        <f t="shared" ref="N5:N14" si="1">G5+L5</f>
        <v>33711.613677283458</v>
      </c>
    </row>
    <row r="6" spans="1:17" x14ac:dyDescent="0.25">
      <c r="A6" s="88">
        <v>2022</v>
      </c>
      <c r="B6" s="64">
        <v>1840</v>
      </c>
      <c r="C6" s="64">
        <v>0</v>
      </c>
      <c r="D6" s="64">
        <v>0</v>
      </c>
      <c r="E6" s="64">
        <v>0</v>
      </c>
      <c r="F6" s="64">
        <v>392</v>
      </c>
      <c r="G6" s="64">
        <f t="shared" ref="G6:G14" si="2">SUM(B6:F6)</f>
        <v>2232</v>
      </c>
      <c r="H6" s="136">
        <f>(G6-G5)/G5</f>
        <v>5.8584948174853534E-3</v>
      </c>
      <c r="I6" s="64">
        <v>1160</v>
      </c>
      <c r="J6" s="64">
        <v>24768.21034870897</v>
      </c>
      <c r="K6" s="64">
        <f>4083.1902</f>
        <v>4083.1902</v>
      </c>
      <c r="L6" s="64">
        <f t="shared" si="0"/>
        <v>30011.400548708971</v>
      </c>
      <c r="M6" s="136">
        <f>(L6-L5)/L5</f>
        <v>-4.7033667759463528E-2</v>
      </c>
      <c r="N6" s="64">
        <f t="shared" si="1"/>
        <v>32243.400548708971</v>
      </c>
      <c r="O6" s="68"/>
    </row>
    <row r="7" spans="1:17" x14ac:dyDescent="0.25">
      <c r="A7" s="87">
        <v>2023</v>
      </c>
      <c r="B7" s="34">
        <v>1840</v>
      </c>
      <c r="C7" s="34">
        <v>0</v>
      </c>
      <c r="D7" s="34">
        <v>0</v>
      </c>
      <c r="E7" s="34">
        <v>0</v>
      </c>
      <c r="F7" s="34">
        <v>457</v>
      </c>
      <c r="G7" s="34">
        <f t="shared" si="2"/>
        <v>2297</v>
      </c>
      <c r="H7" s="124">
        <f t="shared" ref="H7:H14" si="3">(G7-G6)/G6</f>
        <v>2.9121863799283155E-2</v>
      </c>
      <c r="I7" s="34">
        <v>1320</v>
      </c>
      <c r="J7" s="34">
        <v>24889.627920286021</v>
      </c>
      <c r="K7" s="34">
        <v>4113.1902</v>
      </c>
      <c r="L7" s="34">
        <f t="shared" si="0"/>
        <v>30322.818120286021</v>
      </c>
      <c r="M7" s="124">
        <f t="shared" ref="M7" si="4">(L7-L6)/L6</f>
        <v>1.0376642405329106E-2</v>
      </c>
      <c r="N7" s="34">
        <f t="shared" si="1"/>
        <v>32619.818120286021</v>
      </c>
      <c r="O7" s="146">
        <f>((L7/N7)-(L6/N6))/(L6/N6)</f>
        <v>-1.2826354211118976E-3</v>
      </c>
      <c r="P7" s="38"/>
    </row>
    <row r="8" spans="1:17" x14ac:dyDescent="0.25">
      <c r="A8" s="88">
        <v>2024</v>
      </c>
      <c r="B8" s="64">
        <f>1840</f>
        <v>1840</v>
      </c>
      <c r="C8" s="64">
        <f>0</f>
        <v>0</v>
      </c>
      <c r="D8" s="64">
        <v>0</v>
      </c>
      <c r="E8" s="64">
        <v>0</v>
      </c>
      <c r="F8" s="64">
        <f>533</f>
        <v>533</v>
      </c>
      <c r="G8" s="64">
        <f t="shared" si="2"/>
        <v>2373</v>
      </c>
      <c r="H8" s="136">
        <f t="shared" si="3"/>
        <v>3.3086634740966479E-2</v>
      </c>
      <c r="I8" s="64">
        <f>1480</f>
        <v>1480</v>
      </c>
      <c r="J8" s="64">
        <f>25325.6839552297</f>
        <v>25325.683955229699</v>
      </c>
      <c r="K8" s="64">
        <f>4143.1902</f>
        <v>4143.1902</v>
      </c>
      <c r="L8" s="64">
        <f>SUM(I8:K8)</f>
        <v>30948.8741552297</v>
      </c>
      <c r="M8" s="136">
        <f>((L8-L7)/L7)</f>
        <v>2.0646367117337475E-2</v>
      </c>
      <c r="N8" s="64">
        <f t="shared" si="1"/>
        <v>33321.8741552297</v>
      </c>
      <c r="O8" s="147">
        <f t="shared" ref="O8:O14" si="5">((L8/N8)-(L7/N7))/(L7/N7)</f>
        <v>-8.5755364774369521E-4</v>
      </c>
      <c r="P8" s="39"/>
      <c r="Q8" s="43"/>
    </row>
    <row r="9" spans="1:17" x14ac:dyDescent="0.25">
      <c r="A9" s="87">
        <v>2025</v>
      </c>
      <c r="B9" s="34">
        <f>1840*(1+Forutsetninger!$E$17)</f>
        <v>1840</v>
      </c>
      <c r="C9" s="34">
        <f>0*(1+Forutsetninger!$E$17)</f>
        <v>0</v>
      </c>
      <c r="D9" s="34">
        <v>0</v>
      </c>
      <c r="E9" s="34">
        <v>0</v>
      </c>
      <c r="F9" s="34">
        <f>622*(1+Forutsetninger!$E$17)</f>
        <v>622</v>
      </c>
      <c r="G9" s="34">
        <f t="shared" si="2"/>
        <v>2462</v>
      </c>
      <c r="H9" s="124">
        <f t="shared" si="3"/>
        <v>3.7505267593763172E-2</v>
      </c>
      <c r="I9" s="34">
        <f>1680*(1+Forutsetninger!$E$17)</f>
        <v>1680</v>
      </c>
      <c r="J9" s="34">
        <f>25815.1380402435*(1+Forutsetninger!$E$17)</f>
        <v>25815.138040243499</v>
      </c>
      <c r="K9" s="34">
        <f>4173.1902*(1+Forutsetninger!$E$17)</f>
        <v>4173.1902</v>
      </c>
      <c r="L9" s="34">
        <f t="shared" si="0"/>
        <v>31668.3282402435</v>
      </c>
      <c r="M9" s="124">
        <f t="shared" ref="M9:M14" si="6">((L9-L8)/L8)</f>
        <v>2.3246534959728987E-2</v>
      </c>
      <c r="N9" s="34">
        <f t="shared" si="1"/>
        <v>34130.3282402435</v>
      </c>
      <c r="O9" s="146">
        <f t="shared" si="5"/>
        <v>-9.9137553856481738E-4</v>
      </c>
      <c r="P9" s="38"/>
    </row>
    <row r="10" spans="1:17" x14ac:dyDescent="0.25">
      <c r="A10" s="88">
        <v>2026</v>
      </c>
      <c r="B10" s="64">
        <f>1840*(1+Forutsetninger!$E$17)</f>
        <v>1840</v>
      </c>
      <c r="C10" s="64">
        <f>0*(1+Forutsetninger!$E$17)</f>
        <v>0</v>
      </c>
      <c r="D10" s="64">
        <v>0</v>
      </c>
      <c r="E10" s="64">
        <v>0</v>
      </c>
      <c r="F10" s="64">
        <f>700*(1+Forutsetninger!$E$17)</f>
        <v>700</v>
      </c>
      <c r="G10" s="64">
        <f t="shared" si="2"/>
        <v>2540</v>
      </c>
      <c r="H10" s="136">
        <f t="shared" si="3"/>
        <v>3.1681559707554832E-2</v>
      </c>
      <c r="I10" s="64">
        <f>1920*(1+Forutsetninger!$E$17)</f>
        <v>1920</v>
      </c>
      <c r="J10" s="64">
        <f>25686.0623500423*(1+Forutsetninger!$E$17)</f>
        <v>25686.062350042299</v>
      </c>
      <c r="K10" s="64">
        <f>4203.1902*(1+Forutsetninger!$E$17)</f>
        <v>4203.1902</v>
      </c>
      <c r="L10" s="64">
        <f t="shared" si="0"/>
        <v>31809.2525500423</v>
      </c>
      <c r="M10" s="136">
        <f t="shared" si="6"/>
        <v>4.4500078668414265E-3</v>
      </c>
      <c r="N10" s="64">
        <f t="shared" si="1"/>
        <v>34349.2525500423</v>
      </c>
      <c r="O10" s="147">
        <f t="shared" si="5"/>
        <v>-1.9518352119645801E-3</v>
      </c>
      <c r="P10" s="38"/>
    </row>
    <row r="11" spans="1:17" x14ac:dyDescent="0.25">
      <c r="A11" s="87">
        <v>2027</v>
      </c>
      <c r="B11" s="34">
        <f>1840*(1+Forutsetninger!$E$17)</f>
        <v>1840</v>
      </c>
      <c r="C11" s="34">
        <f>60*(1+Forutsetninger!$E$17)</f>
        <v>60</v>
      </c>
      <c r="D11" s="34">
        <v>0</v>
      </c>
      <c r="E11" s="34">
        <v>0</v>
      </c>
      <c r="F11" s="34">
        <f>800*(1+Forutsetninger!$E$17)</f>
        <v>800</v>
      </c>
      <c r="G11" s="34">
        <f t="shared" si="2"/>
        <v>2700</v>
      </c>
      <c r="H11" s="124">
        <f t="shared" si="3"/>
        <v>6.2992125984251968E-2</v>
      </c>
      <c r="I11" s="34">
        <f>2200*(1+Forutsetninger!$E$17)</f>
        <v>2200</v>
      </c>
      <c r="J11" s="34">
        <f>25556.986659841*(1+Forutsetninger!$E$17)</f>
        <v>25556.986659841001</v>
      </c>
      <c r="K11" s="34">
        <f>4233.1902*(1+Forutsetninger!$E$17)</f>
        <v>4233.1902</v>
      </c>
      <c r="L11" s="34">
        <f t="shared" si="0"/>
        <v>31990.176859841002</v>
      </c>
      <c r="M11" s="124">
        <f t="shared" si="6"/>
        <v>5.6877887813953452E-3</v>
      </c>
      <c r="N11" s="34">
        <f t="shared" si="1"/>
        <v>34690.176859840998</v>
      </c>
      <c r="O11" s="146">
        <f t="shared" si="5"/>
        <v>-4.195799205156182E-3</v>
      </c>
      <c r="P11" s="38"/>
    </row>
    <row r="12" spans="1:17" x14ac:dyDescent="0.25">
      <c r="A12" s="88">
        <v>2028</v>
      </c>
      <c r="B12" s="64">
        <f>1840*(1+Forutsetninger!$E$17)</f>
        <v>1840</v>
      </c>
      <c r="C12" s="64">
        <f>80*(1+Forutsetninger!$E$17)</f>
        <v>80</v>
      </c>
      <c r="D12" s="64">
        <v>0</v>
      </c>
      <c r="E12" s="64">
        <v>0</v>
      </c>
      <c r="F12" s="64">
        <f>900*(1+Forutsetninger!$E$17)</f>
        <v>900</v>
      </c>
      <c r="G12" s="64">
        <f t="shared" si="2"/>
        <v>2820</v>
      </c>
      <c r="H12" s="136">
        <f t="shared" si="3"/>
        <v>4.4444444444444446E-2</v>
      </c>
      <c r="I12" s="64">
        <f>2520*(1+Forutsetninger!$E$17)</f>
        <v>2520</v>
      </c>
      <c r="J12" s="64">
        <f>25427.9109696398*(1+Forutsetninger!$E$17)</f>
        <v>25427.910969639801</v>
      </c>
      <c r="K12" s="64">
        <f>4263.1902*(1+Forutsetninger!$E$17)</f>
        <v>4263.1902</v>
      </c>
      <c r="L12" s="64">
        <f t="shared" si="0"/>
        <v>32211.101169639802</v>
      </c>
      <c r="M12" s="136">
        <f t="shared" si="6"/>
        <v>6.9060046390721375E-3</v>
      </c>
      <c r="N12" s="64">
        <f t="shared" si="1"/>
        <v>35031.101169639805</v>
      </c>
      <c r="O12" s="147">
        <f t="shared" si="5"/>
        <v>-2.8932515419285722E-3</v>
      </c>
      <c r="P12" s="38"/>
    </row>
    <row r="13" spans="1:17" x14ac:dyDescent="0.25">
      <c r="A13" s="87">
        <v>2029</v>
      </c>
      <c r="B13" s="34">
        <f>1840*(1+Forutsetninger!$E$17)</f>
        <v>1840</v>
      </c>
      <c r="C13" s="34">
        <f>AVERAGE(C12,C14)*(1+Forutsetninger!$E$17)</f>
        <v>90</v>
      </c>
      <c r="D13" s="34">
        <v>0</v>
      </c>
      <c r="E13" s="34">
        <v>0</v>
      </c>
      <c r="F13" s="34">
        <f>AVERAGE(F12,F14)*(1+Forutsetninger!$E$17)</f>
        <v>950</v>
      </c>
      <c r="G13" s="34">
        <f t="shared" si="2"/>
        <v>2880</v>
      </c>
      <c r="H13" s="124">
        <f t="shared" si="3"/>
        <v>2.1276595744680851E-2</v>
      </c>
      <c r="I13" s="34">
        <f>AVERAGE(I12,I14)*(1+Forutsetninger!$E$17)</f>
        <v>2940</v>
      </c>
      <c r="J13" s="34">
        <f>AVERAGE(J12,J14)*(1+Forutsetninger!$E$17)</f>
        <v>25188.846106791651</v>
      </c>
      <c r="K13" s="34">
        <f>AVERAGE(K12,K14)*(1+Forutsetninger!$E$17)</f>
        <v>4278.1902</v>
      </c>
      <c r="L13" s="34">
        <f t="shared" si="0"/>
        <v>32407.036306791651</v>
      </c>
      <c r="M13" s="124">
        <f t="shared" si="6"/>
        <v>6.0828450452518525E-3</v>
      </c>
      <c r="N13" s="34">
        <f t="shared" si="1"/>
        <v>35287.036306791648</v>
      </c>
      <c r="O13" s="146">
        <f t="shared" si="5"/>
        <v>-1.2142243003880342E-3</v>
      </c>
      <c r="P13" s="38"/>
    </row>
    <row r="14" spans="1:17" ht="15.75" thickBot="1" x14ac:dyDescent="0.3">
      <c r="A14" s="89">
        <v>2030</v>
      </c>
      <c r="B14" s="127">
        <f>1840*(1+Forutsetninger!$E$17)</f>
        <v>1840</v>
      </c>
      <c r="C14" s="127">
        <f>100*(1+Forutsetninger!$E$17)</f>
        <v>100</v>
      </c>
      <c r="D14" s="127">
        <v>0</v>
      </c>
      <c r="E14" s="127">
        <v>0</v>
      </c>
      <c r="F14" s="127">
        <f>1000*(1+Forutsetninger!$E$17)</f>
        <v>1000</v>
      </c>
      <c r="G14" s="127">
        <f t="shared" si="2"/>
        <v>2940</v>
      </c>
      <c r="H14" s="148">
        <f t="shared" si="3"/>
        <v>2.0833333333333332E-2</v>
      </c>
      <c r="I14" s="127">
        <f>3360*(1+Forutsetninger!$E$17)</f>
        <v>3360</v>
      </c>
      <c r="J14" s="127">
        <f>24949.7812439435*(1+Forutsetninger!$E$17)</f>
        <v>24949.7812439435</v>
      </c>
      <c r="K14" s="127">
        <f>4293.1902*(1+Forutsetninger!$E$17)</f>
        <v>4293.1902</v>
      </c>
      <c r="L14" s="127">
        <f t="shared" si="0"/>
        <v>32602.971443943501</v>
      </c>
      <c r="M14" s="148">
        <f t="shared" si="6"/>
        <v>6.046067751983443E-3</v>
      </c>
      <c r="N14" s="127">
        <f t="shared" si="1"/>
        <v>35542.971443943505</v>
      </c>
      <c r="O14" s="149">
        <f t="shared" si="5"/>
        <v>-1.1981925861618483E-3</v>
      </c>
      <c r="P14" s="38"/>
    </row>
    <row r="15" spans="1:17" x14ac:dyDescent="0.25">
      <c r="A15" s="87" t="s">
        <v>72</v>
      </c>
      <c r="B15" s="10">
        <f t="shared" ref="B15:F15" si="7">(B14-B8)/B8</f>
        <v>0</v>
      </c>
      <c r="C15" s="10"/>
      <c r="D15" s="10"/>
      <c r="E15" s="10"/>
      <c r="F15" s="10">
        <f t="shared" si="7"/>
        <v>0.8761726078799249</v>
      </c>
      <c r="G15" s="10">
        <f>(G14-G8)/G8</f>
        <v>0.23893805309734514</v>
      </c>
      <c r="H15" s="10">
        <f t="shared" ref="H15:O15" si="8">(H14-H8)/H8</f>
        <v>-0.37033991228070179</v>
      </c>
      <c r="I15" s="10">
        <f t="shared" si="8"/>
        <v>1.2702702702702702</v>
      </c>
      <c r="J15" s="10">
        <f t="shared" si="8"/>
        <v>-1.4842746673721145E-2</v>
      </c>
      <c r="K15" s="10">
        <f t="shared" si="8"/>
        <v>3.6203986000932324E-2</v>
      </c>
      <c r="L15" s="10">
        <f t="shared" si="8"/>
        <v>5.344612151050717E-2</v>
      </c>
      <c r="M15" s="10">
        <f t="shared" si="8"/>
        <v>-0.707160697200509</v>
      </c>
      <c r="N15" s="10">
        <f t="shared" si="8"/>
        <v>6.6655833293374794E-2</v>
      </c>
      <c r="O15" s="10">
        <f t="shared" si="8"/>
        <v>0.39722172404537764</v>
      </c>
    </row>
    <row r="17" spans="1:15" ht="30.75" thickBot="1" x14ac:dyDescent="0.3">
      <c r="A17" s="155" t="s">
        <v>5</v>
      </c>
      <c r="B17" s="82" t="s">
        <v>110</v>
      </c>
      <c r="C17" s="82" t="s">
        <v>111</v>
      </c>
      <c r="D17" s="50" t="s">
        <v>112</v>
      </c>
      <c r="E17" s="50" t="s">
        <v>121</v>
      </c>
      <c r="F17" s="50" t="s">
        <v>113</v>
      </c>
      <c r="G17" s="50" t="s">
        <v>114</v>
      </c>
      <c r="H17" s="50" t="s">
        <v>115</v>
      </c>
      <c r="I17" s="50" t="s">
        <v>116</v>
      </c>
      <c r="J17" s="82" t="s">
        <v>117</v>
      </c>
      <c r="K17" s="82" t="s">
        <v>122</v>
      </c>
      <c r="L17" s="82" t="s">
        <v>118</v>
      </c>
      <c r="M17" s="82" t="s">
        <v>119</v>
      </c>
      <c r="N17" s="82" t="s">
        <v>120</v>
      </c>
      <c r="O17" s="82" t="s">
        <v>127</v>
      </c>
    </row>
    <row r="18" spans="1:15" x14ac:dyDescent="0.25">
      <c r="A18" s="87">
        <v>2021</v>
      </c>
      <c r="B18" s="34">
        <v>14456.647000000001</v>
      </c>
      <c r="C18" s="34">
        <v>0</v>
      </c>
      <c r="D18" s="34">
        <v>0</v>
      </c>
      <c r="E18" s="34">
        <v>2100</v>
      </c>
      <c r="F18" s="34">
        <v>135.78</v>
      </c>
      <c r="G18" s="34">
        <f t="shared" ref="G18:G27" si="9">SUM(B18:F18)</f>
        <v>16692.427</v>
      </c>
      <c r="H18" s="34"/>
      <c r="I18" s="34">
        <v>512.6</v>
      </c>
      <c r="J18" s="34">
        <v>14496.535017566555</v>
      </c>
      <c r="K18" s="34">
        <v>3377.6584999999995</v>
      </c>
      <c r="L18" s="34">
        <f t="shared" ref="L18:L27" si="10">SUM(I18:K18)</f>
        <v>18386.793517566555</v>
      </c>
      <c r="M18" s="34"/>
      <c r="N18" s="34">
        <f t="shared" ref="N18:N27" si="11">G18+L18</f>
        <v>35079.220517566559</v>
      </c>
    </row>
    <row r="19" spans="1:15" x14ac:dyDescent="0.25">
      <c r="A19" s="88">
        <v>2022</v>
      </c>
      <c r="B19" s="64">
        <v>13695</v>
      </c>
      <c r="C19" s="64">
        <v>0</v>
      </c>
      <c r="D19" s="64">
        <v>0</v>
      </c>
      <c r="E19" s="64">
        <v>2500</v>
      </c>
      <c r="F19" s="64">
        <v>158.31948</v>
      </c>
      <c r="G19" s="64">
        <f t="shared" si="9"/>
        <v>16353.31948</v>
      </c>
      <c r="H19" s="136">
        <f>(G19-G18)/G18</f>
        <v>-2.0315051849560256E-2</v>
      </c>
      <c r="I19" s="64">
        <v>638</v>
      </c>
      <c r="J19" s="64">
        <v>13545.383954431414</v>
      </c>
      <c r="K19" s="64">
        <v>3402.6584999999995</v>
      </c>
      <c r="L19" s="64">
        <f t="shared" si="10"/>
        <v>17586.042454431416</v>
      </c>
      <c r="M19" s="136">
        <f>(L19-L18)/L18</f>
        <v>-4.3550337494686626E-2</v>
      </c>
      <c r="N19" s="64">
        <f t="shared" si="11"/>
        <v>33939.361934431414</v>
      </c>
      <c r="O19" s="68"/>
    </row>
    <row r="20" spans="1:15" x14ac:dyDescent="0.25">
      <c r="A20" s="87">
        <v>2023</v>
      </c>
      <c r="B20" s="34">
        <v>12520</v>
      </c>
      <c r="C20" s="34">
        <v>0</v>
      </c>
      <c r="D20" s="34">
        <v>0</v>
      </c>
      <c r="E20" s="34">
        <v>3300</v>
      </c>
      <c r="F20" s="34">
        <v>184.60051368000001</v>
      </c>
      <c r="G20" s="34">
        <f t="shared" si="9"/>
        <v>16004.600513679999</v>
      </c>
      <c r="H20" s="124">
        <f t="shared" ref="H20:H27" si="12">(G20-G19)/G19</f>
        <v>-2.1324047802434336E-2</v>
      </c>
      <c r="I20" s="34">
        <v>726</v>
      </c>
      <c r="J20" s="34">
        <v>13611.785507174669</v>
      </c>
      <c r="K20" s="34">
        <v>3427.6584999999995</v>
      </c>
      <c r="L20" s="34">
        <f t="shared" si="10"/>
        <v>17765.444007174669</v>
      </c>
      <c r="M20" s="124">
        <f>(L20-L19)/L19</f>
        <v>1.0201360152980099E-2</v>
      </c>
      <c r="N20" s="34">
        <f t="shared" si="11"/>
        <v>33770.044520854666</v>
      </c>
      <c r="O20" s="146">
        <f t="shared" ref="O20:O27" si="13">((L20/N20)-(L19/N19))/(L19/N19)</f>
        <v>1.5266342563269487E-2</v>
      </c>
    </row>
    <row r="21" spans="1:15" x14ac:dyDescent="0.25">
      <c r="A21" s="88">
        <v>2024</v>
      </c>
      <c r="B21" s="64">
        <f>12845</f>
        <v>12845</v>
      </c>
      <c r="C21" s="64">
        <f>125</f>
        <v>125</v>
      </c>
      <c r="D21" s="64">
        <f>100</f>
        <v>100</v>
      </c>
      <c r="E21" s="64">
        <f>3700</f>
        <v>3700</v>
      </c>
      <c r="F21" s="64">
        <f>215.24419895088</f>
        <v>215.24419895087999</v>
      </c>
      <c r="G21" s="64">
        <f t="shared" si="9"/>
        <v>16985.244198950881</v>
      </c>
      <c r="H21" s="136">
        <f t="shared" si="12"/>
        <v>6.1272612486183077E-2</v>
      </c>
      <c r="I21" s="64">
        <f>814</f>
        <v>814</v>
      </c>
      <c r="J21" s="64">
        <f>13850.2583857477</f>
        <v>13850.2583857477</v>
      </c>
      <c r="K21" s="64">
        <f>3452.6585</f>
        <v>3452.6585</v>
      </c>
      <c r="L21" s="64">
        <f t="shared" si="10"/>
        <v>18116.916885747702</v>
      </c>
      <c r="M21" s="136">
        <f>((L21-L20)/L20)</f>
        <v>1.978407510845712E-2</v>
      </c>
      <c r="N21" s="64">
        <f t="shared" si="11"/>
        <v>35102.161084698586</v>
      </c>
      <c r="O21" s="147">
        <f>((L21/N21)-(L20/N20))/(L20/N20)</f>
        <v>-1.891642696941637E-2</v>
      </c>
    </row>
    <row r="22" spans="1:15" x14ac:dyDescent="0.25">
      <c r="A22" s="87">
        <v>2025</v>
      </c>
      <c r="B22" s="34">
        <f>14595*(1+Forutsetninger!$E$17)</f>
        <v>14595</v>
      </c>
      <c r="C22" s="34">
        <f>225*(1+Forutsetninger!$E$17)</f>
        <v>225</v>
      </c>
      <c r="D22" s="34">
        <f>500*(1+Forutsetninger!$E$17)</f>
        <v>500</v>
      </c>
      <c r="E22" s="34">
        <f>3700*(1+Forutsetninger!$E$17)</f>
        <v>3700</v>
      </c>
      <c r="F22" s="34">
        <f>250.974735976726*(1+Forutsetninger!$E$17)</f>
        <v>250.97473597672601</v>
      </c>
      <c r="G22" s="34">
        <f t="shared" si="9"/>
        <v>19270.974735976724</v>
      </c>
      <c r="H22" s="124">
        <f t="shared" si="12"/>
        <v>0.13457154399740837</v>
      </c>
      <c r="I22" s="34">
        <f>924*(1+Forutsetninger!$E$17)</f>
        <v>924</v>
      </c>
      <c r="J22" s="34">
        <f>14117.9339027203*(1+Forutsetninger!$E$17)</f>
        <v>14117.9339027203</v>
      </c>
      <c r="K22" s="34">
        <f>3477.6585*(1+Forutsetninger!$E$17)</f>
        <v>3477.6585</v>
      </c>
      <c r="L22" s="34">
        <f t="shared" si="10"/>
        <v>18519.5924027203</v>
      </c>
      <c r="M22" s="124">
        <f t="shared" ref="M22:M27" si="14">((L22-L21)/L21)</f>
        <v>2.2226492482800814E-2</v>
      </c>
      <c r="N22" s="34">
        <f t="shared" si="11"/>
        <v>37790.567138697021</v>
      </c>
      <c r="O22" s="146">
        <f t="shared" si="13"/>
        <v>-5.0494297360394513E-2</v>
      </c>
    </row>
    <row r="23" spans="1:15" x14ac:dyDescent="0.25">
      <c r="A23" s="88">
        <v>2026</v>
      </c>
      <c r="B23" s="64">
        <f>15495*(1+Forutsetninger!$E$17)</f>
        <v>15495</v>
      </c>
      <c r="C23" s="64">
        <f>415*(1+Forutsetninger!$E$17)</f>
        <v>415</v>
      </c>
      <c r="D23" s="64">
        <f>700*(1+Forutsetninger!$E$17)</f>
        <v>700</v>
      </c>
      <c r="E23" s="64">
        <f>3800*(1+Forutsetninger!$E$17)</f>
        <v>3800</v>
      </c>
      <c r="F23" s="64">
        <f>350*(1+Forutsetninger!$E$17)</f>
        <v>350</v>
      </c>
      <c r="G23" s="64">
        <f t="shared" si="9"/>
        <v>20760</v>
      </c>
      <c r="H23" s="136">
        <f t="shared" si="12"/>
        <v>7.7267771061078419E-2</v>
      </c>
      <c r="I23" s="64">
        <f>1056*(1+Forutsetninger!$E$17)</f>
        <v>1056</v>
      </c>
      <c r="J23" s="64">
        <f>14047.3442332067*(1+Forutsetninger!$E$17)</f>
        <v>14047.344233206701</v>
      </c>
      <c r="K23" s="64">
        <f>3502.6585*(1+Forutsetninger!$E$17)</f>
        <v>3502.6585</v>
      </c>
      <c r="L23" s="64">
        <f t="shared" si="10"/>
        <v>18606.0027332067</v>
      </c>
      <c r="M23" s="136">
        <f t="shared" si="14"/>
        <v>4.6658872726436243E-3</v>
      </c>
      <c r="N23" s="64">
        <f t="shared" si="11"/>
        <v>39366.002733206697</v>
      </c>
      <c r="O23" s="147">
        <f t="shared" si="13"/>
        <v>-3.5541049919478963E-2</v>
      </c>
    </row>
    <row r="24" spans="1:15" x14ac:dyDescent="0.25">
      <c r="A24" s="87">
        <v>2027</v>
      </c>
      <c r="B24" s="34">
        <f>15495*(1+Forutsetninger!$E$17)</f>
        <v>15495</v>
      </c>
      <c r="C24" s="34">
        <f>435*(1+Forutsetninger!$E$17)</f>
        <v>435</v>
      </c>
      <c r="D24" s="34">
        <f>900*(1+Forutsetninger!$E$17)</f>
        <v>900</v>
      </c>
      <c r="E24" s="34">
        <f>4400*(1+Forutsetninger!$E$17)</f>
        <v>4400</v>
      </c>
      <c r="F24" s="34">
        <f>500*(1+Forutsetninger!$E$17)</f>
        <v>500</v>
      </c>
      <c r="G24" s="34">
        <f t="shared" si="9"/>
        <v>21730</v>
      </c>
      <c r="H24" s="124">
        <f t="shared" si="12"/>
        <v>4.6724470134874761E-2</v>
      </c>
      <c r="I24" s="34">
        <f>1210*(1+Forutsetninger!$E$17)</f>
        <v>1210</v>
      </c>
      <c r="J24" s="34">
        <f>13976.7545636931*(1+Forutsetninger!$E$17)</f>
        <v>13976.754563693101</v>
      </c>
      <c r="K24" s="34">
        <f>3527.6585*(1+Forutsetninger!$E$17)</f>
        <v>3527.6585</v>
      </c>
      <c r="L24" s="34">
        <f t="shared" si="10"/>
        <v>18714.4130636931</v>
      </c>
      <c r="M24" s="124">
        <f t="shared" si="14"/>
        <v>5.8266319768360015E-3</v>
      </c>
      <c r="N24" s="34">
        <f t="shared" si="11"/>
        <v>40444.4130636931</v>
      </c>
      <c r="O24" s="146">
        <f t="shared" si="13"/>
        <v>-2.0992741786703538E-2</v>
      </c>
    </row>
    <row r="25" spans="1:15" x14ac:dyDescent="0.25">
      <c r="A25" s="88">
        <v>2028</v>
      </c>
      <c r="B25" s="64">
        <f>15595*(1+Forutsetninger!$E$17)</f>
        <v>15595</v>
      </c>
      <c r="C25" s="64">
        <f>455*(1+Forutsetninger!$E$17)</f>
        <v>455</v>
      </c>
      <c r="D25" s="64">
        <f>1300*(1+Forutsetninger!$E$17)</f>
        <v>1300</v>
      </c>
      <c r="E25" s="64">
        <f>4350*(1+Forutsetninger!$E$17)</f>
        <v>4350</v>
      </c>
      <c r="F25" s="64">
        <f>700*(1+Forutsetninger!$E$17)</f>
        <v>700</v>
      </c>
      <c r="G25" s="64">
        <f t="shared" si="9"/>
        <v>22400</v>
      </c>
      <c r="H25" s="136">
        <f t="shared" si="12"/>
        <v>3.0832949838932353E-2</v>
      </c>
      <c r="I25" s="64">
        <f>1386*(1+Forutsetninger!$E$17)</f>
        <v>1386</v>
      </c>
      <c r="J25" s="64">
        <f>13906.1648941795*(1+Forutsetninger!$E$17)</f>
        <v>13906.164894179499</v>
      </c>
      <c r="K25" s="64">
        <f>3552.6585*(1+Forutsetninger!$E$17)</f>
        <v>3552.6585</v>
      </c>
      <c r="L25" s="64">
        <f t="shared" si="10"/>
        <v>18844.823394179501</v>
      </c>
      <c r="M25" s="136">
        <f t="shared" si="14"/>
        <v>6.9684435222498523E-3</v>
      </c>
      <c r="N25" s="64">
        <f t="shared" si="11"/>
        <v>41244.823394179504</v>
      </c>
      <c r="O25" s="147">
        <f t="shared" si="13"/>
        <v>-1.257311050420685E-2</v>
      </c>
    </row>
    <row r="26" spans="1:15" x14ac:dyDescent="0.25">
      <c r="A26" s="87">
        <v>2029</v>
      </c>
      <c r="B26" s="34">
        <f>AVERAGE(B25,B27)*(1+Forutsetninger!$E$17)</f>
        <v>15720</v>
      </c>
      <c r="C26" s="34">
        <f>AVERAGE(C25,C27)*(1+Forutsetninger!$E$17)</f>
        <v>1415</v>
      </c>
      <c r="D26" s="34">
        <f>AVERAGE(D25,D27)*(1+Forutsetninger!$E$17)</f>
        <v>1585</v>
      </c>
      <c r="E26" s="34">
        <f>AVERAGE(E25,E27)*(1+Forutsetninger!$E$17)</f>
        <v>4400</v>
      </c>
      <c r="F26" s="34">
        <f>AVERAGE(F25,F27)*(1+Forutsetninger!$E$17)</f>
        <v>850</v>
      </c>
      <c r="G26" s="34">
        <f t="shared" si="9"/>
        <v>23970</v>
      </c>
      <c r="H26" s="124">
        <f t="shared" si="12"/>
        <v>7.0089285714285715E-2</v>
      </c>
      <c r="I26" s="34">
        <f>AVERAGE(I25,I27)*(1+Forutsetninger!$E$17)</f>
        <v>1617</v>
      </c>
      <c r="J26" s="34">
        <f>AVERAGE(J25,J27)*(1+Forutsetninger!$E$17)</f>
        <v>13775.423701670999</v>
      </c>
      <c r="K26" s="34">
        <f>AVERAGE(K25,K27)*(1+Forutsetninger!$E$17)</f>
        <v>3565.1585</v>
      </c>
      <c r="L26" s="34">
        <f t="shared" si="10"/>
        <v>18957.582201671001</v>
      </c>
      <c r="M26" s="124">
        <f t="shared" si="14"/>
        <v>5.9835428081712562E-3</v>
      </c>
      <c r="N26" s="34">
        <f t="shared" si="11"/>
        <v>42927.582201671001</v>
      </c>
      <c r="O26" s="146">
        <f t="shared" si="13"/>
        <v>-3.3450955480112364E-2</v>
      </c>
    </row>
    <row r="27" spans="1:15" ht="15.75" thickBot="1" x14ac:dyDescent="0.3">
      <c r="A27" s="89">
        <v>2030</v>
      </c>
      <c r="B27" s="127">
        <f>15845*(1+Forutsetninger!$E$17)</f>
        <v>15845</v>
      </c>
      <c r="C27" s="127">
        <f>2375*(1+Forutsetninger!$E$17)</f>
        <v>2375</v>
      </c>
      <c r="D27" s="127">
        <f>1870*(1+Forutsetninger!$E$17)</f>
        <v>1870</v>
      </c>
      <c r="E27" s="127">
        <f>4450*(1+Forutsetninger!$E$17)</f>
        <v>4450</v>
      </c>
      <c r="F27" s="127">
        <f>1000*(1+Forutsetninger!$E$17)</f>
        <v>1000</v>
      </c>
      <c r="G27" s="127">
        <f t="shared" si="9"/>
        <v>25540</v>
      </c>
      <c r="H27" s="148">
        <f t="shared" si="12"/>
        <v>6.54985398414685E-2</v>
      </c>
      <c r="I27" s="127">
        <f>1848*(1+Forutsetninger!$E$17)</f>
        <v>1848</v>
      </c>
      <c r="J27" s="127">
        <f>13644.6825091625*(1+Forutsetninger!$E$17)</f>
        <v>13644.6825091625</v>
      </c>
      <c r="K27" s="127">
        <f>3577.6585*(1+Forutsetninger!$E$17)</f>
        <v>3577.6585</v>
      </c>
      <c r="L27" s="127">
        <f t="shared" si="10"/>
        <v>19070.341009162501</v>
      </c>
      <c r="M27" s="148">
        <f t="shared" si="14"/>
        <v>5.9479529769129085E-3</v>
      </c>
      <c r="N27" s="127">
        <f t="shared" si="11"/>
        <v>44610.341009162497</v>
      </c>
      <c r="O27" s="149">
        <f t="shared" si="13"/>
        <v>-3.1997683381308782E-2</v>
      </c>
    </row>
    <row r="28" spans="1:15" x14ac:dyDescent="0.25">
      <c r="A28" s="87" t="s">
        <v>72</v>
      </c>
      <c r="B28" s="10">
        <f t="shared" ref="B28" si="15">(B27-B21)/B21</f>
        <v>0.23355391202802647</v>
      </c>
      <c r="C28" s="10"/>
      <c r="D28" s="10"/>
      <c r="E28" s="10"/>
      <c r="F28" s="10">
        <f t="shared" ref="F28" si="16">(F27-F21)/F21</f>
        <v>3.6458859512780921</v>
      </c>
      <c r="G28" s="10">
        <f>(G27-G21)/G21</f>
        <v>0.50365809880893653</v>
      </c>
      <c r="H28" s="10">
        <f t="shared" ref="H28" si="17">(H27-H21)/H21</f>
        <v>6.8969270018286982E-2</v>
      </c>
      <c r="I28" s="10">
        <f t="shared" ref="I28" si="18">(I27-I21)/I21</f>
        <v>1.2702702702702702</v>
      </c>
      <c r="J28" s="10">
        <f t="shared" ref="J28" si="19">(J27-J21)/J21</f>
        <v>-1.4842746673718656E-2</v>
      </c>
      <c r="K28" s="10">
        <f t="shared" ref="K28" si="20">(K27-K21)/K21</f>
        <v>3.6203986000932324E-2</v>
      </c>
      <c r="L28" s="10">
        <f t="shared" ref="L28" si="21">(L27-L21)/L21</f>
        <v>5.2626179687606967E-2</v>
      </c>
      <c r="M28" s="10">
        <f t="shared" ref="M28" si="22">(M27-M21)/M21</f>
        <v>-0.69935653072959025</v>
      </c>
      <c r="N28" s="10">
        <f t="shared" ref="N28" si="23">(N27-N21)/N21</f>
        <v>0.27087163954155036</v>
      </c>
      <c r="O28" s="10">
        <f t="shared" ref="O28" si="24">(O27-O21)/O21</f>
        <v>0.69152892525855314</v>
      </c>
    </row>
    <row r="29" spans="1:15" x14ac:dyDescent="0.25">
      <c r="B29" s="16"/>
      <c r="C29" s="16"/>
    </row>
    <row r="30" spans="1:15" ht="30.75" thickBot="1" x14ac:dyDescent="0.3">
      <c r="A30" s="155" t="s">
        <v>6</v>
      </c>
      <c r="B30" s="82" t="s">
        <v>110</v>
      </c>
      <c r="C30" s="82" t="s">
        <v>111</v>
      </c>
      <c r="D30" s="50" t="s">
        <v>112</v>
      </c>
      <c r="E30" s="50" t="s">
        <v>121</v>
      </c>
      <c r="F30" s="50" t="s">
        <v>113</v>
      </c>
      <c r="G30" s="50" t="s">
        <v>114</v>
      </c>
      <c r="H30" s="50" t="s">
        <v>115</v>
      </c>
      <c r="I30" s="50" t="s">
        <v>116</v>
      </c>
      <c r="J30" s="82" t="s">
        <v>117</v>
      </c>
      <c r="K30" s="82" t="s">
        <v>122</v>
      </c>
      <c r="L30" s="82" t="s">
        <v>118</v>
      </c>
      <c r="M30" s="82" t="s">
        <v>119</v>
      </c>
      <c r="N30" s="82" t="s">
        <v>120</v>
      </c>
      <c r="O30" s="82" t="s">
        <v>127</v>
      </c>
    </row>
    <row r="31" spans="1:15" x14ac:dyDescent="0.25">
      <c r="A31" s="87">
        <v>2021</v>
      </c>
      <c r="B31" s="34">
        <v>11667.85</v>
      </c>
      <c r="C31" s="34">
        <v>0</v>
      </c>
      <c r="D31" s="34">
        <v>0</v>
      </c>
      <c r="E31" s="34">
        <v>1700</v>
      </c>
      <c r="F31" s="34">
        <v>121.32599999999999</v>
      </c>
      <c r="G31" s="34">
        <f t="shared" ref="G31:G40" si="25">SUM(B31:F31)</f>
        <v>13489.175999999999</v>
      </c>
      <c r="H31" s="34"/>
      <c r="I31" s="34">
        <v>350.56627171876499</v>
      </c>
      <c r="J31" s="34">
        <v>9914.1557431697729</v>
      </c>
      <c r="K31" s="34">
        <v>3107.4458199999999</v>
      </c>
      <c r="L31" s="34">
        <f t="shared" ref="L31:L40" si="26">SUM(I31:K31)</f>
        <v>13372.167834888536</v>
      </c>
      <c r="M31" s="34"/>
      <c r="N31" s="34">
        <f t="shared" ref="N31:N40" si="27">G31+L31</f>
        <v>26861.343834888536</v>
      </c>
    </row>
    <row r="32" spans="1:15" x14ac:dyDescent="0.25">
      <c r="A32" s="88">
        <v>2022</v>
      </c>
      <c r="B32" s="64">
        <v>11625</v>
      </c>
      <c r="C32" s="64">
        <v>0</v>
      </c>
      <c r="D32" s="64">
        <v>0</v>
      </c>
      <c r="E32" s="64">
        <v>1700</v>
      </c>
      <c r="F32" s="64">
        <v>141.466116</v>
      </c>
      <c r="G32" s="64">
        <f t="shared" si="25"/>
        <v>13466.466116</v>
      </c>
      <c r="H32" s="136">
        <f>(G32-G31)/G31</f>
        <v>-1.6835634734100791E-3</v>
      </c>
      <c r="I32" s="64">
        <v>436.32711930661713</v>
      </c>
      <c r="J32" s="64">
        <v>9263.6651422243467</v>
      </c>
      <c r="K32" s="64">
        <v>3130.4458199999999</v>
      </c>
      <c r="L32" s="64">
        <f t="shared" si="26"/>
        <v>12830.438081530963</v>
      </c>
      <c r="M32" s="136">
        <f>(L32-L31)/L31</f>
        <v>-4.0511737516797965E-2</v>
      </c>
      <c r="N32" s="64">
        <f t="shared" si="27"/>
        <v>26296.904197530963</v>
      </c>
      <c r="O32" s="68"/>
    </row>
    <row r="33" spans="1:15" x14ac:dyDescent="0.25">
      <c r="A33" s="87">
        <v>2023</v>
      </c>
      <c r="B33" s="34">
        <v>11625</v>
      </c>
      <c r="C33" s="34">
        <v>0</v>
      </c>
      <c r="D33" s="34">
        <v>0</v>
      </c>
      <c r="E33" s="34">
        <v>1700</v>
      </c>
      <c r="F33" s="34">
        <v>214.94949125599999</v>
      </c>
      <c r="G33" s="34">
        <f t="shared" si="25"/>
        <v>13539.949491256</v>
      </c>
      <c r="H33" s="124">
        <f t="shared" ref="H33:H40" si="28">(G33-G32)/G32</f>
        <v>5.4567675456215232E-3</v>
      </c>
      <c r="I33" s="34">
        <v>496.51017024546087</v>
      </c>
      <c r="J33" s="34">
        <v>9309.0770516694101</v>
      </c>
      <c r="K33" s="34">
        <v>3153.4458199999999</v>
      </c>
      <c r="L33" s="34">
        <f t="shared" si="26"/>
        <v>12959.03304191487</v>
      </c>
      <c r="M33" s="124">
        <f>(L33-L32)/L32</f>
        <v>1.0022647673193311E-2</v>
      </c>
      <c r="N33" s="34">
        <f t="shared" si="27"/>
        <v>26498.982533170871</v>
      </c>
      <c r="O33" s="146">
        <f t="shared" ref="O33:O40" si="29">((L33/N33)-(L32/N32))/(L32/N32)</f>
        <v>2.3203256936637352E-3</v>
      </c>
    </row>
    <row r="34" spans="1:15" x14ac:dyDescent="0.25">
      <c r="A34" s="88">
        <v>2024</v>
      </c>
      <c r="B34" s="64">
        <f>11625</f>
        <v>11625</v>
      </c>
      <c r="C34" s="64">
        <f>0</f>
        <v>0</v>
      </c>
      <c r="D34" s="64">
        <f>0</f>
        <v>0</v>
      </c>
      <c r="E34" s="64">
        <f>1800</f>
        <v>1800</v>
      </c>
      <c r="F34" s="64">
        <f>250.631106804496</f>
        <v>250.631106804496</v>
      </c>
      <c r="G34" s="64">
        <f t="shared" si="25"/>
        <v>13675.631106804496</v>
      </c>
      <c r="H34" s="136">
        <f t="shared" si="28"/>
        <v>1.0020836166052018E-2</v>
      </c>
      <c r="I34" s="64">
        <f>556.693221184305</f>
        <v>556.693221184305</v>
      </c>
      <c r="J34" s="64">
        <f>9472.16824938185</f>
        <v>9472.1682493818498</v>
      </c>
      <c r="K34" s="64">
        <f>3176.44582</f>
        <v>3176.4458199999999</v>
      </c>
      <c r="L34" s="64">
        <f t="shared" si="26"/>
        <v>13205.307290566154</v>
      </c>
      <c r="M34" s="136">
        <f>((L34-L33)/L33)</f>
        <v>1.9004060554111614E-2</v>
      </c>
      <c r="N34" s="64">
        <f t="shared" si="27"/>
        <v>26880.93839737065</v>
      </c>
      <c r="O34" s="147">
        <f t="shared" si="29"/>
        <v>4.5248570821785315E-3</v>
      </c>
    </row>
    <row r="35" spans="1:15" x14ac:dyDescent="0.25">
      <c r="A35" s="87">
        <v>2025</v>
      </c>
      <c r="B35" s="34">
        <f>11625*(1+Forutsetninger!$E$17)</f>
        <v>11625</v>
      </c>
      <c r="C35" s="34">
        <f>150*(1+Forutsetninger!$E$17)</f>
        <v>150</v>
      </c>
      <c r="D35" s="34">
        <f>0*(1+Forutsetninger!$E$17)</f>
        <v>0</v>
      </c>
      <c r="E35" s="34">
        <f>1900*(1+Forutsetninger!$E$17)</f>
        <v>1900</v>
      </c>
      <c r="F35" s="34">
        <f>292.235870534042*(1+Forutsetninger!$E$17)</f>
        <v>292.23587053404202</v>
      </c>
      <c r="G35" s="34">
        <f t="shared" si="25"/>
        <v>13967.235870534041</v>
      </c>
      <c r="H35" s="124">
        <f t="shared" si="28"/>
        <v>2.1322947471466465E-2</v>
      </c>
      <c r="I35" s="34">
        <f>631.922034857859*(1+Forutsetninger!$E$17)</f>
        <v>631.92203485785899</v>
      </c>
      <c r="J35" s="34">
        <f>9655.23108203005*(1+Forutsetninger!$E$17)</f>
        <v>9655.2310820300499</v>
      </c>
      <c r="K35" s="34">
        <f>3199.44582*(1+Forutsetninger!$E$17)</f>
        <v>3199.4458199999999</v>
      </c>
      <c r="L35" s="34">
        <f t="shared" si="26"/>
        <v>13486.598936887909</v>
      </c>
      <c r="M35" s="124">
        <f>((L35-L34)/L34)</f>
        <v>2.1301408602790294E-2</v>
      </c>
      <c r="N35" s="34">
        <f t="shared" si="27"/>
        <v>27453.83480742195</v>
      </c>
      <c r="O35" s="146">
        <f t="shared" si="29"/>
        <v>-1.0729197743761586E-5</v>
      </c>
    </row>
    <row r="36" spans="1:15" x14ac:dyDescent="0.25">
      <c r="A36" s="88">
        <v>2026</v>
      </c>
      <c r="B36" s="64">
        <f>11625*(1+Forutsetninger!$E$17)</f>
        <v>11625</v>
      </c>
      <c r="C36" s="64">
        <f>340*(1+Forutsetninger!$E$17)</f>
        <v>340</v>
      </c>
      <c r="D36" s="64">
        <f>0*(1+Forutsetninger!$E$17)</f>
        <v>0</v>
      </c>
      <c r="E36" s="64">
        <f>2150*(1+Forutsetninger!$E$17)</f>
        <v>2150</v>
      </c>
      <c r="F36" s="64">
        <f>350*(1+Forutsetninger!$E$17)</f>
        <v>350</v>
      </c>
      <c r="G36" s="64">
        <f t="shared" si="25"/>
        <v>14465</v>
      </c>
      <c r="H36" s="136">
        <f t="shared" si="28"/>
        <v>3.563798407071124E-2</v>
      </c>
      <c r="I36" s="64">
        <f>722.196611266125*(1+Forutsetninger!$E$17)</f>
        <v>722.19661126612505</v>
      </c>
      <c r="J36" s="64">
        <f>9606.9549266199*(1+Forutsetninger!$E$17)</f>
        <v>9606.9549266198992</v>
      </c>
      <c r="K36" s="64">
        <f>3222.44582*(1+Forutsetninger!$E$17)</f>
        <v>3222.4458199999999</v>
      </c>
      <c r="L36" s="64">
        <f t="shared" si="26"/>
        <v>13551.597357886025</v>
      </c>
      <c r="M36" s="136">
        <f t="shared" ref="M36:M40" si="30">((L36-L35)/L35)</f>
        <v>4.8194820133885012E-3</v>
      </c>
      <c r="N36" s="64">
        <f t="shared" si="27"/>
        <v>28016.597357886025</v>
      </c>
      <c r="O36" s="147">
        <f t="shared" si="29"/>
        <v>-1.5364081580378081E-2</v>
      </c>
    </row>
    <row r="37" spans="1:15" x14ac:dyDescent="0.25">
      <c r="A37" s="87">
        <v>2027</v>
      </c>
      <c r="B37" s="34">
        <f>11625*(1+Forutsetninger!$E$17)</f>
        <v>11625</v>
      </c>
      <c r="C37" s="34">
        <f>360*(1+Forutsetninger!$E$17)</f>
        <v>360</v>
      </c>
      <c r="D37" s="34">
        <f>400*(1+Forutsetninger!$E$17)</f>
        <v>400</v>
      </c>
      <c r="E37" s="34">
        <f>2400*(1+Forutsetninger!$E$17)</f>
        <v>2400</v>
      </c>
      <c r="F37" s="34">
        <f>400*(1+Forutsetninger!$E$17)</f>
        <v>400</v>
      </c>
      <c r="G37" s="34">
        <f t="shared" si="25"/>
        <v>15185</v>
      </c>
      <c r="H37" s="124">
        <f t="shared" si="28"/>
        <v>4.9775319737296923E-2</v>
      </c>
      <c r="I37" s="34">
        <f>827.516950409101*(1+Forutsetninger!$E$17)</f>
        <v>827.51695040910101</v>
      </c>
      <c r="J37" s="34">
        <f>9558.67877120975*(1+Forutsetninger!$E$17)</f>
        <v>9558.6787712097503</v>
      </c>
      <c r="K37" s="34">
        <f>3245.44582*(1+Forutsetninger!$E$17)</f>
        <v>3245.4458199999999</v>
      </c>
      <c r="L37" s="34">
        <f t="shared" si="26"/>
        <v>13631.64154161885</v>
      </c>
      <c r="M37" s="124">
        <f t="shared" si="30"/>
        <v>5.906623523332882E-3</v>
      </c>
      <c r="N37" s="34">
        <f t="shared" si="27"/>
        <v>28816.64154161885</v>
      </c>
      <c r="O37" s="146">
        <f t="shared" si="29"/>
        <v>-2.2020633105995994E-2</v>
      </c>
    </row>
    <row r="38" spans="1:15" x14ac:dyDescent="0.25">
      <c r="A38" s="88">
        <v>2028</v>
      </c>
      <c r="B38" s="64">
        <f>11625*(1+Forutsetninger!$E$17)</f>
        <v>11625</v>
      </c>
      <c r="C38" s="64">
        <f>380*(1+Forutsetninger!$E$17)</f>
        <v>380</v>
      </c>
      <c r="D38" s="64">
        <f>500*(1+Forutsetninger!$E$17)</f>
        <v>500</v>
      </c>
      <c r="E38" s="64">
        <f>2600*(1+Forutsetninger!$E$17)</f>
        <v>2600</v>
      </c>
      <c r="F38" s="64">
        <f>500*(1+Forutsetninger!$E$17)</f>
        <v>500</v>
      </c>
      <c r="G38" s="64">
        <f t="shared" si="25"/>
        <v>15605</v>
      </c>
      <c r="H38" s="136">
        <f t="shared" si="28"/>
        <v>2.765887388870596E-2</v>
      </c>
      <c r="I38" s="64">
        <f>947.883052286789*(1+Forutsetninger!$E$17)</f>
        <v>947.88305228678905</v>
      </c>
      <c r="J38" s="64">
        <f>9510.4026157996*(1+Forutsetninger!$E$17)</f>
        <v>9510.4026157995995</v>
      </c>
      <c r="K38" s="64">
        <f>3268.44582*(1+Forutsetninger!$E$17)</f>
        <v>3268.4458199999999</v>
      </c>
      <c r="L38" s="64">
        <f t="shared" si="26"/>
        <v>13726.731488086389</v>
      </c>
      <c r="M38" s="136">
        <f t="shared" si="30"/>
        <v>6.9756783273106785E-3</v>
      </c>
      <c r="N38" s="64">
        <f t="shared" si="27"/>
        <v>29331.731488086389</v>
      </c>
      <c r="O38" s="147">
        <f t="shared" si="29"/>
        <v>-1.0707663975696526E-2</v>
      </c>
    </row>
    <row r="39" spans="1:15" x14ac:dyDescent="0.25">
      <c r="A39" s="87">
        <v>2029</v>
      </c>
      <c r="B39" s="34">
        <f>11625*(1+Forutsetninger!$E$17)</f>
        <v>11625</v>
      </c>
      <c r="C39" s="34">
        <f>390*(1+Forutsetninger!$E$17)</f>
        <v>390</v>
      </c>
      <c r="D39" s="34">
        <f>625*(1+Forutsetninger!$E$17)</f>
        <v>625</v>
      </c>
      <c r="E39" s="34">
        <f>2650*(1+Forutsetninger!$E$17)</f>
        <v>2650</v>
      </c>
      <c r="F39" s="34">
        <f>550*(1+Forutsetninger!$E$17)</f>
        <v>550</v>
      </c>
      <c r="G39" s="34">
        <f t="shared" si="25"/>
        <v>15840</v>
      </c>
      <c r="H39" s="124">
        <f t="shared" si="28"/>
        <v>1.5059275873117591E-2</v>
      </c>
      <c r="I39" s="34">
        <f>1105.86356100125*(1+Forutsetninger!$E$17)</f>
        <v>1105.86356100125</v>
      </c>
      <c r="J39" s="34">
        <f>9420.98893570249*(1+Forutsetninger!$E$17)</f>
        <v>9420.9889357024895</v>
      </c>
      <c r="K39" s="34">
        <f>3279.94582*(1+Forutsetninger!$E$17)</f>
        <v>3279.9458199999999</v>
      </c>
      <c r="L39" s="34">
        <f t="shared" si="26"/>
        <v>13806.798316703738</v>
      </c>
      <c r="M39" s="124">
        <f t="shared" si="30"/>
        <v>5.8329128596156035E-3</v>
      </c>
      <c r="N39" s="34">
        <f t="shared" si="27"/>
        <v>29646.798316703738</v>
      </c>
      <c r="O39" s="146">
        <f t="shared" si="29"/>
        <v>-4.8564230541069363E-3</v>
      </c>
    </row>
    <row r="40" spans="1:15" ht="15.75" thickBot="1" x14ac:dyDescent="0.3">
      <c r="A40" s="89">
        <v>2030</v>
      </c>
      <c r="B40" s="127">
        <f>11625*(1+Forutsetninger!$E$17)</f>
        <v>11625</v>
      </c>
      <c r="C40" s="127">
        <f>400*(1+Forutsetninger!$E$17)</f>
        <v>400</v>
      </c>
      <c r="D40" s="127">
        <f>750*(1+Forutsetninger!$E$17)</f>
        <v>750</v>
      </c>
      <c r="E40" s="127">
        <f>2700*(1+Forutsetninger!$E$17)</f>
        <v>2700</v>
      </c>
      <c r="F40" s="127">
        <f>600*(1+Forutsetninger!$E$17)</f>
        <v>600</v>
      </c>
      <c r="G40" s="127">
        <f t="shared" si="25"/>
        <v>16075</v>
      </c>
      <c r="H40" s="148">
        <f t="shared" si="28"/>
        <v>1.4835858585858586E-2</v>
      </c>
      <c r="I40" s="127">
        <f>1263.84406971572*(1+Forutsetninger!$E$17)</f>
        <v>1263.84406971572</v>
      </c>
      <c r="J40" s="127">
        <f>9331.57525560539*(1+Forutsetninger!$E$17)</f>
        <v>9331.5752556053903</v>
      </c>
      <c r="K40" s="127">
        <f>3291.44582*(1+Forutsetninger!$E$17)</f>
        <v>3291.4458199999999</v>
      </c>
      <c r="L40" s="127">
        <f t="shared" si="26"/>
        <v>13886.86514532111</v>
      </c>
      <c r="M40" s="148">
        <f t="shared" si="30"/>
        <v>5.7990872887963407E-3</v>
      </c>
      <c r="N40" s="127">
        <f t="shared" si="27"/>
        <v>29961.86514532111</v>
      </c>
      <c r="O40" s="149">
        <f t="shared" si="29"/>
        <v>-4.7774882054637102E-3</v>
      </c>
    </row>
    <row r="41" spans="1:15" x14ac:dyDescent="0.25">
      <c r="A41" s="87" t="s">
        <v>72</v>
      </c>
      <c r="B41" s="10">
        <f t="shared" ref="B41" si="31">(B40-B34)/B34</f>
        <v>0</v>
      </c>
      <c r="C41" s="10"/>
      <c r="D41" s="10"/>
      <c r="E41" s="10"/>
      <c r="F41" s="10">
        <f t="shared" ref="F41" si="32">(F40-F34)/F34</f>
        <v>1.3939566307227305</v>
      </c>
      <c r="G41" s="10">
        <f>(G40-G34)/G34</f>
        <v>0.17544849480486976</v>
      </c>
      <c r="H41" s="10">
        <f t="shared" ref="H41" si="33">(H40-H34)/H34</f>
        <v>0.48050106198907933</v>
      </c>
      <c r="I41" s="10">
        <f t="shared" ref="I41" si="34">(I40-I34)/I34</f>
        <v>1.2702702702702713</v>
      </c>
      <c r="J41" s="10">
        <f t="shared" ref="J41" si="35">(J40-J34)/J34</f>
        <v>-1.4842746673723255E-2</v>
      </c>
      <c r="K41" s="10">
        <f t="shared" ref="K41" si="36">(K40-K34)/K34</f>
        <v>3.6203986000932324E-2</v>
      </c>
      <c r="L41" s="10">
        <f t="shared" ref="L41" si="37">(L40-L34)/L34</f>
        <v>5.1612419140133106E-2</v>
      </c>
      <c r="M41" s="10">
        <f t="shared" ref="M41" si="38">(M40-M34)/M34</f>
        <v>-0.69485009415307919</v>
      </c>
      <c r="N41" s="10">
        <f t="shared" ref="N41" si="39">(N40-N34)/N34</f>
        <v>0.11461380932489394</v>
      </c>
      <c r="O41" s="10">
        <f t="shared" ref="O41" si="40">(O40-O34)/O34</f>
        <v>-2.0558318458897151</v>
      </c>
    </row>
    <row r="42" spans="1:15" x14ac:dyDescent="0.25">
      <c r="B42" s="32"/>
      <c r="C42" s="32"/>
    </row>
    <row r="43" spans="1:15" ht="30.75" thickBot="1" x14ac:dyDescent="0.3">
      <c r="A43" s="155" t="s">
        <v>7</v>
      </c>
      <c r="B43" s="82" t="s">
        <v>110</v>
      </c>
      <c r="C43" s="82" t="s">
        <v>111</v>
      </c>
      <c r="D43" s="50" t="s">
        <v>112</v>
      </c>
      <c r="E43" s="50" t="s">
        <v>121</v>
      </c>
      <c r="F43" s="50" t="s">
        <v>113</v>
      </c>
      <c r="G43" s="50" t="s">
        <v>114</v>
      </c>
      <c r="H43" s="50" t="s">
        <v>115</v>
      </c>
      <c r="I43" s="50" t="s">
        <v>116</v>
      </c>
      <c r="J43" s="82" t="s">
        <v>117</v>
      </c>
      <c r="K43" s="82" t="s">
        <v>122</v>
      </c>
      <c r="L43" s="82" t="s">
        <v>118</v>
      </c>
      <c r="M43" s="82" t="s">
        <v>119</v>
      </c>
      <c r="N43" s="82" t="s">
        <v>120</v>
      </c>
      <c r="O43" s="82" t="s">
        <v>127</v>
      </c>
    </row>
    <row r="44" spans="1:15" x14ac:dyDescent="0.25">
      <c r="A44" s="87">
        <v>2021</v>
      </c>
      <c r="B44" s="34">
        <v>6690.8689999999997</v>
      </c>
      <c r="C44" s="34">
        <v>0</v>
      </c>
      <c r="D44" s="34">
        <v>0</v>
      </c>
      <c r="E44" s="34">
        <v>400</v>
      </c>
      <c r="F44" s="34">
        <v>250</v>
      </c>
      <c r="G44" s="34">
        <f t="shared" ref="G44:G53" si="41">SUM(B44:F44)</f>
        <v>7340.8689999999997</v>
      </c>
      <c r="H44" s="34"/>
      <c r="I44" s="34">
        <v>302.90000000000003</v>
      </c>
      <c r="J44" s="34">
        <v>8566.1343285620551</v>
      </c>
      <c r="K44" s="34">
        <v>1621.2760799999996</v>
      </c>
      <c r="L44" s="34">
        <f t="shared" ref="L44:L53" si="42">SUM(I44:K44)</f>
        <v>10490.310408562054</v>
      </c>
      <c r="M44" s="34"/>
      <c r="N44" s="34">
        <f t="shared" ref="N44:N53" si="43">G44+L44</f>
        <v>17831.179408562053</v>
      </c>
    </row>
    <row r="45" spans="1:15" x14ac:dyDescent="0.25">
      <c r="A45" s="88">
        <v>2022</v>
      </c>
      <c r="B45" s="64">
        <v>6598</v>
      </c>
      <c r="C45" s="64">
        <v>0</v>
      </c>
      <c r="D45" s="64">
        <v>0</v>
      </c>
      <c r="E45" s="64">
        <v>450</v>
      </c>
      <c r="F45" s="64">
        <v>350</v>
      </c>
      <c r="G45" s="64">
        <f t="shared" si="41"/>
        <v>7398</v>
      </c>
      <c r="H45" s="136">
        <f>(G45-G44)/G44</f>
        <v>7.7825935866721388E-3</v>
      </c>
      <c r="I45" s="64">
        <v>377</v>
      </c>
      <c r="J45" s="64">
        <v>8004.0905185276542</v>
      </c>
      <c r="K45" s="64">
        <v>1633.2760799999996</v>
      </c>
      <c r="L45" s="64">
        <f t="shared" si="42"/>
        <v>10014.366598527653</v>
      </c>
      <c r="M45" s="136">
        <f>(L45-L44)/L44</f>
        <v>-4.5369850032840046E-2</v>
      </c>
      <c r="N45" s="64">
        <f t="shared" si="43"/>
        <v>17412.366598527653</v>
      </c>
      <c r="O45" s="68"/>
    </row>
    <row r="46" spans="1:15" x14ac:dyDescent="0.25">
      <c r="A46" s="87">
        <v>2023</v>
      </c>
      <c r="B46" s="34">
        <v>6598</v>
      </c>
      <c r="C46" s="34">
        <v>0</v>
      </c>
      <c r="D46" s="34">
        <v>0</v>
      </c>
      <c r="E46" s="34">
        <v>500</v>
      </c>
      <c r="F46" s="34">
        <v>400</v>
      </c>
      <c r="G46" s="34">
        <f t="shared" si="41"/>
        <v>7498</v>
      </c>
      <c r="H46" s="124">
        <f t="shared" ref="H46:H53" si="44">(G46-G45)/G45</f>
        <v>1.3517166801838334E-2</v>
      </c>
      <c r="I46" s="34">
        <v>429</v>
      </c>
      <c r="J46" s="34">
        <v>8043.3277996941224</v>
      </c>
      <c r="K46" s="34">
        <v>1645.2760799999996</v>
      </c>
      <c r="L46" s="34">
        <f t="shared" si="42"/>
        <v>10117.603879694121</v>
      </c>
      <c r="M46" s="124">
        <f t="shared" ref="M46" si="45">(L46-L45)/L45</f>
        <v>1.0308917708449626E-2</v>
      </c>
      <c r="N46" s="34">
        <f t="shared" si="43"/>
        <v>17615.603879694121</v>
      </c>
      <c r="O46" s="146">
        <f t="shared" ref="O46:O53" si="46">((L46/N46)-(L45/N45))/(L45/N45)</f>
        <v>-1.3473637892283841E-3</v>
      </c>
    </row>
    <row r="47" spans="1:15" x14ac:dyDescent="0.25">
      <c r="A47" s="88">
        <v>2024</v>
      </c>
      <c r="B47" s="64">
        <f>6648</f>
        <v>6648</v>
      </c>
      <c r="C47" s="64">
        <f>50</f>
        <v>50</v>
      </c>
      <c r="D47" s="64">
        <f>100</f>
        <v>100</v>
      </c>
      <c r="E47" s="64">
        <f>500</f>
        <v>500</v>
      </c>
      <c r="F47" s="64">
        <f>400</f>
        <v>400</v>
      </c>
      <c r="G47" s="64">
        <f t="shared" si="41"/>
        <v>7698</v>
      </c>
      <c r="H47" s="136">
        <f t="shared" si="44"/>
        <v>2.6673779674579887E-2</v>
      </c>
      <c r="I47" s="64">
        <f>481</f>
        <v>481</v>
      </c>
      <c r="J47" s="64">
        <f>8184.2435915782</f>
        <v>8184.2435915781998</v>
      </c>
      <c r="K47" s="64">
        <f>1657.27608</f>
        <v>1657.2760800000001</v>
      </c>
      <c r="L47" s="64">
        <f t="shared" si="42"/>
        <v>10322.5196715782</v>
      </c>
      <c r="M47" s="136">
        <f>((L47-L46)/L46)</f>
        <v>2.0253391447291401E-2</v>
      </c>
      <c r="N47" s="64">
        <f t="shared" si="43"/>
        <v>18020.5196715782</v>
      </c>
      <c r="O47" s="147">
        <f t="shared" si="46"/>
        <v>-2.6714030341830394E-3</v>
      </c>
    </row>
    <row r="48" spans="1:15" x14ac:dyDescent="0.25">
      <c r="A48" s="87">
        <v>2025</v>
      </c>
      <c r="B48" s="34">
        <f>6748*(1+Forutsetninger!$E$17)</f>
        <v>6748</v>
      </c>
      <c r="C48" s="34">
        <f>250*(1+Forutsetninger!$E$17)</f>
        <v>250</v>
      </c>
      <c r="D48" s="34">
        <f>300*(1+Forutsetninger!$E$17)</f>
        <v>300</v>
      </c>
      <c r="E48" s="34">
        <f>500*(1+Forutsetninger!$E$17)</f>
        <v>500</v>
      </c>
      <c r="F48" s="34">
        <f>400*(1+Forutsetninger!$E$17)</f>
        <v>400</v>
      </c>
      <c r="G48" s="34">
        <f t="shared" si="41"/>
        <v>8198</v>
      </c>
      <c r="H48" s="124">
        <f t="shared" si="44"/>
        <v>6.4951935567679919E-2</v>
      </c>
      <c r="I48" s="34">
        <f>546*(1+Forutsetninger!$E$17)</f>
        <v>546</v>
      </c>
      <c r="J48" s="34">
        <f>8342.41548797108*(1+Forutsetninger!$E$17)</f>
        <v>8342.4154879710804</v>
      </c>
      <c r="K48" s="34">
        <f>1669.27608*(1+Forutsetninger!$E$17)</f>
        <v>1669.2760800000001</v>
      </c>
      <c r="L48" s="34">
        <f t="shared" si="42"/>
        <v>10557.69156797108</v>
      </c>
      <c r="M48" s="124">
        <f t="shared" ref="M48:M53" si="47">((L48-L47)/L47)</f>
        <v>2.2782412034572999E-2</v>
      </c>
      <c r="N48" s="34">
        <f t="shared" si="43"/>
        <v>18755.69156797108</v>
      </c>
      <c r="O48" s="146">
        <f t="shared" si="46"/>
        <v>-1.7307865774046229E-2</v>
      </c>
    </row>
    <row r="49" spans="1:15" x14ac:dyDescent="0.25">
      <c r="A49" s="88">
        <v>2026</v>
      </c>
      <c r="B49" s="64">
        <f>6848*(1+Forutsetninger!$E$17)</f>
        <v>6848</v>
      </c>
      <c r="C49" s="64">
        <f>390*(1+Forutsetninger!$E$17)</f>
        <v>390</v>
      </c>
      <c r="D49" s="64">
        <f>400*(1+Forutsetninger!$E$17)</f>
        <v>400</v>
      </c>
      <c r="E49" s="64">
        <f>500*(1+Forutsetninger!$E$17)</f>
        <v>500</v>
      </c>
      <c r="F49" s="64">
        <f>450*(1+Forutsetninger!$E$17)</f>
        <v>450</v>
      </c>
      <c r="G49" s="64">
        <f t="shared" si="41"/>
        <v>8588</v>
      </c>
      <c r="H49" s="136">
        <f t="shared" si="44"/>
        <v>4.7572578677726275E-2</v>
      </c>
      <c r="I49" s="64">
        <f>624*(1+Forutsetninger!$E$17)</f>
        <v>624</v>
      </c>
      <c r="J49" s="64">
        <f>8300.70341053123*(1+Forutsetninger!$E$17)</f>
        <v>8300.7034105312305</v>
      </c>
      <c r="K49" s="64">
        <f>1681.27608*(1+Forutsetninger!$E$17)</f>
        <v>1681.2760800000001</v>
      </c>
      <c r="L49" s="64">
        <f t="shared" si="42"/>
        <v>10605.97949053123</v>
      </c>
      <c r="M49" s="136">
        <f t="shared" si="47"/>
        <v>4.5737197614904137E-3</v>
      </c>
      <c r="N49" s="64">
        <f t="shared" si="43"/>
        <v>19193.97949053123</v>
      </c>
      <c r="O49" s="147">
        <f t="shared" si="46"/>
        <v>-1.836537574551439E-2</v>
      </c>
    </row>
    <row r="50" spans="1:15" x14ac:dyDescent="0.25">
      <c r="A50" s="87">
        <v>2027</v>
      </c>
      <c r="B50" s="34">
        <f>6948*(1+Forutsetninger!$E$17)</f>
        <v>6948</v>
      </c>
      <c r="C50" s="34">
        <f>660*(1+Forutsetninger!$E$17)</f>
        <v>660</v>
      </c>
      <c r="D50" s="34">
        <f>500*(1+Forutsetninger!$E$17)</f>
        <v>500</v>
      </c>
      <c r="E50" s="34">
        <f>500*(1+Forutsetninger!$E$17)</f>
        <v>500</v>
      </c>
      <c r="F50" s="34">
        <f>500*(1+Forutsetninger!$E$17)</f>
        <v>500</v>
      </c>
      <c r="G50" s="34">
        <f t="shared" si="41"/>
        <v>9108</v>
      </c>
      <c r="H50" s="124">
        <f t="shared" si="44"/>
        <v>6.0549604098742431E-2</v>
      </c>
      <c r="I50" s="34">
        <f>715*(1+Forutsetninger!$E$17)</f>
        <v>715</v>
      </c>
      <c r="J50" s="34">
        <f>8258.99133309137*(1+Forutsetninger!$E$17)</f>
        <v>8258.9913330913696</v>
      </c>
      <c r="K50" s="34">
        <f>1693.27608*(1+Forutsetninger!$E$17)</f>
        <v>1693.2760800000001</v>
      </c>
      <c r="L50" s="34">
        <f t="shared" si="42"/>
        <v>10667.267413091369</v>
      </c>
      <c r="M50" s="124">
        <f t="shared" si="47"/>
        <v>5.7786197507599885E-3</v>
      </c>
      <c r="N50" s="34">
        <f t="shared" si="43"/>
        <v>19775.267413091369</v>
      </c>
      <c r="O50" s="146">
        <f t="shared" si="46"/>
        <v>-2.378593440759658E-2</v>
      </c>
    </row>
    <row r="51" spans="1:15" x14ac:dyDescent="0.25">
      <c r="A51" s="88">
        <v>2028</v>
      </c>
      <c r="B51" s="64">
        <f>7048*(1+Forutsetninger!$E$17)</f>
        <v>7048</v>
      </c>
      <c r="C51" s="64">
        <f>980*(1+Forutsetninger!$E$17)</f>
        <v>980</v>
      </c>
      <c r="D51" s="64">
        <f>600*(1+Forutsetninger!$E$17)</f>
        <v>600</v>
      </c>
      <c r="E51" s="64">
        <f>500*(1+Forutsetninger!$E$17)</f>
        <v>500</v>
      </c>
      <c r="F51" s="64">
        <f>500*(1+Forutsetninger!$E$17)</f>
        <v>500</v>
      </c>
      <c r="G51" s="64">
        <f t="shared" si="41"/>
        <v>9628</v>
      </c>
      <c r="H51" s="136">
        <f t="shared" si="44"/>
        <v>5.709266578831796E-2</v>
      </c>
      <c r="I51" s="64">
        <f>819*(1+Forutsetninger!$E$17)</f>
        <v>819</v>
      </c>
      <c r="J51" s="64">
        <f>8217.27925565151*(1+Forutsetninger!$E$17)</f>
        <v>8217.2792556515105</v>
      </c>
      <c r="K51" s="64">
        <f>1705.27608*(1+Forutsetninger!$E$17)</f>
        <v>1705.2760800000001</v>
      </c>
      <c r="L51" s="64">
        <f t="shared" si="42"/>
        <v>10741.55533565151</v>
      </c>
      <c r="M51" s="136">
        <f t="shared" si="47"/>
        <v>6.9641005220297874E-3</v>
      </c>
      <c r="N51" s="64">
        <f t="shared" si="43"/>
        <v>20369.555335651508</v>
      </c>
      <c r="O51" s="147">
        <f t="shared" si="46"/>
        <v>-2.2414380919069211E-2</v>
      </c>
    </row>
    <row r="52" spans="1:15" x14ac:dyDescent="0.25">
      <c r="A52" s="87">
        <v>2029</v>
      </c>
      <c r="B52" s="34">
        <f>7048*(1+Forutsetninger!$E$17)</f>
        <v>7048</v>
      </c>
      <c r="C52" s="34">
        <f>1215*(1+Forutsetninger!$E$17)</f>
        <v>1215</v>
      </c>
      <c r="D52" s="34">
        <f>675*(1+Forutsetninger!$E$17)</f>
        <v>675</v>
      </c>
      <c r="E52" s="34">
        <f>1375*(1+Forutsetninger!$E$17)</f>
        <v>1375</v>
      </c>
      <c r="F52" s="34">
        <f>550*(1+Forutsetninger!$E$17)</f>
        <v>550</v>
      </c>
      <c r="G52" s="34">
        <f t="shared" si="41"/>
        <v>10863</v>
      </c>
      <c r="H52" s="124">
        <f t="shared" si="44"/>
        <v>0.1282717075197341</v>
      </c>
      <c r="I52" s="34">
        <f>955.5*(1+Forutsetninger!$E$17)</f>
        <v>955.5</v>
      </c>
      <c r="J52" s="34">
        <f>8140.02309644194*(1+Forutsetninger!$E$17)</f>
        <v>8140.0230964419397</v>
      </c>
      <c r="K52" s="34">
        <f>1711.27608*(1+Forutsetninger!$E$17)</f>
        <v>1711.2760800000001</v>
      </c>
      <c r="L52" s="34">
        <f t="shared" si="42"/>
        <v>10806.799176441938</v>
      </c>
      <c r="M52" s="124">
        <f t="shared" si="47"/>
        <v>6.0739658970877554E-3</v>
      </c>
      <c r="N52" s="34">
        <f t="shared" si="43"/>
        <v>21669.799176441938</v>
      </c>
      <c r="O52" s="146">
        <f t="shared" si="46"/>
        <v>-5.4293066897540994E-2</v>
      </c>
    </row>
    <row r="53" spans="1:15" ht="15.75" thickBot="1" x14ac:dyDescent="0.3">
      <c r="A53" s="89">
        <v>2030</v>
      </c>
      <c r="B53" s="127">
        <f>7048*(1+Forutsetninger!$E$17)</f>
        <v>7048</v>
      </c>
      <c r="C53" s="127">
        <f>1450*(1+Forutsetninger!$E$17)</f>
        <v>1450</v>
      </c>
      <c r="D53" s="127">
        <f>750*(1+Forutsetninger!$E$17)</f>
        <v>750</v>
      </c>
      <c r="E53" s="127">
        <f>2250*(1+Forutsetninger!$E$17)</f>
        <v>2250</v>
      </c>
      <c r="F53" s="127">
        <f>600*(1+Forutsetninger!$E$17)</f>
        <v>600</v>
      </c>
      <c r="G53" s="127">
        <f t="shared" si="41"/>
        <v>12098</v>
      </c>
      <c r="H53" s="148">
        <f t="shared" si="44"/>
        <v>0.11368866795544509</v>
      </c>
      <c r="I53" s="127">
        <f>1092*(1+Forutsetninger!$E$17)</f>
        <v>1092</v>
      </c>
      <c r="J53" s="127">
        <f>8062.76693723236*(1+Forutsetninger!$E$17)</f>
        <v>8062.7669372323599</v>
      </c>
      <c r="K53" s="127">
        <f>1717.27608*(1+Forutsetninger!$E$17)</f>
        <v>1717.2760800000001</v>
      </c>
      <c r="L53" s="127">
        <f t="shared" si="42"/>
        <v>10872.043017232359</v>
      </c>
      <c r="M53" s="148">
        <f t="shared" si="47"/>
        <v>6.0372955696861652E-3</v>
      </c>
      <c r="N53" s="127">
        <f t="shared" si="43"/>
        <v>22970.043017232361</v>
      </c>
      <c r="O53" s="149">
        <f t="shared" si="46"/>
        <v>-5.0910521035994243E-2</v>
      </c>
    </row>
    <row r="54" spans="1:15" x14ac:dyDescent="0.25">
      <c r="A54" s="87" t="s">
        <v>72</v>
      </c>
      <c r="B54" s="10">
        <f t="shared" ref="B54" si="48">(B53-B47)/B47</f>
        <v>6.0168471720818288E-2</v>
      </c>
      <c r="C54" s="10"/>
      <c r="D54" s="10"/>
      <c r="E54" s="10"/>
      <c r="F54" s="10">
        <f t="shared" ref="F54" si="49">(F53-F47)/F47</f>
        <v>0.5</v>
      </c>
      <c r="G54" s="10">
        <f>(G53-G47)/G47</f>
        <v>0.57157703299558327</v>
      </c>
      <c r="H54" s="10">
        <f t="shared" ref="H54" si="50">(H53-H47)/H47</f>
        <v>3.2621881616496369</v>
      </c>
      <c r="I54" s="10">
        <f t="shared" ref="I54" si="51">(I53-I47)/I47</f>
        <v>1.2702702702702702</v>
      </c>
      <c r="J54" s="10">
        <f t="shared" ref="J54" si="52">(J53-J47)/J47</f>
        <v>-1.4842746673723472E-2</v>
      </c>
      <c r="K54" s="10">
        <f t="shared" ref="K54" si="53">(K53-K47)/K47</f>
        <v>3.6203986000932324E-2</v>
      </c>
      <c r="L54" s="10">
        <f t="shared" ref="L54" si="54">(L53-L47)/L47</f>
        <v>5.3235388561884235E-2</v>
      </c>
      <c r="M54" s="10">
        <f t="shared" ref="M54" si="55">(M53-M47)/M47</f>
        <v>-0.70191187064161709</v>
      </c>
      <c r="N54" s="10">
        <f t="shared" ref="N54" si="56">(N53-N47)/N47</f>
        <v>0.2746604113454344</v>
      </c>
      <c r="O54" s="10">
        <f t="shared" ref="O54" si="57">(O53-O47)/O47</f>
        <v>18.0575964706739</v>
      </c>
    </row>
    <row r="56" spans="1:15" ht="30.75" thickBot="1" x14ac:dyDescent="0.3">
      <c r="A56" s="155" t="s">
        <v>8</v>
      </c>
      <c r="B56" s="82" t="s">
        <v>110</v>
      </c>
      <c r="C56" s="82" t="s">
        <v>111</v>
      </c>
      <c r="D56" s="50" t="s">
        <v>112</v>
      </c>
      <c r="E56" s="50" t="s">
        <v>121</v>
      </c>
      <c r="F56" s="50" t="s">
        <v>113</v>
      </c>
      <c r="G56" s="50" t="s">
        <v>114</v>
      </c>
      <c r="H56" s="50" t="s">
        <v>115</v>
      </c>
      <c r="I56" s="50" t="s">
        <v>116</v>
      </c>
      <c r="J56" s="82" t="s">
        <v>117</v>
      </c>
      <c r="K56" s="82" t="s">
        <v>122</v>
      </c>
      <c r="L56" s="82" t="s">
        <v>118</v>
      </c>
      <c r="M56" s="82" t="s">
        <v>119</v>
      </c>
      <c r="N56" s="82" t="s">
        <v>120</v>
      </c>
      <c r="O56" s="82" t="s">
        <v>127</v>
      </c>
    </row>
    <row r="57" spans="1:15" x14ac:dyDescent="0.25">
      <c r="A57" s="87">
        <v>2021</v>
      </c>
      <c r="B57" s="161">
        <v>3735</v>
      </c>
      <c r="C57" s="34">
        <v>0</v>
      </c>
      <c r="D57" s="34">
        <v>0</v>
      </c>
      <c r="E57" s="34">
        <v>4100</v>
      </c>
      <c r="F57" s="34">
        <v>100.7</v>
      </c>
      <c r="G57" s="34">
        <f t="shared" ref="G57:G66" si="58">SUM(B57:F57)</f>
        <v>7935.7</v>
      </c>
      <c r="H57" s="34"/>
      <c r="I57" s="34">
        <v>233</v>
      </c>
      <c r="J57" s="34">
        <v>6589.3340988938889</v>
      </c>
      <c r="K57" s="34">
        <v>1351.0634</v>
      </c>
      <c r="L57" s="34">
        <f t="shared" ref="L57:L66" si="59">SUM(I57:K57)</f>
        <v>8173.397498893889</v>
      </c>
      <c r="M57" s="34"/>
      <c r="N57" s="34">
        <f t="shared" ref="N57:N66" si="60">G57+L57</f>
        <v>16109.097498893889</v>
      </c>
    </row>
    <row r="58" spans="1:15" x14ac:dyDescent="0.25">
      <c r="A58" s="88">
        <v>2022</v>
      </c>
      <c r="B58" s="162">
        <v>3700</v>
      </c>
      <c r="C58" s="64">
        <v>0</v>
      </c>
      <c r="D58" s="64">
        <v>0</v>
      </c>
      <c r="E58" s="64">
        <v>4200</v>
      </c>
      <c r="F58" s="64">
        <v>93.606200000000001</v>
      </c>
      <c r="G58" s="64">
        <f>SUM(B58:F58)</f>
        <v>7993.6062000000002</v>
      </c>
      <c r="H58" s="136">
        <f>(G58-G57)/G57</f>
        <v>7.2969240268659797E-3</v>
      </c>
      <c r="I58" s="64">
        <v>290</v>
      </c>
      <c r="J58" s="64">
        <v>6156.992706559734</v>
      </c>
      <c r="K58" s="64">
        <v>1361.0634</v>
      </c>
      <c r="L58" s="64">
        <f t="shared" si="59"/>
        <v>7808.056106559734</v>
      </c>
      <c r="M58" s="136">
        <f>(L58-L57)/L57</f>
        <v>-4.4698840645349361E-2</v>
      </c>
      <c r="N58" s="64">
        <f t="shared" si="60"/>
        <v>15801.662306559734</v>
      </c>
      <c r="O58" s="68"/>
    </row>
    <row r="59" spans="1:15" x14ac:dyDescent="0.25">
      <c r="A59" s="87">
        <v>2023</v>
      </c>
      <c r="B59" s="161">
        <v>3700</v>
      </c>
      <c r="C59" s="34">
        <v>0</v>
      </c>
      <c r="D59" s="34">
        <v>0</v>
      </c>
      <c r="E59" s="34">
        <v>4300</v>
      </c>
      <c r="F59" s="34">
        <v>89.322829200000001</v>
      </c>
      <c r="G59" s="34">
        <f t="shared" si="58"/>
        <v>8089.3228292000003</v>
      </c>
      <c r="H59" s="124">
        <f t="shared" ref="H59:H66" si="61">(G59-G58)/G58</f>
        <v>1.1974148688985976E-2</v>
      </c>
      <c r="I59" s="34">
        <v>330</v>
      </c>
      <c r="J59" s="34">
        <v>6187.1752305339405</v>
      </c>
      <c r="K59" s="34">
        <v>1371.0634</v>
      </c>
      <c r="L59" s="34">
        <f t="shared" si="59"/>
        <v>7888.2386305339405</v>
      </c>
      <c r="M59" s="124">
        <f t="shared" ref="M59" si="62">(L59-L58)/L58</f>
        <v>1.0269204380696409E-2</v>
      </c>
      <c r="N59" s="34">
        <f t="shared" si="60"/>
        <v>15977.561459733941</v>
      </c>
      <c r="O59" s="146">
        <f t="shared" ref="O59:O66" si="63">((L59/N59)-(L58/N58))/(L58/N58)</f>
        <v>-8.5298707363727242E-4</v>
      </c>
    </row>
    <row r="60" spans="1:15" x14ac:dyDescent="0.25">
      <c r="A60" s="88">
        <v>2024</v>
      </c>
      <c r="B60" s="162">
        <f>3700</f>
        <v>3700</v>
      </c>
      <c r="C60" s="64">
        <f>0</f>
        <v>0</v>
      </c>
      <c r="D60" s="64">
        <v>0</v>
      </c>
      <c r="E60" s="64">
        <f>5100</f>
        <v>5100</v>
      </c>
      <c r="F60" s="64">
        <f>104.1504188472</f>
        <v>104.1504188472</v>
      </c>
      <c r="G60" s="64">
        <f t="shared" si="58"/>
        <v>8904.1504188472009</v>
      </c>
      <c r="H60" s="136">
        <f t="shared" si="61"/>
        <v>0.10072877629582543</v>
      </c>
      <c r="I60" s="64">
        <f>370</f>
        <v>370</v>
      </c>
      <c r="J60" s="64">
        <f>6295.57199352169</f>
        <v>6295.5719935216903</v>
      </c>
      <c r="K60" s="64">
        <f>1381.0634</f>
        <v>1381.0634</v>
      </c>
      <c r="L60" s="64">
        <f t="shared" si="59"/>
        <v>8046.6353935216903</v>
      </c>
      <c r="M60" s="136">
        <f>((L60-L59)/L59)</f>
        <v>2.0080118060149019E-2</v>
      </c>
      <c r="N60" s="64">
        <f t="shared" si="60"/>
        <v>16950.785812368893</v>
      </c>
      <c r="O60" s="147">
        <f t="shared" si="63"/>
        <v>-3.8487480134057339E-2</v>
      </c>
    </row>
    <row r="61" spans="1:15" x14ac:dyDescent="0.25">
      <c r="A61" s="87">
        <v>2025</v>
      </c>
      <c r="B61" s="161">
        <f>3700*(1+Forutsetninger!$E$17)</f>
        <v>3700</v>
      </c>
      <c r="C61" s="34">
        <f>0*(1+Forutsetninger!$E$17)</f>
        <v>0</v>
      </c>
      <c r="D61" s="34">
        <v>0</v>
      </c>
      <c r="E61" s="34">
        <f>5400*(1+Forutsetninger!$E$17)</f>
        <v>5400</v>
      </c>
      <c r="F61" s="34">
        <f>121.439388375835*(1+Forutsetninger!$E$17)</f>
        <v>121.43938837583499</v>
      </c>
      <c r="G61" s="34">
        <f t="shared" si="58"/>
        <v>9221.4393883758348</v>
      </c>
      <c r="H61" s="124">
        <f t="shared" si="61"/>
        <v>3.5633828563479346E-2</v>
      </c>
      <c r="I61" s="34">
        <f>420*(1+Forutsetninger!$E$17)</f>
        <v>420</v>
      </c>
      <c r="J61" s="34">
        <f>6417.24268305468*(1+Forutsetninger!$E$17)</f>
        <v>6417.2426830546801</v>
      </c>
      <c r="K61" s="34">
        <f>1391.0634*(1+Forutsetninger!$E$17)</f>
        <v>1391.0634</v>
      </c>
      <c r="L61" s="34">
        <f t="shared" si="59"/>
        <v>8228.3060830546801</v>
      </c>
      <c r="M61" s="124">
        <f t="shared" ref="M61:M66" si="64">((L61-L60)/L60)</f>
        <v>2.2577223976030045E-2</v>
      </c>
      <c r="N61" s="34">
        <f t="shared" si="60"/>
        <v>17449.745471430513</v>
      </c>
      <c r="O61" s="146">
        <f t="shared" si="63"/>
        <v>-6.6624450996374991E-3</v>
      </c>
    </row>
    <row r="62" spans="1:15" x14ac:dyDescent="0.25">
      <c r="A62" s="88">
        <v>2026</v>
      </c>
      <c r="B62" s="162">
        <f>3700*(1+Forutsetninger!$E$17)</f>
        <v>3700</v>
      </c>
      <c r="C62" s="64">
        <f>40*(1+Forutsetninger!$E$17)</f>
        <v>40</v>
      </c>
      <c r="D62" s="64">
        <v>0</v>
      </c>
      <c r="E62" s="64">
        <f>6000*(1+Forutsetninger!$E$17)</f>
        <v>6000</v>
      </c>
      <c r="F62" s="64">
        <f>200*(1+Forutsetninger!$E$17)</f>
        <v>200</v>
      </c>
      <c r="G62" s="64">
        <f t="shared" si="58"/>
        <v>9940</v>
      </c>
      <c r="H62" s="136">
        <f t="shared" si="61"/>
        <v>7.7922825424624378E-2</v>
      </c>
      <c r="I62" s="64">
        <f>480*(1+Forutsetninger!$E$17)</f>
        <v>480</v>
      </c>
      <c r="J62" s="64">
        <f>6385.1564696394*(1+Forutsetninger!$E$17)</f>
        <v>6385.1564696393998</v>
      </c>
      <c r="K62" s="64">
        <f>1401.0634*(1+Forutsetninger!$E$17)</f>
        <v>1401.0634</v>
      </c>
      <c r="L62" s="64">
        <f t="shared" si="59"/>
        <v>8266.2198696394007</v>
      </c>
      <c r="M62" s="136">
        <f t="shared" si="64"/>
        <v>4.6077268154620533E-3</v>
      </c>
      <c r="N62" s="64">
        <f t="shared" si="60"/>
        <v>18206.219869639401</v>
      </c>
      <c r="O62" s="147">
        <f t="shared" si="63"/>
        <v>-3.7134053247626787E-2</v>
      </c>
    </row>
    <row r="63" spans="1:15" x14ac:dyDescent="0.25">
      <c r="A63" s="87">
        <v>2027</v>
      </c>
      <c r="B63" s="161">
        <f>3700*(1+Forutsetninger!$E$17)</f>
        <v>3700</v>
      </c>
      <c r="C63" s="34">
        <f>60*(1+Forutsetninger!$E$17)</f>
        <v>60</v>
      </c>
      <c r="D63" s="34">
        <v>0</v>
      </c>
      <c r="E63" s="34">
        <f>6400*(1+Forutsetninger!$E$17)</f>
        <v>6400</v>
      </c>
      <c r="F63" s="34">
        <f>300*(1+Forutsetninger!$E$17)</f>
        <v>300</v>
      </c>
      <c r="G63" s="34">
        <f t="shared" si="58"/>
        <v>10460</v>
      </c>
      <c r="H63" s="124">
        <f t="shared" si="61"/>
        <v>5.2313883299798795E-2</v>
      </c>
      <c r="I63" s="34">
        <f>550*(1+Forutsetninger!$E$17)</f>
        <v>550</v>
      </c>
      <c r="J63" s="34">
        <f>6353.07025622413*(1+Forutsetninger!$E$17)</f>
        <v>6353.0702562241304</v>
      </c>
      <c r="K63" s="34">
        <f>1411.0634*(1+Forutsetninger!$E$17)</f>
        <v>1411.0634</v>
      </c>
      <c r="L63" s="34">
        <f t="shared" si="59"/>
        <v>8314.1336562241304</v>
      </c>
      <c r="M63" s="124">
        <f t="shared" si="64"/>
        <v>5.7963358512528691E-3</v>
      </c>
      <c r="N63" s="34">
        <f t="shared" si="60"/>
        <v>18774.13365622413</v>
      </c>
      <c r="O63" s="146">
        <f t="shared" si="63"/>
        <v>-2.4628802058477541E-2</v>
      </c>
    </row>
    <row r="64" spans="1:15" x14ac:dyDescent="0.25">
      <c r="A64" s="88">
        <v>2028</v>
      </c>
      <c r="B64" s="162">
        <f>3800*(1+Forutsetninger!$E$17)</f>
        <v>3800</v>
      </c>
      <c r="C64" s="64">
        <f>80*(1+Forutsetninger!$E$17)</f>
        <v>80</v>
      </c>
      <c r="D64" s="64">
        <v>0</v>
      </c>
      <c r="E64" s="64">
        <f>6600*(1+Forutsetninger!$E$17)</f>
        <v>6600</v>
      </c>
      <c r="F64" s="64">
        <f>400*(1+Forutsetninger!$E$17)</f>
        <v>400</v>
      </c>
      <c r="G64" s="64">
        <f t="shared" si="58"/>
        <v>10880</v>
      </c>
      <c r="H64" s="136">
        <f t="shared" si="61"/>
        <v>4.0152963671128104E-2</v>
      </c>
      <c r="I64" s="64">
        <f>630*(1+Forutsetninger!$E$17)</f>
        <v>630</v>
      </c>
      <c r="J64" s="64">
        <f>6320.98404280886*(1+Forutsetninger!$E$17)</f>
        <v>6320.9840428088601</v>
      </c>
      <c r="K64" s="64">
        <f>1421.0634*(1+Forutsetninger!$E$17)</f>
        <v>1421.0634</v>
      </c>
      <c r="L64" s="64">
        <f t="shared" si="59"/>
        <v>8372.0474428088601</v>
      </c>
      <c r="M64" s="136">
        <f t="shared" si="64"/>
        <v>6.9657031002110766E-3</v>
      </c>
      <c r="N64" s="64">
        <f t="shared" si="60"/>
        <v>19252.04744280886</v>
      </c>
      <c r="O64" s="147">
        <f t="shared" si="63"/>
        <v>-1.803126377093249E-2</v>
      </c>
    </row>
    <row r="65" spans="1:15" x14ac:dyDescent="0.25">
      <c r="A65" s="87">
        <v>2029</v>
      </c>
      <c r="B65" s="161">
        <f>3925*(1+Forutsetninger!$E$17)</f>
        <v>3925</v>
      </c>
      <c r="C65" s="34">
        <f>90*(1+Forutsetninger!$E$17)</f>
        <v>90</v>
      </c>
      <c r="D65" s="34">
        <v>0</v>
      </c>
      <c r="E65" s="34">
        <f>6700*(1+Forutsetninger!$E$17)</f>
        <v>6700</v>
      </c>
      <c r="F65" s="34">
        <f>500*(1+Forutsetninger!$E$17)</f>
        <v>500</v>
      </c>
      <c r="G65" s="34">
        <f t="shared" si="58"/>
        <v>11215</v>
      </c>
      <c r="H65" s="124">
        <f t="shared" si="61"/>
        <v>3.079044117647059E-2</v>
      </c>
      <c r="I65" s="34">
        <f>735*(1+Forutsetninger!$E$17)</f>
        <v>735</v>
      </c>
      <c r="J65" s="34">
        <f>6261.55622803226*(1+Forutsetninger!$E$17)</f>
        <v>6261.5562280322602</v>
      </c>
      <c r="K65" s="34">
        <f>1426.0634*(1+Forutsetninger!$E$17)</f>
        <v>1426.0634</v>
      </c>
      <c r="L65" s="34">
        <f t="shared" si="59"/>
        <v>8422.6196280322602</v>
      </c>
      <c r="M65" s="124">
        <f t="shared" si="64"/>
        <v>6.0405994553744289E-3</v>
      </c>
      <c r="N65" s="34">
        <f t="shared" si="60"/>
        <v>19637.619628032262</v>
      </c>
      <c r="O65" s="146">
        <f t="shared" si="63"/>
        <v>-1.3712368557192168E-2</v>
      </c>
    </row>
    <row r="66" spans="1:15" ht="15.75" thickBot="1" x14ac:dyDescent="0.3">
      <c r="A66" s="89">
        <v>2030</v>
      </c>
      <c r="B66" s="163">
        <f>4050*(1+Forutsetninger!$E$17)</f>
        <v>4050</v>
      </c>
      <c r="C66" s="127">
        <f>100*(1+Forutsetninger!$E$17)</f>
        <v>100</v>
      </c>
      <c r="D66" s="127">
        <v>0</v>
      </c>
      <c r="E66" s="127">
        <f>6800*(1+Forutsetninger!$E$17)</f>
        <v>6800</v>
      </c>
      <c r="F66" s="127">
        <f>600*(1+Forutsetninger!$E$17)</f>
        <v>600</v>
      </c>
      <c r="G66" s="127">
        <f t="shared" si="58"/>
        <v>11550</v>
      </c>
      <c r="H66" s="148">
        <f t="shared" si="61"/>
        <v>2.9870708872046365E-2</v>
      </c>
      <c r="I66" s="127">
        <f>840*(1+Forutsetninger!$E$17)</f>
        <v>840</v>
      </c>
      <c r="J66" s="127">
        <f>6202.12841325566*(1+Forutsetninger!$E$17)</f>
        <v>6202.1284132556602</v>
      </c>
      <c r="K66" s="127">
        <f>1431.0634*(1+Forutsetninger!$E$17)</f>
        <v>1431.0634</v>
      </c>
      <c r="L66" s="127">
        <f t="shared" si="59"/>
        <v>8473.1918132556602</v>
      </c>
      <c r="M66" s="148">
        <f t="shared" si="64"/>
        <v>6.0043297046307479E-3</v>
      </c>
      <c r="N66" s="127">
        <f t="shared" si="60"/>
        <v>20023.19181325566</v>
      </c>
      <c r="O66" s="149">
        <f t="shared" si="63"/>
        <v>-1.3367571207372017E-2</v>
      </c>
    </row>
    <row r="67" spans="1:15" x14ac:dyDescent="0.25">
      <c r="A67" s="87" t="s">
        <v>72</v>
      </c>
      <c r="B67" s="10">
        <f t="shared" ref="B67" si="65">(B66-B60)/B60</f>
        <v>9.45945945945946E-2</v>
      </c>
      <c r="C67" s="10"/>
      <c r="D67" s="10"/>
      <c r="E67" s="10"/>
      <c r="F67" s="10">
        <f t="shared" ref="F67" si="66">(F66-F60)/F60</f>
        <v>4.7608985795848335</v>
      </c>
      <c r="G67" s="10">
        <f>(G66-G60)/G60</f>
        <v>0.29714789808047187</v>
      </c>
      <c r="H67" s="10">
        <f t="shared" ref="H67" si="67">(H66-H60)/H60</f>
        <v>-0.70345406774008123</v>
      </c>
      <c r="I67" s="10">
        <f t="shared" ref="I67" si="68">(I66-I60)/I60</f>
        <v>1.2702702702702702</v>
      </c>
      <c r="J67" s="10">
        <f t="shared" ref="J67" si="69">(J66-J60)/J60</f>
        <v>-1.4842746673723364E-2</v>
      </c>
      <c r="K67" s="10">
        <f t="shared" ref="K67" si="70">(K66-K60)/K60</f>
        <v>3.6203986000932324E-2</v>
      </c>
      <c r="L67" s="10">
        <f t="shared" ref="L67" si="71">(L66-L60)/L60</f>
        <v>5.3010531591550503E-2</v>
      </c>
      <c r="M67" s="10">
        <f t="shared" ref="M67" si="72">(M66-M60)/M60</f>
        <v>-0.7009813544599155</v>
      </c>
      <c r="N67" s="10">
        <f t="shared" ref="N67" si="73">(N66-N60)/N60</f>
        <v>0.18125448783883813</v>
      </c>
      <c r="O67" s="10">
        <f t="shared" ref="O67" si="74">(O66-O60)/O60</f>
        <v>-0.6526774119580997</v>
      </c>
    </row>
    <row r="68" spans="1:15" x14ac:dyDescent="0.25">
      <c r="B68" s="14"/>
      <c r="C68" s="14"/>
      <c r="D68" s="14"/>
      <c r="E68" s="14"/>
      <c r="F68" s="14"/>
      <c r="G68" s="14"/>
      <c r="H68" s="14"/>
      <c r="I68" s="14"/>
      <c r="J68" s="14"/>
      <c r="K68" s="14"/>
      <c r="L68" s="14"/>
      <c r="M68" s="14"/>
      <c r="N68" s="14"/>
    </row>
    <row r="69" spans="1:15" x14ac:dyDescent="0.25">
      <c r="B69" s="14"/>
      <c r="C69" s="14"/>
      <c r="D69" s="14"/>
      <c r="E69" s="14"/>
      <c r="F69" s="14"/>
      <c r="G69" s="14"/>
      <c r="H69" s="14"/>
      <c r="I69" s="14"/>
      <c r="J69" s="14"/>
      <c r="K69" s="14"/>
      <c r="L69" s="14"/>
      <c r="M69" s="14"/>
      <c r="N69" s="14"/>
    </row>
  </sheetData>
  <mergeCells count="1">
    <mergeCell ref="A2:D2"/>
  </mergeCells>
  <hyperlinks>
    <hyperlink ref="A1" location="Introduksjon!A1" display="Tilbake til introduksjon" xr:uid="{84CB4D14-3A4B-4BD2-9416-BCEDE497EFAF}"/>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EF608-A2B5-48F6-A9ED-F421B10B6375}">
  <dimension ref="A1:F21"/>
  <sheetViews>
    <sheetView workbookViewId="0"/>
  </sheetViews>
  <sheetFormatPr baseColWidth="10" defaultColWidth="11.42578125" defaultRowHeight="15" x14ac:dyDescent="0.25"/>
  <cols>
    <col min="1" max="1" width="62.5703125" style="9" bestFit="1" customWidth="1"/>
    <col min="2" max="2" width="10.5703125" style="9" bestFit="1" customWidth="1"/>
    <col min="3" max="3" width="10.42578125" style="9" bestFit="1" customWidth="1"/>
    <col min="4" max="4" width="11.7109375" style="9" bestFit="1" customWidth="1"/>
    <col min="5" max="5" width="12.140625" style="9" bestFit="1" customWidth="1"/>
    <col min="6" max="16384" width="11.42578125" style="9"/>
  </cols>
  <sheetData>
    <row r="1" spans="1:6" x14ac:dyDescent="0.25">
      <c r="A1" s="45" t="s">
        <v>170</v>
      </c>
    </row>
    <row r="2" spans="1:6" ht="18.75" x14ac:dyDescent="0.3">
      <c r="A2" s="175" t="s">
        <v>124</v>
      </c>
      <c r="B2" s="176"/>
      <c r="C2" s="176"/>
      <c r="D2" s="177"/>
    </row>
    <row r="4" spans="1:6" ht="15.75" thickBot="1" x14ac:dyDescent="0.3">
      <c r="A4" s="53" t="s">
        <v>3</v>
      </c>
      <c r="B4" s="50" t="s">
        <v>4</v>
      </c>
      <c r="C4" s="50" t="s">
        <v>5</v>
      </c>
      <c r="D4" s="50" t="s">
        <v>6</v>
      </c>
      <c r="E4" s="50" t="s">
        <v>7</v>
      </c>
      <c r="F4" s="50" t="s">
        <v>8</v>
      </c>
    </row>
    <row r="5" spans="1:6" x14ac:dyDescent="0.25">
      <c r="A5" s="54" t="s">
        <v>11</v>
      </c>
      <c r="B5" s="14">
        <f>Forutsetninger!$F$4*('IR 2023-2024'!B7+'IR 2023-2024'!F7)/SUM('IR 2023-2024'!$B$7,'IR 2023-2024'!$B$13,'IR 2023-2024'!$B$19,'IR 2023-2024'!$B$25,'IR 2023-2024'!$B$31,'IR 2023-2024'!$F$7,'IR 2023-2024'!$F$13,'IR 2023-2024'!$F$19,'IR 2023-2024'!$F$25,'IR 2023-2024'!$F$31)</f>
        <v>16194.549183898456</v>
      </c>
      <c r="C5" s="14">
        <f>Forutsetninger!$F$4*('IR 2023-2024'!$B13+'IR 2023-2024'!$F13)/SUM('IR 2023-2024'!$B$7,'IR 2023-2024'!$B$13,'IR 2023-2024'!$B$19,'IR 2023-2024'!$B$25,'IR 2023-2024'!$B$31,'IR 2023-2024'!$F$7,'IR 2023-2024'!$F$13,'IR 2023-2024'!$F$19,'IR 2023-2024'!$F$25,'IR 2023-2024'!$F$31)</f>
        <v>15922.021569459117</v>
      </c>
      <c r="D5" s="14">
        <f>Forutsetninger!$F$4*('IR 2023-2024'!$B19+'IR 2023-2024'!$F19)/SUM('IR 2023-2024'!$B$7,'IR 2023-2024'!$B$13,'IR 2023-2024'!$B$19,'IR 2023-2024'!$B$25,'IR 2023-2024'!$B$31,'IR 2023-2024'!$F$7,'IR 2023-2024'!$F$13,'IR 2023-2024'!$F$19,'IR 2023-2024'!$F$25,'IR 2023-2024'!$F$31)</f>
        <v>10059.702308057756</v>
      </c>
      <c r="E5" s="14">
        <f>Forutsetninger!$F$4*('IR 2023-2024'!$B25+'IR 2023-2024'!$F25)/SUM('IR 2023-2024'!$B$7,'IR 2023-2024'!$B$13,'IR 2023-2024'!$B$19,'IR 2023-2024'!$B$25,'IR 2023-2024'!$B$31,'IR 2023-2024'!$F$7,'IR 2023-2024'!$F$13,'IR 2023-2024'!$F$19,'IR 2023-2024'!$F$25,'IR 2023-2024'!$F$31)</f>
        <v>8596.8609147796124</v>
      </c>
      <c r="F5" s="14">
        <f>Forutsetninger!$F$4*('IR 2023-2024'!$B31+'IR 2023-2024'!$F31)/SUM('IR 2023-2024'!$B$7,'IR 2023-2024'!$B$13,'IR 2023-2024'!$B$19,'IR 2023-2024'!$B$25,'IR 2023-2024'!$B$31,'IR 2023-2024'!$F$7,'IR 2023-2024'!$F$13,'IR 2023-2024'!$F$19,'IR 2023-2024'!$F$25,'IR 2023-2024'!$F$31)</f>
        <v>6226.8660238050497</v>
      </c>
    </row>
    <row r="6" spans="1:6" x14ac:dyDescent="0.25">
      <c r="A6" s="55" t="s">
        <v>13</v>
      </c>
      <c r="B6" s="62">
        <f>Forutsetninger!$F$5*('IR 2023-2024'!C7+'IR 2023-2024'!G7)/SUM('IR 2023-2024'!$C$7,'IR 2023-2024'!$C$13,'IR 2023-2024'!$C$19,'IR 2023-2024'!$C$25,'IR 2023-2024'!$C$31,'IR 2023-2024'!$G$7,'IR 2023-2024'!$G$13,'IR 2023-2024'!$G$19,'IR 2023-2024'!$G$25,'IR 2023-2024'!$G$31)</f>
        <v>4908.6206149806058</v>
      </c>
      <c r="C6" s="62">
        <f>Forutsetninger!$F$5*('IR 2023-2024'!C13+'IR 2023-2024'!G13)/SUM('IR 2023-2024'!$C$7,'IR 2023-2024'!$C$13,'IR 2023-2024'!$C$19,'IR 2023-2024'!$C$25,'IR 2023-2024'!$C$31,'IR 2023-2024'!$G$7,'IR 2023-2024'!$G$13,'IR 2023-2024'!$G$19,'IR 2023-2024'!$G$25,'IR 2023-2024'!$G$31)</f>
        <v>5432.4088475099788</v>
      </c>
      <c r="D6" s="62">
        <f>Forutsetninger!$F$5*('IR 2023-2024'!C19+'IR 2023-2024'!G19)/SUM('IR 2023-2024'!$C$7,'IR 2023-2024'!$C$13,'IR 2023-2024'!$C$19,'IR 2023-2024'!$C$25,'IR 2023-2024'!$C$31,'IR 2023-2024'!$G$7,'IR 2023-2024'!$G$13,'IR 2023-2024'!$G$19,'IR 2023-2024'!$G$25,'IR 2023-2024'!$G$31)</f>
        <v>3381.4059855121777</v>
      </c>
      <c r="E6" s="62">
        <f>Forutsetninger!$F$5*('IR 2023-2024'!C25+'IR 2023-2024'!G25)/SUM('IR 2023-2024'!$C$7,'IR 2023-2024'!$C$13,'IR 2023-2024'!$C$19,'IR 2023-2024'!$C$25,'IR 2023-2024'!$C$31,'IR 2023-2024'!$G$7,'IR 2023-2024'!$G$13,'IR 2023-2024'!$G$19,'IR 2023-2024'!$G$25,'IR 2023-2024'!$G$31)</f>
        <v>3612.2216482125837</v>
      </c>
      <c r="F6" s="62">
        <f>Forutsetninger!$F$5*('IR 2023-2024'!C31+'IR 2023-2024'!G31)/SUM('IR 2023-2024'!$C$7,'IR 2023-2024'!$C$13,'IR 2023-2024'!$C$19,'IR 2023-2024'!$C$25,'IR 2023-2024'!$C$31,'IR 2023-2024'!$G$7,'IR 2023-2024'!$G$13,'IR 2023-2024'!$G$19,'IR 2023-2024'!$G$25,'IR 2023-2024'!$G$31)</f>
        <v>1665.3429037846558</v>
      </c>
    </row>
    <row r="8" spans="1:6" ht="15.75" thickBot="1" x14ac:dyDescent="0.3">
      <c r="A8" s="53" t="s">
        <v>17</v>
      </c>
      <c r="B8" s="50" t="s">
        <v>4</v>
      </c>
      <c r="C8" s="50" t="s">
        <v>5</v>
      </c>
      <c r="D8" s="50" t="s">
        <v>6</v>
      </c>
      <c r="E8" s="50" t="s">
        <v>7</v>
      </c>
      <c r="F8" s="50" t="s">
        <v>8</v>
      </c>
    </row>
    <row r="9" spans="1:6" x14ac:dyDescent="0.25">
      <c r="A9" s="54" t="s">
        <v>19</v>
      </c>
      <c r="B9" s="14">
        <v>1209924</v>
      </c>
      <c r="C9" s="14">
        <v>879193.5</v>
      </c>
      <c r="D9" s="14">
        <v>505483.25</v>
      </c>
      <c r="E9" s="14">
        <v>327459</v>
      </c>
      <c r="F9" s="14">
        <v>341026.25</v>
      </c>
    </row>
    <row r="10" spans="1:6" x14ac:dyDescent="0.25">
      <c r="A10" s="55" t="s">
        <v>21</v>
      </c>
      <c r="B10" s="151">
        <f>B9/SUM(B9:F9)</f>
        <v>0.37079133066060777</v>
      </c>
      <c r="C10" s="151">
        <f>C9/SUM(B9:F9)</f>
        <v>0.26943620241697586</v>
      </c>
      <c r="D10" s="151">
        <f>D9/SUM(B9:F9)</f>
        <v>0.15490957026569327</v>
      </c>
      <c r="E10" s="151">
        <f>E9/SUM(B9:F9)</f>
        <v>0.10035254970294991</v>
      </c>
      <c r="F10" s="151">
        <f>F9/SUM(B9:F9)</f>
        <v>0.1045103469537732</v>
      </c>
    </row>
    <row r="12" spans="1:6" ht="15.75" thickBot="1" x14ac:dyDescent="0.3">
      <c r="A12" s="53" t="s">
        <v>24</v>
      </c>
      <c r="B12" s="50" t="s">
        <v>4</v>
      </c>
      <c r="C12" s="50" t="s">
        <v>5</v>
      </c>
      <c r="D12" s="50" t="s">
        <v>6</v>
      </c>
      <c r="E12" s="50" t="s">
        <v>7</v>
      </c>
      <c r="F12" s="50" t="s">
        <v>8</v>
      </c>
    </row>
    <row r="13" spans="1:6" x14ac:dyDescent="0.25">
      <c r="A13" s="55" t="s">
        <v>21</v>
      </c>
      <c r="B13" s="152">
        <v>0.38400000000000001</v>
      </c>
      <c r="C13" s="152">
        <v>0.22459999999999999</v>
      </c>
      <c r="D13" s="152">
        <v>0.1636</v>
      </c>
      <c r="E13" s="152">
        <v>0.128</v>
      </c>
      <c r="F13" s="152">
        <v>9.98E-2</v>
      </c>
    </row>
    <row r="15" spans="1:6" ht="15.75" thickBot="1" x14ac:dyDescent="0.3">
      <c r="A15" s="53" t="s">
        <v>31</v>
      </c>
      <c r="B15" s="50" t="s">
        <v>4</v>
      </c>
      <c r="C15" s="50" t="s">
        <v>5</v>
      </c>
      <c r="D15" s="50" t="s">
        <v>6</v>
      </c>
      <c r="E15" s="50" t="s">
        <v>7</v>
      </c>
      <c r="F15" s="50" t="s">
        <v>8</v>
      </c>
    </row>
    <row r="16" spans="1:6" x14ac:dyDescent="0.25">
      <c r="A16" s="54" t="s">
        <v>33</v>
      </c>
      <c r="B16" s="14">
        <v>138507</v>
      </c>
      <c r="C16" s="14">
        <v>315575.33333333331</v>
      </c>
      <c r="D16" s="14">
        <v>269577.66666666669</v>
      </c>
      <c r="E16" s="14">
        <v>337387.33333333331</v>
      </c>
      <c r="F16" s="14">
        <v>78412</v>
      </c>
    </row>
    <row r="17" spans="1:6" x14ac:dyDescent="0.25">
      <c r="A17" s="55" t="s">
        <v>21</v>
      </c>
      <c r="B17" s="75">
        <f>B16/SUM($B$16:$F$16)</f>
        <v>0.12155501819868957</v>
      </c>
      <c r="C17" s="75">
        <f>C16/SUM($B$16:$F$16)</f>
        <v>0.27695181749941056</v>
      </c>
      <c r="D17" s="75">
        <f>D16/SUM($B$16:$F$16)</f>
        <v>0.23658384181035572</v>
      </c>
      <c r="E17" s="75">
        <f>E16/SUM($B$16:$F$16)</f>
        <v>0.296094229485446</v>
      </c>
      <c r="F17" s="75">
        <f>F16/SUM($B$16:$F$16)</f>
        <v>6.8815093006098213E-2</v>
      </c>
    </row>
    <row r="18" spans="1:6" x14ac:dyDescent="0.25">
      <c r="F18" s="150"/>
    </row>
    <row r="19" spans="1:6" ht="15.75" thickBot="1" x14ac:dyDescent="0.3">
      <c r="A19" s="53" t="s">
        <v>35</v>
      </c>
      <c r="B19" s="50" t="s">
        <v>4</v>
      </c>
      <c r="C19" s="50" t="s">
        <v>5</v>
      </c>
      <c r="D19" s="50" t="s">
        <v>6</v>
      </c>
      <c r="E19" s="50" t="s">
        <v>7</v>
      </c>
      <c r="F19" s="50" t="s">
        <v>8</v>
      </c>
    </row>
    <row r="20" spans="1:6" x14ac:dyDescent="0.25">
      <c r="A20" s="54" t="s">
        <v>33</v>
      </c>
      <c r="B20" s="14">
        <v>17392.666666666668</v>
      </c>
      <c r="C20" s="14">
        <v>31747</v>
      </c>
      <c r="D20" s="14">
        <v>71561.666666666672</v>
      </c>
      <c r="E20" s="14">
        <v>43620.666666666664</v>
      </c>
      <c r="F20" s="14">
        <v>62396.333333333336</v>
      </c>
    </row>
    <row r="21" spans="1:6" x14ac:dyDescent="0.25">
      <c r="A21" s="55" t="s">
        <v>21</v>
      </c>
      <c r="B21" s="75">
        <f>B20/SUM($B$20:$F$20)</f>
        <v>7.671486646426183E-2</v>
      </c>
      <c r="C21" s="75">
        <f t="shared" ref="C21:F21" si="0">C20/SUM($B$20:$F$20)</f>
        <v>0.14002837588490857</v>
      </c>
      <c r="D21" s="75">
        <f t="shared" si="0"/>
        <v>0.31564128764766858</v>
      </c>
      <c r="E21" s="75">
        <f t="shared" si="0"/>
        <v>0.19240026170505251</v>
      </c>
      <c r="F21" s="75">
        <f t="shared" si="0"/>
        <v>0.27521520829810853</v>
      </c>
    </row>
  </sheetData>
  <mergeCells count="1">
    <mergeCell ref="A2:D2"/>
  </mergeCells>
  <hyperlinks>
    <hyperlink ref="A1" location="Introduksjon!A1" display="Tilbake til introduksjon" xr:uid="{CF0B876C-281B-4D9C-B681-A5CA7992818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B2B04-2C42-4FD8-A4C1-6A5E492D1B61}">
  <sheetPr>
    <tabColor theme="4"/>
  </sheetPr>
  <dimension ref="A1:A10"/>
  <sheetViews>
    <sheetView workbookViewId="0"/>
  </sheetViews>
  <sheetFormatPr baseColWidth="10" defaultColWidth="11.42578125" defaultRowHeight="15" x14ac:dyDescent="0.25"/>
  <sheetData>
    <row r="1" spans="1:1" x14ac:dyDescent="0.25">
      <c r="A1" s="1" t="s">
        <v>38</v>
      </c>
    </row>
    <row r="2" spans="1:1" x14ac:dyDescent="0.25">
      <c r="A2" s="1">
        <v>-0.5</v>
      </c>
    </row>
    <row r="3" spans="1:1" x14ac:dyDescent="0.25">
      <c r="A3" s="1">
        <v>-0.2</v>
      </c>
    </row>
    <row r="4" spans="1:1" x14ac:dyDescent="0.25">
      <c r="A4" s="1">
        <v>-0.1</v>
      </c>
    </row>
    <row r="5" spans="1:1" x14ac:dyDescent="0.25">
      <c r="A5" s="1">
        <v>-0.05</v>
      </c>
    </row>
    <row r="6" spans="1:1" x14ac:dyDescent="0.25">
      <c r="A6" s="1">
        <v>0</v>
      </c>
    </row>
    <row r="7" spans="1:1" x14ac:dyDescent="0.25">
      <c r="A7" s="1">
        <v>0.05</v>
      </c>
    </row>
    <row r="8" spans="1:1" x14ac:dyDescent="0.25">
      <c r="A8" s="1">
        <v>0.1</v>
      </c>
    </row>
    <row r="9" spans="1:1" x14ac:dyDescent="0.25">
      <c r="A9" s="1">
        <v>0.2</v>
      </c>
    </row>
    <row r="10" spans="1:1" x14ac:dyDescent="0.25">
      <c r="A10" s="1">
        <v>0.5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BC1-7B47-4038-8D3D-2636CE2F9402}">
  <sheetPr>
    <tabColor theme="9"/>
  </sheetPr>
  <dimension ref="A1:U90"/>
  <sheetViews>
    <sheetView workbookViewId="0">
      <selection activeCell="B70" sqref="B70"/>
    </sheetView>
  </sheetViews>
  <sheetFormatPr baseColWidth="10" defaultColWidth="11.42578125" defaultRowHeight="15" x14ac:dyDescent="0.25"/>
  <cols>
    <col min="1" max="1" width="21.85546875" style="9" bestFit="1" customWidth="1"/>
    <col min="2" max="2" width="14.28515625" style="9" bestFit="1" customWidth="1"/>
    <col min="3" max="3" width="13.7109375" style="9" bestFit="1" customWidth="1"/>
    <col min="4" max="4" width="27.85546875" style="9" bestFit="1" customWidth="1"/>
    <col min="5" max="5" width="12.28515625" style="9" bestFit="1" customWidth="1"/>
    <col min="6" max="6" width="11.42578125" style="9"/>
    <col min="7" max="7" width="18.42578125" style="9" bestFit="1" customWidth="1"/>
    <col min="8" max="9" width="11.42578125" style="9"/>
    <col min="10" max="10" width="11.7109375" style="9" bestFit="1" customWidth="1"/>
    <col min="11" max="11" width="12.140625" style="9" bestFit="1" customWidth="1"/>
    <col min="12" max="12" width="11.42578125" style="9"/>
    <col min="13" max="13" width="12" style="9" bestFit="1" customWidth="1"/>
    <col min="14" max="14" width="11.42578125" style="9"/>
    <col min="15" max="15" width="19.85546875" style="9" customWidth="1"/>
    <col min="16" max="16" width="11.42578125" style="9"/>
    <col min="17" max="17" width="15.28515625" style="9" bestFit="1" customWidth="1"/>
    <col min="18" max="18" width="11.7109375" style="9" bestFit="1" customWidth="1"/>
    <col min="19" max="19" width="12.5703125" style="9" customWidth="1"/>
    <col min="20" max="20" width="11.7109375" style="9" customWidth="1"/>
    <col min="21" max="21" width="12.42578125" style="9" customWidth="1"/>
    <col min="22" max="16384" width="11.42578125" style="9"/>
  </cols>
  <sheetData>
    <row r="1" spans="1:21" x14ac:dyDescent="0.25">
      <c r="A1" s="45" t="s">
        <v>170</v>
      </c>
    </row>
    <row r="2" spans="1:21" ht="18.75" x14ac:dyDescent="0.3">
      <c r="A2" s="175" t="s">
        <v>136</v>
      </c>
      <c r="B2" s="176"/>
      <c r="C2" s="176"/>
      <c r="D2" s="177"/>
      <c r="G2" s="21" t="s">
        <v>88</v>
      </c>
      <c r="H2" s="23"/>
      <c r="I2" s="22">
        <v>16000</v>
      </c>
      <c r="O2" s="7" t="s">
        <v>133</v>
      </c>
      <c r="P2" s="24">
        <v>0.25</v>
      </c>
      <c r="Q2" s="7" t="s">
        <v>206</v>
      </c>
      <c r="R2" s="3">
        <v>15.84</v>
      </c>
      <c r="S2" s="4" t="s">
        <v>134</v>
      </c>
    </row>
    <row r="3" spans="1:21" x14ac:dyDescent="0.25">
      <c r="A3" s="16"/>
      <c r="B3" s="16"/>
    </row>
    <row r="4" spans="1:21" ht="15.75" thickBot="1" x14ac:dyDescent="0.3">
      <c r="A4" s="53" t="s">
        <v>4</v>
      </c>
      <c r="B4" s="50" t="s">
        <v>211</v>
      </c>
      <c r="C4" s="50" t="s">
        <v>89</v>
      </c>
      <c r="D4" s="50" t="s">
        <v>132</v>
      </c>
      <c r="E4" s="50" t="s">
        <v>205</v>
      </c>
      <c r="G4" s="99"/>
      <c r="H4" s="179" t="s">
        <v>207</v>
      </c>
      <c r="I4" s="179"/>
      <c r="J4" s="179"/>
      <c r="K4" s="179"/>
      <c r="L4" s="179"/>
      <c r="M4" s="179"/>
      <c r="O4" s="99"/>
      <c r="P4" s="180" t="s">
        <v>208</v>
      </c>
      <c r="Q4" s="181"/>
      <c r="R4" s="181"/>
      <c r="S4" s="181"/>
      <c r="T4" s="181"/>
      <c r="U4" s="181"/>
    </row>
    <row r="5" spans="1:21" ht="15.75" thickBot="1" x14ac:dyDescent="0.3">
      <c r="A5" s="100">
        <v>2022</v>
      </c>
      <c r="B5" s="16"/>
      <c r="C5" s="34">
        <v>26193588</v>
      </c>
      <c r="D5" s="16"/>
      <c r="E5" s="16"/>
      <c r="G5" s="59"/>
      <c r="H5" s="50" t="s">
        <v>4</v>
      </c>
      <c r="I5" s="50" t="s">
        <v>5</v>
      </c>
      <c r="J5" s="50" t="s">
        <v>6</v>
      </c>
      <c r="K5" s="50" t="s">
        <v>7</v>
      </c>
      <c r="L5" s="50" t="s">
        <v>8</v>
      </c>
      <c r="M5" s="50" t="s">
        <v>61</v>
      </c>
      <c r="O5" s="59"/>
      <c r="P5" s="28" t="s">
        <v>4</v>
      </c>
      <c r="Q5" s="28" t="s">
        <v>5</v>
      </c>
      <c r="R5" s="28" t="s">
        <v>6</v>
      </c>
      <c r="S5" s="28" t="s">
        <v>7</v>
      </c>
      <c r="T5" s="28" t="s">
        <v>8</v>
      </c>
      <c r="U5" s="28" t="s">
        <v>61</v>
      </c>
    </row>
    <row r="6" spans="1:21" x14ac:dyDescent="0.25">
      <c r="A6" s="103">
        <v>2023</v>
      </c>
      <c r="B6" s="64">
        <f>'TI 2024-2030'!H6</f>
        <v>8062245.0807356648</v>
      </c>
      <c r="C6" s="64">
        <f>C5*(1+'Forbruk MWh'!M7)</f>
        <v>26465389.495988518</v>
      </c>
      <c r="D6" s="56">
        <f>B6/C6*100</f>
        <v>30.463353210644023</v>
      </c>
      <c r="E6" s="56"/>
      <c r="G6" s="100">
        <v>2024</v>
      </c>
      <c r="H6" s="14">
        <f>(D7*$I$2)/100</f>
        <v>5380.1309035493596</v>
      </c>
      <c r="I6" s="14">
        <f t="shared" ref="I6:I12" si="0">(D20*$I$2)/100</f>
        <v>6350.5160305299105</v>
      </c>
      <c r="J6" s="14">
        <f t="shared" ref="J6:J12" si="1">(D33*$I$2)/100</f>
        <v>6154.9551950194218</v>
      </c>
      <c r="K6" s="14">
        <f t="shared" ref="K6:K12" si="2">(D46*$I$2)/100</f>
        <v>7022.7019953423251</v>
      </c>
      <c r="L6" s="14">
        <f t="shared" ref="L6:L12" si="3">(D59*$I$2)/100</f>
        <v>6453.8486698347378</v>
      </c>
      <c r="M6" s="14">
        <f t="shared" ref="M6:M11" si="4">ROUND((D73*$I$2)/100,-1)</f>
        <v>6070</v>
      </c>
      <c r="O6" s="100">
        <v>2024</v>
      </c>
      <c r="P6" s="60">
        <f>(D7+$R$2)*(1+$P$2)</f>
        <v>61.832272683979369</v>
      </c>
      <c r="Q6" s="60">
        <f>(D20+$R$2)*(1+$P$2)</f>
        <v>69.413406488514937</v>
      </c>
      <c r="R6" s="60">
        <f>(D33+$R$2)*(1+$P$2)</f>
        <v>67.885587461089244</v>
      </c>
      <c r="S6" s="60">
        <f>D46</f>
        <v>43.891887470889529</v>
      </c>
      <c r="T6" s="60">
        <f>(D59+$R$2)*(1+$P$2)</f>
        <v>70.220692733083894</v>
      </c>
      <c r="U6" s="60">
        <f>(D73+$R$2)*(1+$P$2)</f>
        <v>67.210457020356813</v>
      </c>
    </row>
    <row r="7" spans="1:21" x14ac:dyDescent="0.25">
      <c r="A7" s="100">
        <v>2024</v>
      </c>
      <c r="B7" s="34">
        <f>'TI 2024-2030'!H7</f>
        <v>9082939.971412722</v>
      </c>
      <c r="C7" s="34">
        <f>C6*(1+'Forbruk MWh'!M8)</f>
        <v>27011803.643426027</v>
      </c>
      <c r="D7" s="47">
        <f t="shared" ref="D7:D12" si="5">B7/C7*100</f>
        <v>33.625818147183494</v>
      </c>
      <c r="E7" s="47">
        <f t="shared" ref="E7:E13" si="6">(D7/$D$7)-1</f>
        <v>0</v>
      </c>
      <c r="F7" s="17"/>
      <c r="G7" s="103">
        <v>2025</v>
      </c>
      <c r="H7" s="62">
        <f t="shared" ref="H7:H12" si="7">(D8*$I$2)/100</f>
        <v>5208.4513036621811</v>
      </c>
      <c r="I7" s="62">
        <f t="shared" si="0"/>
        <v>6167.2336342688277</v>
      </c>
      <c r="J7" s="62">
        <f t="shared" si="1"/>
        <v>5905.3359797330386</v>
      </c>
      <c r="K7" s="62">
        <f t="shared" si="2"/>
        <v>6871.0029712070746</v>
      </c>
      <c r="L7" s="62">
        <f t="shared" si="3"/>
        <v>6342.312632219935</v>
      </c>
      <c r="M7" s="62">
        <f>ROUND((D74*$I$2)/100,-1)</f>
        <v>5890</v>
      </c>
      <c r="O7" s="103">
        <v>2025</v>
      </c>
      <c r="P7" s="65">
        <f t="shared" ref="P7:P12" si="8">(D8+$R$2)*(1+$P$2)</f>
        <v>60.491025809860787</v>
      </c>
      <c r="Q7" s="65">
        <f t="shared" ref="Q7:Q12" si="9">(D21+$R$2)*(1+$P$2)</f>
        <v>67.981512767725221</v>
      </c>
      <c r="R7" s="65">
        <f t="shared" ref="R7:R12" si="10">(D34+$R$2)*(1+$P$2)</f>
        <v>65.935437341664368</v>
      </c>
      <c r="S7" s="65">
        <f t="shared" ref="S7:S12" si="11">D47</f>
        <v>42.943768570044213</v>
      </c>
      <c r="T7" s="65">
        <f t="shared" ref="T7:T12" si="12">(D60+$R$2)*(1+$P$2)</f>
        <v>69.34931743921824</v>
      </c>
      <c r="U7" s="65">
        <f t="shared" ref="U7:U12" si="13">(D74+$R$2)*(1+$P$2)</f>
        <v>65.80848357001031</v>
      </c>
    </row>
    <row r="8" spans="1:21" x14ac:dyDescent="0.25">
      <c r="A8" s="103">
        <v>2025</v>
      </c>
      <c r="B8" s="64">
        <f>'TI 2024-2030'!H8</f>
        <v>8997513.1932008266</v>
      </c>
      <c r="C8" s="64">
        <f>C7*(1+'Forbruk MWh'!M9)</f>
        <v>27639734.481148265</v>
      </c>
      <c r="D8" s="56">
        <f t="shared" si="5"/>
        <v>32.55282064788863</v>
      </c>
      <c r="E8" s="136">
        <f t="shared" si="6"/>
        <v>-3.1909929881802412E-2</v>
      </c>
      <c r="F8" s="17"/>
      <c r="G8" s="100">
        <v>2026</v>
      </c>
      <c r="H8" s="14">
        <f t="shared" si="7"/>
        <v>5548.7159230917541</v>
      </c>
      <c r="I8" s="14">
        <f t="shared" si="0"/>
        <v>6475.4972892586693</v>
      </c>
      <c r="J8" s="14">
        <f t="shared" si="1"/>
        <v>6319.9165130815563</v>
      </c>
      <c r="K8" s="14">
        <f t="shared" si="2"/>
        <v>7302.5809667388467</v>
      </c>
      <c r="L8" s="14">
        <f t="shared" si="3"/>
        <v>6611.8626096351245</v>
      </c>
      <c r="M8" s="14">
        <f t="shared" si="4"/>
        <v>6240</v>
      </c>
      <c r="O8" s="100">
        <v>2026</v>
      </c>
      <c r="P8" s="60">
        <f t="shared" si="8"/>
        <v>63.149343149154333</v>
      </c>
      <c r="Q8" s="60">
        <f t="shared" si="9"/>
        <v>70.389822572333358</v>
      </c>
      <c r="R8" s="60">
        <f t="shared" si="10"/>
        <v>69.174347758449656</v>
      </c>
      <c r="S8" s="60">
        <f t="shared" si="11"/>
        <v>45.641131042117792</v>
      </c>
      <c r="T8" s="60">
        <f t="shared" si="12"/>
        <v>71.455176637774414</v>
      </c>
      <c r="U8" s="60">
        <f t="shared" si="13"/>
        <v>68.538611704880154</v>
      </c>
    </row>
    <row r="9" spans="1:21" x14ac:dyDescent="0.25">
      <c r="A9" s="100">
        <v>2026</v>
      </c>
      <c r="B9" s="34">
        <f>'TI 2024-2030'!H9</f>
        <v>9627969.4023154899</v>
      </c>
      <c r="C9" s="34">
        <f>C8*(1+'Forbruk MWh'!M10)</f>
        <v>27762731.517026786</v>
      </c>
      <c r="D9" s="47">
        <f t="shared" si="5"/>
        <v>34.679474519323463</v>
      </c>
      <c r="E9" s="124">
        <f t="shared" si="6"/>
        <v>3.1334743069388216E-2</v>
      </c>
      <c r="F9" s="17"/>
      <c r="G9" s="103">
        <v>2027</v>
      </c>
      <c r="H9" s="62">
        <f t="shared" si="7"/>
        <v>5950.2338600486682</v>
      </c>
      <c r="I9" s="62">
        <f t="shared" si="0"/>
        <v>6831.7201432765332</v>
      </c>
      <c r="J9" s="62">
        <f t="shared" si="1"/>
        <v>6728.1536715959055</v>
      </c>
      <c r="K9" s="62">
        <f t="shared" si="2"/>
        <v>7702.5919536016263</v>
      </c>
      <c r="L9" s="62">
        <f t="shared" si="3"/>
        <v>6941.9301868926214</v>
      </c>
      <c r="M9" s="62">
        <f t="shared" si="4"/>
        <v>6620</v>
      </c>
      <c r="O9" s="103">
        <v>2027</v>
      </c>
      <c r="P9" s="65">
        <f t="shared" si="8"/>
        <v>66.286202031630225</v>
      </c>
      <c r="Q9" s="65">
        <f t="shared" si="9"/>
        <v>73.172813619347906</v>
      </c>
      <c r="R9" s="65">
        <f t="shared" si="10"/>
        <v>72.363700559343016</v>
      </c>
      <c r="S9" s="65">
        <f t="shared" si="11"/>
        <v>48.141199710010163</v>
      </c>
      <c r="T9" s="65">
        <f t="shared" si="12"/>
        <v>74.033829585098601</v>
      </c>
      <c r="U9" s="65">
        <f t="shared" si="13"/>
        <v>71.539528751450234</v>
      </c>
    </row>
    <row r="10" spans="1:21" x14ac:dyDescent="0.25">
      <c r="A10" s="103">
        <v>2027</v>
      </c>
      <c r="B10" s="64">
        <f>'TI 2024-2030'!H10</f>
        <v>10383396.121130774</v>
      </c>
      <c r="C10" s="64">
        <f>C9*(1+'Forbruk MWh'!M11)</f>
        <v>27920640.06989022</v>
      </c>
      <c r="D10" s="56">
        <f t="shared" si="5"/>
        <v>37.188961625304174</v>
      </c>
      <c r="E10" s="136">
        <f t="shared" si="6"/>
        <v>0.1059645140089811</v>
      </c>
      <c r="F10" s="17"/>
      <c r="G10" s="100">
        <v>2028</v>
      </c>
      <c r="H10" s="14">
        <f t="shared" si="7"/>
        <v>6438.3509121902207</v>
      </c>
      <c r="I10" s="14">
        <f t="shared" si="0"/>
        <v>7267.9532064867044</v>
      </c>
      <c r="J10" s="14">
        <f t="shared" si="1"/>
        <v>7327.3830422632036</v>
      </c>
      <c r="K10" s="14">
        <f t="shared" si="2"/>
        <v>8284.7428993960966</v>
      </c>
      <c r="L10" s="14">
        <f t="shared" si="3"/>
        <v>7366.8500178999584</v>
      </c>
      <c r="M10" s="14">
        <f t="shared" si="4"/>
        <v>7120</v>
      </c>
      <c r="O10" s="100">
        <v>2028</v>
      </c>
      <c r="P10" s="60">
        <f t="shared" si="8"/>
        <v>70.099616501486096</v>
      </c>
      <c r="Q10" s="60">
        <f t="shared" si="9"/>
        <v>76.580884425677382</v>
      </c>
      <c r="R10" s="60">
        <f t="shared" si="10"/>
        <v>77.045180017681275</v>
      </c>
      <c r="S10" s="60">
        <f t="shared" si="11"/>
        <v>51.779643121225604</v>
      </c>
      <c r="T10" s="60">
        <f t="shared" si="12"/>
        <v>77.353515764843422</v>
      </c>
      <c r="U10" s="60">
        <f t="shared" si="13"/>
        <v>75.441838515212055</v>
      </c>
    </row>
    <row r="11" spans="1:21" x14ac:dyDescent="0.25">
      <c r="A11" s="100">
        <v>2028</v>
      </c>
      <c r="B11" s="34">
        <f>'TI 2024-2030'!H11</f>
        <v>11312770.108469395</v>
      </c>
      <c r="C11" s="34">
        <f>C10*(1+'Forbruk MWh'!M12)</f>
        <v>28113460.139738742</v>
      </c>
      <c r="D11" s="47">
        <f t="shared" si="5"/>
        <v>40.239693201188878</v>
      </c>
      <c r="E11" s="124">
        <f t="shared" si="6"/>
        <v>0.19669038311739517</v>
      </c>
      <c r="F11" s="17"/>
      <c r="G11" s="103">
        <v>2029</v>
      </c>
      <c r="H11" s="62">
        <f t="shared" si="7"/>
        <v>6676.5037805615239</v>
      </c>
      <c r="I11" s="62">
        <f t="shared" si="0"/>
        <v>7469.3663515715089</v>
      </c>
      <c r="J11" s="62">
        <f t="shared" si="1"/>
        <v>7716.2927386492793</v>
      </c>
      <c r="K11" s="62">
        <f t="shared" si="2"/>
        <v>8552.1775665264358</v>
      </c>
      <c r="L11" s="62">
        <f t="shared" si="3"/>
        <v>7563.0796160184636</v>
      </c>
      <c r="M11" s="62">
        <f t="shared" si="4"/>
        <v>7380</v>
      </c>
      <c r="O11" s="103">
        <v>2029</v>
      </c>
      <c r="P11" s="65">
        <f t="shared" si="8"/>
        <v>71.960185785636895</v>
      </c>
      <c r="Q11" s="65">
        <f t="shared" si="9"/>
        <v>78.154424621652424</v>
      </c>
      <c r="R11" s="65">
        <f t="shared" si="10"/>
        <v>80.083537020697491</v>
      </c>
      <c r="S11" s="65">
        <f t="shared" si="11"/>
        <v>53.45110979079022</v>
      </c>
      <c r="T11" s="65">
        <f t="shared" si="12"/>
        <v>78.886559500144244</v>
      </c>
      <c r="U11" s="65">
        <f t="shared" si="13"/>
        <v>77.424311305783078</v>
      </c>
    </row>
    <row r="12" spans="1:21" ht="15.75" thickBot="1" x14ac:dyDescent="0.3">
      <c r="A12" s="103">
        <v>2029</v>
      </c>
      <c r="B12" s="64">
        <f>'TI 2024-2030'!H12</f>
        <v>11802585.664301924</v>
      </c>
      <c r="C12" s="64">
        <f>C11*(1+'Forbruk MWh'!M13)</f>
        <v>28284469.961454641</v>
      </c>
      <c r="D12" s="56">
        <f t="shared" si="5"/>
        <v>41.728148628509523</v>
      </c>
      <c r="E12" s="136">
        <f t="shared" si="6"/>
        <v>0.24095563848770407</v>
      </c>
      <c r="F12" s="17"/>
      <c r="G12" s="63">
        <v>2030</v>
      </c>
      <c r="H12" s="58">
        <f t="shared" si="7"/>
        <v>6738.3900951516607</v>
      </c>
      <c r="I12" s="58">
        <f t="shared" si="0"/>
        <v>7548.7867646546601</v>
      </c>
      <c r="J12" s="58">
        <f t="shared" si="1"/>
        <v>7949.5053689472807</v>
      </c>
      <c r="K12" s="58">
        <f t="shared" si="2"/>
        <v>8679.3071609776471</v>
      </c>
      <c r="L12" s="58">
        <f t="shared" si="3"/>
        <v>7634.3030837565138</v>
      </c>
      <c r="M12" s="58">
        <f>ROUND((D79*$I$2)/100,-1)</f>
        <v>7480</v>
      </c>
      <c r="O12" s="63">
        <v>2030</v>
      </c>
      <c r="P12" s="66">
        <f t="shared" si="8"/>
        <v>72.443672618372347</v>
      </c>
      <c r="Q12" s="66">
        <f t="shared" si="9"/>
        <v>78.77489659886453</v>
      </c>
      <c r="R12" s="66">
        <f t="shared" si="10"/>
        <v>81.905510694900627</v>
      </c>
      <c r="S12" s="66">
        <f t="shared" si="11"/>
        <v>54.245669756110303</v>
      </c>
      <c r="T12" s="66">
        <f t="shared" si="12"/>
        <v>79.442992841847769</v>
      </c>
      <c r="U12" s="66">
        <f t="shared" si="13"/>
        <v>78.23825265455622</v>
      </c>
    </row>
    <row r="13" spans="1:21" ht="15.75" thickBot="1" x14ac:dyDescent="0.3">
      <c r="A13" s="63">
        <v>2030</v>
      </c>
      <c r="B13" s="51">
        <f>'TI 2024-2030'!H13</f>
        <v>11984007.695231538</v>
      </c>
      <c r="C13" s="51">
        <f>C12*(1+'Forbruk MWh'!M14)</f>
        <v>28455479.783170532</v>
      </c>
      <c r="D13" s="52">
        <f>B13/C13*100</f>
        <v>42.114938094697877</v>
      </c>
      <c r="E13" s="168">
        <f t="shared" si="6"/>
        <v>0.25245839106000845</v>
      </c>
      <c r="F13" s="17"/>
      <c r="G13" s="54" t="s">
        <v>72</v>
      </c>
      <c r="H13" s="57">
        <f t="shared" ref="H13:L13" si="14">(H12-H6)</f>
        <v>1358.2591916023011</v>
      </c>
      <c r="I13" s="57">
        <f t="shared" si="14"/>
        <v>1198.2707341247497</v>
      </c>
      <c r="J13" s="57">
        <f t="shared" si="14"/>
        <v>1794.5501739278589</v>
      </c>
      <c r="K13" s="57">
        <f t="shared" si="14"/>
        <v>1656.605165635322</v>
      </c>
      <c r="L13" s="57">
        <f t="shared" si="14"/>
        <v>1180.454413921776</v>
      </c>
      <c r="M13" s="57">
        <f>(M12-M6)</f>
        <v>1410</v>
      </c>
      <c r="P13" s="18"/>
      <c r="Q13" s="18"/>
      <c r="R13" s="18"/>
      <c r="S13" s="18"/>
      <c r="T13" s="18"/>
    </row>
    <row r="14" spans="1:21" ht="15.75" thickBot="1" x14ac:dyDescent="0.3">
      <c r="A14" s="54" t="s">
        <v>72</v>
      </c>
      <c r="B14" s="48">
        <f>(B13-B7)/B7</f>
        <v>0.31939743441545571</v>
      </c>
      <c r="C14" s="48">
        <f>(C13-C7)/C7</f>
        <v>5.344612151050708E-2</v>
      </c>
      <c r="D14" s="113">
        <f>(D13-D7)/D7</f>
        <v>0.25245839106000856</v>
      </c>
      <c r="E14" s="17"/>
      <c r="F14" s="17"/>
      <c r="O14" s="70"/>
      <c r="P14" s="178" t="s">
        <v>209</v>
      </c>
      <c r="Q14" s="179"/>
      <c r="R14" s="179"/>
      <c r="S14" s="179"/>
      <c r="T14" s="179"/>
      <c r="U14" s="179"/>
    </row>
    <row r="15" spans="1:21" ht="15.75" thickBot="1" x14ac:dyDescent="0.3">
      <c r="G15" s="14"/>
      <c r="O15" s="59"/>
      <c r="P15" s="50" t="s">
        <v>4</v>
      </c>
      <c r="Q15" s="50" t="s">
        <v>5</v>
      </c>
      <c r="R15" s="50" t="s">
        <v>6</v>
      </c>
      <c r="S15" s="50" t="s">
        <v>7</v>
      </c>
      <c r="T15" s="50" t="s">
        <v>8</v>
      </c>
      <c r="U15" s="50" t="s">
        <v>61</v>
      </c>
    </row>
    <row r="16" spans="1:21" x14ac:dyDescent="0.25">
      <c r="A16" s="16"/>
      <c r="B16" s="16"/>
      <c r="O16" s="100">
        <v>2024</v>
      </c>
      <c r="P16" s="37">
        <f t="shared" ref="P16:U22" si="15">(P6*$I$2)/100</f>
        <v>9893.1636294366981</v>
      </c>
      <c r="Q16" s="37">
        <f t="shared" si="15"/>
        <v>11106.145038162391</v>
      </c>
      <c r="R16" s="37">
        <f t="shared" si="15"/>
        <v>10861.693993774279</v>
      </c>
      <c r="S16" s="37">
        <f t="shared" si="15"/>
        <v>7022.7019953423251</v>
      </c>
      <c r="T16" s="37">
        <f t="shared" si="15"/>
        <v>11235.310837293424</v>
      </c>
      <c r="U16" s="37">
        <f t="shared" si="15"/>
        <v>10753.673123257091</v>
      </c>
    </row>
    <row r="17" spans="1:21" ht="15.75" thickBot="1" x14ac:dyDescent="0.3">
      <c r="A17" s="53" t="s">
        <v>5</v>
      </c>
      <c r="B17" s="50" t="s">
        <v>211</v>
      </c>
      <c r="C17" s="50" t="s">
        <v>89</v>
      </c>
      <c r="D17" s="50" t="s">
        <v>132</v>
      </c>
      <c r="E17" s="50" t="s">
        <v>205</v>
      </c>
      <c r="O17" s="103">
        <v>2025</v>
      </c>
      <c r="P17" s="171">
        <f t="shared" si="15"/>
        <v>9678.5641295777259</v>
      </c>
      <c r="Q17" s="171">
        <f t="shared" si="15"/>
        <v>10877.042042836034</v>
      </c>
      <c r="R17" s="171">
        <f t="shared" si="15"/>
        <v>10549.669974666298</v>
      </c>
      <c r="S17" s="171">
        <f t="shared" si="15"/>
        <v>6871.0029712070746</v>
      </c>
      <c r="T17" s="171">
        <f t="shared" si="15"/>
        <v>11095.890790274918</v>
      </c>
      <c r="U17" s="171">
        <f t="shared" si="15"/>
        <v>10529.35737120165</v>
      </c>
    </row>
    <row r="18" spans="1:21" x14ac:dyDescent="0.25">
      <c r="A18" s="100">
        <v>2022</v>
      </c>
      <c r="B18" s="16"/>
      <c r="C18" s="34">
        <v>18634384</v>
      </c>
      <c r="D18" s="16"/>
      <c r="E18" s="16"/>
      <c r="O18" s="100">
        <v>2026</v>
      </c>
      <c r="P18" s="37">
        <f t="shared" si="15"/>
        <v>10103.894903864693</v>
      </c>
      <c r="Q18" s="37">
        <f t="shared" si="15"/>
        <v>11262.371611573337</v>
      </c>
      <c r="R18" s="37">
        <f t="shared" si="15"/>
        <v>11067.895641351945</v>
      </c>
      <c r="S18" s="37">
        <f t="shared" si="15"/>
        <v>7302.5809667388467</v>
      </c>
      <c r="T18" s="37">
        <f t="shared" si="15"/>
        <v>11432.828262043908</v>
      </c>
      <c r="U18" s="37">
        <f t="shared" si="15"/>
        <v>10966.177872780825</v>
      </c>
    </row>
    <row r="19" spans="1:21" x14ac:dyDescent="0.25">
      <c r="A19" s="103">
        <v>2023</v>
      </c>
      <c r="B19" s="64">
        <f>'TI 2024-2030'!H19</f>
        <v>7084059.036693234</v>
      </c>
      <c r="C19" s="64">
        <f>C18*(1+'Forbruk MWh'!M20)</f>
        <v>18824480.062412929</v>
      </c>
      <c r="D19" s="56">
        <f t="shared" ref="D19:D26" si="16">B19/C19*100</f>
        <v>37.632163083420622</v>
      </c>
      <c r="E19" s="56"/>
      <c r="O19" s="103">
        <v>2027</v>
      </c>
      <c r="P19" s="171">
        <f t="shared" si="15"/>
        <v>10605.792325060836</v>
      </c>
      <c r="Q19" s="171">
        <f t="shared" si="15"/>
        <v>11707.650179095664</v>
      </c>
      <c r="R19" s="171">
        <f t="shared" si="15"/>
        <v>11578.192089494883</v>
      </c>
      <c r="S19" s="171">
        <f t="shared" si="15"/>
        <v>7702.5919536016263</v>
      </c>
      <c r="T19" s="171">
        <f t="shared" si="15"/>
        <v>11845.412733615776</v>
      </c>
      <c r="U19" s="171">
        <f t="shared" si="15"/>
        <v>11446.324600232039</v>
      </c>
    </row>
    <row r="20" spans="1:21" x14ac:dyDescent="0.25">
      <c r="A20" s="100">
        <v>2024</v>
      </c>
      <c r="B20" s="34">
        <f>'TI 2024-2030'!H20</f>
        <v>7619390.8046607869</v>
      </c>
      <c r="C20" s="34">
        <f>C19*(1+'Forbruk MWh'!M21)</f>
        <v>19196904.989845358</v>
      </c>
      <c r="D20" s="47">
        <f t="shared" si="16"/>
        <v>39.690725190811946</v>
      </c>
      <c r="E20" s="47">
        <f>(D20/$D$20)-1</f>
        <v>0</v>
      </c>
      <c r="F20" s="17"/>
      <c r="O20" s="100">
        <v>2028</v>
      </c>
      <c r="P20" s="37">
        <f t="shared" si="15"/>
        <v>11215.938640237777</v>
      </c>
      <c r="Q20" s="37">
        <f t="shared" si="15"/>
        <v>12252.941508108383</v>
      </c>
      <c r="R20" s="37">
        <f t="shared" si="15"/>
        <v>12327.228802829002</v>
      </c>
      <c r="S20" s="37">
        <f t="shared" si="15"/>
        <v>8284.7428993960966</v>
      </c>
      <c r="T20" s="37">
        <f t="shared" si="15"/>
        <v>12376.562522374948</v>
      </c>
      <c r="U20" s="37">
        <f t="shared" si="15"/>
        <v>12070.694162433931</v>
      </c>
    </row>
    <row r="21" spans="1:21" x14ac:dyDescent="0.25">
      <c r="A21" s="103">
        <v>2025</v>
      </c>
      <c r="B21" s="64">
        <f>'TI 2024-2030'!H21</f>
        <v>7563952.0336461058</v>
      </c>
      <c r="C21" s="64">
        <f>C20*(1+'Forbruk MWh'!M22)</f>
        <v>19623584.854295198</v>
      </c>
      <c r="D21" s="56">
        <f t="shared" si="16"/>
        <v>38.545210214180173</v>
      </c>
      <c r="E21" s="136">
        <f t="shared" ref="E21:E26" si="17">(D21/$D$20)-1</f>
        <v>-2.8861024108900679E-2</v>
      </c>
      <c r="F21" s="17"/>
      <c r="O21" s="103">
        <v>2029</v>
      </c>
      <c r="P21" s="171">
        <f t="shared" si="15"/>
        <v>11513.629725701901</v>
      </c>
      <c r="Q21" s="171">
        <f t="shared" si="15"/>
        <v>12504.707939464388</v>
      </c>
      <c r="R21" s="171">
        <f t="shared" si="15"/>
        <v>12813.365923311598</v>
      </c>
      <c r="S21" s="171">
        <f t="shared" si="15"/>
        <v>8552.1775665264358</v>
      </c>
      <c r="T21" s="171">
        <f t="shared" si="15"/>
        <v>12621.849520023079</v>
      </c>
      <c r="U21" s="171">
        <f t="shared" si="15"/>
        <v>12387.889808925293</v>
      </c>
    </row>
    <row r="22" spans="1:21" ht="15.75" thickBot="1" x14ac:dyDescent="0.3">
      <c r="A22" s="100">
        <v>2026</v>
      </c>
      <c r="B22" s="34">
        <f>'TI 2024-2030'!H22</f>
        <v>7979086.0220295712</v>
      </c>
      <c r="C22" s="34">
        <f>C21*(1+'Forbruk MWh'!M23)</f>
        <v>19715146.289110497</v>
      </c>
      <c r="D22" s="47">
        <f t="shared" si="16"/>
        <v>40.471858057866683</v>
      </c>
      <c r="E22" s="124">
        <f t="shared" si="17"/>
        <v>1.968048866075045E-2</v>
      </c>
      <c r="F22" s="17"/>
      <c r="O22" s="63">
        <v>2030</v>
      </c>
      <c r="P22" s="51">
        <f t="shared" si="15"/>
        <v>11590.987618939576</v>
      </c>
      <c r="Q22" s="51">
        <f t="shared" si="15"/>
        <v>12603.983455818327</v>
      </c>
      <c r="R22" s="51">
        <f t="shared" si="15"/>
        <v>13104.8817111841</v>
      </c>
      <c r="S22" s="51">
        <f t="shared" si="15"/>
        <v>8679.3071609776471</v>
      </c>
      <c r="T22" s="51">
        <f t="shared" si="15"/>
        <v>12710.878854695642</v>
      </c>
      <c r="U22" s="51">
        <f t="shared" si="15"/>
        <v>12518.120424728993</v>
      </c>
    </row>
    <row r="23" spans="1:21" x14ac:dyDescent="0.25">
      <c r="A23" s="103">
        <v>2027</v>
      </c>
      <c r="B23" s="64">
        <f>'TI 2024-2030'!H23</f>
        <v>8467071.3467548154</v>
      </c>
      <c r="C23" s="64">
        <f>C22*(1+'Forbruk MWh'!M24)</f>
        <v>19830019.190906629</v>
      </c>
      <c r="D23" s="56">
        <f t="shared" si="16"/>
        <v>42.698250895478331</v>
      </c>
      <c r="E23" s="136">
        <f t="shared" si="17"/>
        <v>7.577401748664947E-2</v>
      </c>
      <c r="F23" s="17"/>
      <c r="O23" s="54" t="s">
        <v>72</v>
      </c>
      <c r="P23" s="172">
        <f t="shared" ref="P23:U23" si="18">P22-P16</f>
        <v>1697.8239895028782</v>
      </c>
      <c r="Q23" s="172">
        <f t="shared" si="18"/>
        <v>1497.8384176559357</v>
      </c>
      <c r="R23" s="172">
        <f t="shared" si="18"/>
        <v>2243.1877174098208</v>
      </c>
      <c r="S23" s="172">
        <f t="shared" si="18"/>
        <v>1656.605165635322</v>
      </c>
      <c r="T23" s="172">
        <f t="shared" si="18"/>
        <v>1475.5680174022182</v>
      </c>
      <c r="U23" s="172">
        <f t="shared" si="18"/>
        <v>1764.4473014719024</v>
      </c>
    </row>
    <row r="24" spans="1:21" x14ac:dyDescent="0.25">
      <c r="A24" s="100">
        <v>2028</v>
      </c>
      <c r="B24" s="34">
        <f>'TI 2024-2030'!H24</f>
        <v>9070498.0680863503</v>
      </c>
      <c r="C24" s="34">
        <f>C23*(1+'Forbruk MWh'!M25)</f>
        <v>19968203.559683595</v>
      </c>
      <c r="D24" s="47">
        <f t="shared" si="16"/>
        <v>45.424707540541903</v>
      </c>
      <c r="E24" s="124">
        <f t="shared" si="17"/>
        <v>0.14446655540215025</v>
      </c>
      <c r="F24" s="17"/>
    </row>
    <row r="25" spans="1:21" x14ac:dyDescent="0.25">
      <c r="A25" s="103">
        <v>2029</v>
      </c>
      <c r="B25" s="64">
        <f>'TI 2024-2030'!H25</f>
        <v>9377642.0093327761</v>
      </c>
      <c r="C25" s="64">
        <f>C24*(1+'Forbruk MWh'!M26)</f>
        <v>20087684.160485238</v>
      </c>
      <c r="D25" s="56">
        <f t="shared" si="16"/>
        <v>46.683539697321933</v>
      </c>
      <c r="E25" s="136">
        <f t="shared" si="17"/>
        <v>0.17618258353537875</v>
      </c>
      <c r="F25" s="17"/>
    </row>
    <row r="26" spans="1:21" ht="15.75" thickBot="1" x14ac:dyDescent="0.3">
      <c r="A26" s="63">
        <v>2030</v>
      </c>
      <c r="B26" s="51">
        <f>'TI 2024-2030'!H26</f>
        <v>9533723.6188249029</v>
      </c>
      <c r="C26" s="51">
        <f>C25*(1+'Forbruk MWh'!M27)</f>
        <v>20207164.761286881</v>
      </c>
      <c r="D26" s="52">
        <f t="shared" si="16"/>
        <v>47.179917279091626</v>
      </c>
      <c r="E26" s="168">
        <f t="shared" si="17"/>
        <v>0.18868871889529903</v>
      </c>
      <c r="F26" s="17"/>
    </row>
    <row r="27" spans="1:21" x14ac:dyDescent="0.25">
      <c r="A27" s="54" t="s">
        <v>72</v>
      </c>
      <c r="B27" s="48">
        <f>(B26-B20)/B20</f>
        <v>0.25124486500851451</v>
      </c>
      <c r="C27" s="48">
        <f>(C26-C20)/C20</f>
        <v>5.2626179687607091E-2</v>
      </c>
      <c r="D27" s="113">
        <f>(D26-D20)/D20</f>
        <v>0.18868871889529903</v>
      </c>
      <c r="E27" s="17"/>
      <c r="M27" s="19"/>
    </row>
    <row r="28" spans="1:21" x14ac:dyDescent="0.25">
      <c r="M28" s="19"/>
    </row>
    <row r="29" spans="1:21" x14ac:dyDescent="0.25">
      <c r="A29" s="16"/>
      <c r="B29" s="16"/>
      <c r="M29" s="19"/>
    </row>
    <row r="30" spans="1:21" ht="15.75" thickBot="1" x14ac:dyDescent="0.3">
      <c r="A30" s="53" t="s">
        <v>6</v>
      </c>
      <c r="B30" s="50" t="s">
        <v>211</v>
      </c>
      <c r="C30" s="50" t="s">
        <v>89</v>
      </c>
      <c r="D30" s="50" t="s">
        <v>132</v>
      </c>
      <c r="E30" s="50" t="s">
        <v>205</v>
      </c>
      <c r="M30" s="19"/>
    </row>
    <row r="31" spans="1:21" x14ac:dyDescent="0.25">
      <c r="A31" s="100">
        <v>2022</v>
      </c>
      <c r="B31" s="16"/>
      <c r="C31" s="34">
        <v>12363688</v>
      </c>
      <c r="D31" s="16"/>
      <c r="E31" s="16"/>
      <c r="M31" s="19"/>
    </row>
    <row r="32" spans="1:21" x14ac:dyDescent="0.25">
      <c r="A32" s="103">
        <v>2023</v>
      </c>
      <c r="B32" s="64">
        <f>'TI 2024-2030'!H32</f>
        <v>4221956.287373662</v>
      </c>
      <c r="C32" s="64">
        <f>C31*(1+'Forbruk MWh'!M33)</f>
        <v>12487604.888765289</v>
      </c>
      <c r="D32" s="56">
        <f t="shared" ref="D32:D39" si="19">B32/C32*100</f>
        <v>33.809175778551619</v>
      </c>
      <c r="E32" s="56"/>
      <c r="M32" s="19"/>
    </row>
    <row r="33" spans="1:6" x14ac:dyDescent="0.25">
      <c r="A33" s="100">
        <v>2024</v>
      </c>
      <c r="B33" s="34">
        <f>'TI 2024-2030'!H33</f>
        <v>4895082.0627102572</v>
      </c>
      <c r="C33" s="34">
        <f>C32*(1+'Forbruk MWh'!M34)</f>
        <v>12724920.088247202</v>
      </c>
      <c r="D33" s="47">
        <f t="shared" si="19"/>
        <v>38.468469968871389</v>
      </c>
      <c r="E33" s="47">
        <f>(D33/$D$33)-1</f>
        <v>0</v>
      </c>
      <c r="F33" s="17"/>
    </row>
    <row r="34" spans="1:6" x14ac:dyDescent="0.25">
      <c r="A34" s="103">
        <v>2025</v>
      </c>
      <c r="B34" s="64">
        <f>'TI 2024-2030'!H34</f>
        <v>4796601.328837757</v>
      </c>
      <c r="C34" s="64">
        <f>C33*(1+'Forbruk MWh'!M35)</f>
        <v>12995978.81048481</v>
      </c>
      <c r="D34" s="56">
        <f t="shared" si="19"/>
        <v>36.908349873331488</v>
      </c>
      <c r="E34" s="136">
        <f t="shared" ref="E34:E39" si="20">(D34/$D$33)-1</f>
        <v>-4.0555813548143416E-2</v>
      </c>
      <c r="F34" s="17"/>
    </row>
    <row r="35" spans="1:6" x14ac:dyDescent="0.25">
      <c r="A35" s="100">
        <v>2026</v>
      </c>
      <c r="B35" s="34">
        <f>'TI 2024-2030'!H35</f>
        <v>5158083.8762019612</v>
      </c>
      <c r="C35" s="34">
        <f>C34*(1+'Forbruk MWh'!M36)</f>
        <v>13058612.696608318</v>
      </c>
      <c r="D35" s="47">
        <f t="shared" si="19"/>
        <v>39.499478206759726</v>
      </c>
      <c r="E35" s="124">
        <f t="shared" si="20"/>
        <v>2.6801384061352795E-2</v>
      </c>
      <c r="F35" s="17"/>
    </row>
    <row r="36" spans="1:6" x14ac:dyDescent="0.25">
      <c r="A36" s="103">
        <v>2027</v>
      </c>
      <c r="B36" s="64">
        <f>'TI 2024-2030'!H36</f>
        <v>5523706.9367624857</v>
      </c>
      <c r="C36" s="64">
        <f>C35*(1+'Forbruk MWh'!M37)</f>
        <v>13135745.005544199</v>
      </c>
      <c r="D36" s="56">
        <f t="shared" si="19"/>
        <v>42.050960447474409</v>
      </c>
      <c r="E36" s="136">
        <f t="shared" si="20"/>
        <v>9.3127968996478572E-2</v>
      </c>
      <c r="F36" s="17"/>
    </row>
    <row r="37" spans="1:6" x14ac:dyDescent="0.25">
      <c r="A37" s="100">
        <v>2028</v>
      </c>
      <c r="B37" s="34">
        <f>'TI 2024-2030'!H37</f>
        <v>6057628.0419425284</v>
      </c>
      <c r="C37" s="34">
        <f>C36*(1+'Forbruk MWh'!M38)</f>
        <v>13227375.737292454</v>
      </c>
      <c r="D37" s="47">
        <f t="shared" si="19"/>
        <v>45.796144014145021</v>
      </c>
      <c r="E37" s="124">
        <f t="shared" si="20"/>
        <v>0.1904851960892433</v>
      </c>
      <c r="F37" s="17"/>
    </row>
    <row r="38" spans="1:6" x14ac:dyDescent="0.25">
      <c r="A38" s="103">
        <v>2029</v>
      </c>
      <c r="B38" s="64">
        <f>'TI 2024-2030'!H38</f>
        <v>6416352.9504010538</v>
      </c>
      <c r="C38" s="64">
        <f>C37*(1+'Forbruk MWh'!M39)</f>
        <v>13304529.867329473</v>
      </c>
      <c r="D38" s="56">
        <f t="shared" si="19"/>
        <v>48.226829616557993</v>
      </c>
      <c r="E38" s="136">
        <f t="shared" si="20"/>
        <v>0.25367163434321793</v>
      </c>
      <c r="F38" s="17"/>
    </row>
    <row r="39" spans="1:6" ht="15.75" thickBot="1" x14ac:dyDescent="0.3">
      <c r="A39" s="63">
        <v>2030</v>
      </c>
      <c r="B39" s="51">
        <f>'TI 2024-2030'!H39</f>
        <v>6648610.5489138132</v>
      </c>
      <c r="C39" s="51">
        <f>C38*(1+'Forbruk MWh'!M40)</f>
        <v>13381683.997366514</v>
      </c>
      <c r="D39" s="52">
        <f t="shared" si="19"/>
        <v>49.684408555920506</v>
      </c>
      <c r="E39" s="168">
        <f t="shared" si="20"/>
        <v>0.29156185822116232</v>
      </c>
      <c r="F39" s="17"/>
    </row>
    <row r="40" spans="1:6" x14ac:dyDescent="0.25">
      <c r="A40" s="54" t="s">
        <v>72</v>
      </c>
      <c r="B40" s="48">
        <f>(B39-B33)/B33</f>
        <v>0.35822249019308183</v>
      </c>
      <c r="C40" s="48">
        <f>(C39-C33)/C33</f>
        <v>5.1612419140132912E-2</v>
      </c>
      <c r="D40" s="113">
        <f>(D39-D33)/D33</f>
        <v>0.29156185822116221</v>
      </c>
      <c r="E40" s="17"/>
    </row>
    <row r="42" spans="1:6" x14ac:dyDescent="0.25">
      <c r="A42" s="16"/>
      <c r="B42" s="16"/>
    </row>
    <row r="43" spans="1:6" ht="15.75" thickBot="1" x14ac:dyDescent="0.3">
      <c r="A43" s="53" t="s">
        <v>7</v>
      </c>
      <c r="B43" s="50" t="s">
        <v>211</v>
      </c>
      <c r="C43" s="50" t="s">
        <v>89</v>
      </c>
      <c r="D43" s="50" t="s">
        <v>132</v>
      </c>
      <c r="E43" s="50" t="s">
        <v>205</v>
      </c>
    </row>
    <row r="44" spans="1:6" x14ac:dyDescent="0.25">
      <c r="A44" s="100">
        <v>2022</v>
      </c>
      <c r="B44" s="16"/>
      <c r="C44" s="34">
        <v>9402659</v>
      </c>
      <c r="D44" s="16"/>
      <c r="E44" s="16"/>
    </row>
    <row r="45" spans="1:6" x14ac:dyDescent="0.25">
      <c r="A45" s="103">
        <v>2023</v>
      </c>
      <c r="B45" s="64">
        <f>'TI 2024-2030'!H45</f>
        <v>3709335.9273462822</v>
      </c>
      <c r="C45" s="64">
        <f>C44*(1+'Forbruk MWh'!M46)</f>
        <v>9499590.2378716134</v>
      </c>
      <c r="D45" s="56">
        <f t="shared" ref="D45:D52" si="21">B45/C45*100</f>
        <v>39.047325563143033</v>
      </c>
      <c r="E45" s="56"/>
    </row>
    <row r="46" spans="1:6" x14ac:dyDescent="0.25">
      <c r="A46" s="100">
        <v>2024</v>
      </c>
      <c r="B46" s="34">
        <f>'TI 2024-2030'!H46</f>
        <v>4253996.9747218238</v>
      </c>
      <c r="C46" s="34">
        <f>C45*(1+'Forbruk MWh'!M47)</f>
        <v>9691989.1575480942</v>
      </c>
      <c r="D46" s="47">
        <f t="shared" si="21"/>
        <v>43.891887470889529</v>
      </c>
      <c r="E46" s="47">
        <f>(D46/$D$46)-1</f>
        <v>0</v>
      </c>
      <c r="F46" s="17"/>
    </row>
    <row r="47" spans="1:6" x14ac:dyDescent="0.25">
      <c r="A47" s="103">
        <v>2025</v>
      </c>
      <c r="B47" s="64">
        <f>'TI 2024-2030'!H47</f>
        <v>4256928.1936607128</v>
      </c>
      <c r="C47" s="64">
        <f>C46*(1+'Forbruk MWh'!M48)</f>
        <v>9912796.047969969</v>
      </c>
      <c r="D47" s="56">
        <f t="shared" si="21"/>
        <v>42.943768570044213</v>
      </c>
      <c r="E47" s="136">
        <f t="shared" ref="E47:E52" si="22">(D47/$D$46)-1</f>
        <v>-2.1601233291098199E-2</v>
      </c>
      <c r="F47" s="17"/>
    </row>
    <row r="48" spans="1:6" x14ac:dyDescent="0.25">
      <c r="A48" s="100">
        <v>2026</v>
      </c>
      <c r="B48" s="34">
        <f>'TI 2024-2030'!H48</f>
        <v>4545005.1704645222</v>
      </c>
      <c r="C48" s="34">
        <f>C47*(1+'Forbruk MWh'!M49)</f>
        <v>9958134.3991461918</v>
      </c>
      <c r="D48" s="47">
        <f t="shared" si="21"/>
        <v>45.641131042117792</v>
      </c>
      <c r="E48" s="124">
        <f t="shared" si="22"/>
        <v>3.9853459762659194E-2</v>
      </c>
      <c r="F48" s="17"/>
    </row>
    <row r="49" spans="1:6" x14ac:dyDescent="0.25">
      <c r="A49" s="103">
        <v>2027</v>
      </c>
      <c r="B49" s="64">
        <f>'TI 2024-2030'!H49</f>
        <v>4821667.8714469709</v>
      </c>
      <c r="C49" s="64">
        <f>C48*(1+'Forbruk MWh'!M50)</f>
        <v>10015678.67126582</v>
      </c>
      <c r="D49" s="56">
        <f t="shared" si="21"/>
        <v>48.141199710010163</v>
      </c>
      <c r="E49" s="136">
        <f t="shared" si="22"/>
        <v>9.6813158056574977E-2</v>
      </c>
      <c r="F49" s="17"/>
    </row>
    <row r="50" spans="1:6" x14ac:dyDescent="0.25">
      <c r="A50" s="100">
        <v>2028</v>
      </c>
      <c r="B50" s="34">
        <f>'TI 2024-2030'!H50</f>
        <v>5222199.0731945625</v>
      </c>
      <c r="C50" s="34">
        <f>C49*(1+'Forbruk MWh'!M51)</f>
        <v>10085428.864328865</v>
      </c>
      <c r="D50" s="47">
        <f t="shared" si="21"/>
        <v>51.779643121225604</v>
      </c>
      <c r="E50" s="124">
        <f t="shared" si="22"/>
        <v>0.17970873673563204</v>
      </c>
      <c r="F50" s="17"/>
    </row>
    <row r="51" spans="1:6" x14ac:dyDescent="0.25">
      <c r="A51" s="103">
        <v>2029</v>
      </c>
      <c r="B51" s="64">
        <f>'TI 2024-2030'!H51</f>
        <v>5423517.030484736</v>
      </c>
      <c r="C51" s="64">
        <f>C50*(1+'Forbruk MWh'!M52)</f>
        <v>10146687.415308304</v>
      </c>
      <c r="D51" s="56">
        <f t="shared" si="21"/>
        <v>53.45110979079022</v>
      </c>
      <c r="E51" s="136">
        <f t="shared" si="22"/>
        <v>0.21779018562919328</v>
      </c>
      <c r="F51" s="17"/>
    </row>
    <row r="52" spans="1:6" ht="15.75" thickBot="1" x14ac:dyDescent="0.3">
      <c r="A52" s="63">
        <v>2030</v>
      </c>
      <c r="B52" s="51">
        <f>'TI 2024-2030'!H52</f>
        <v>5537368.657754628</v>
      </c>
      <c r="C52" s="51">
        <f>C51*(1+'Forbruk MWh'!M53)</f>
        <v>10207945.966287736</v>
      </c>
      <c r="D52" s="52">
        <f t="shared" si="21"/>
        <v>54.245669756110303</v>
      </c>
      <c r="E52" s="168">
        <f t="shared" si="22"/>
        <v>0.2358928467609811</v>
      </c>
      <c r="F52" s="17"/>
    </row>
    <row r="53" spans="1:6" x14ac:dyDescent="0.25">
      <c r="A53" s="54" t="s">
        <v>72</v>
      </c>
      <c r="B53" s="48">
        <f>(B52-B46)/B46</f>
        <v>0.3016860826791552</v>
      </c>
      <c r="C53" s="48">
        <f>(C52-C46)/C46</f>
        <v>5.3235388561884221E-2</v>
      </c>
      <c r="D53" s="113">
        <f>(D52-D46)/D46</f>
        <v>0.23589284676098118</v>
      </c>
      <c r="E53" s="17"/>
    </row>
    <row r="55" spans="1:6" x14ac:dyDescent="0.25">
      <c r="A55" s="16"/>
      <c r="B55" s="16"/>
    </row>
    <row r="56" spans="1:6" ht="15.75" thickBot="1" x14ac:dyDescent="0.3">
      <c r="A56" s="53" t="s">
        <v>8</v>
      </c>
      <c r="B56" s="50" t="s">
        <v>211</v>
      </c>
      <c r="C56" s="50" t="s">
        <v>89</v>
      </c>
      <c r="D56" s="50" t="s">
        <v>132</v>
      </c>
      <c r="E56" s="50" t="s">
        <v>205</v>
      </c>
    </row>
    <row r="57" spans="1:6" x14ac:dyDescent="0.25">
      <c r="A57" s="100">
        <v>2022</v>
      </c>
      <c r="B57" s="16"/>
      <c r="C57" s="34">
        <v>7138667</v>
      </c>
      <c r="D57" s="16"/>
      <c r="E57" s="16"/>
    </row>
    <row r="58" spans="1:6" x14ac:dyDescent="0.25">
      <c r="A58" s="103">
        <v>2023</v>
      </c>
      <c r="B58" s="64">
        <f>'TI 2024-2030'!H58</f>
        <v>2818474.2185586314</v>
      </c>
      <c r="C58" s="64">
        <f>C57*(1+'Forbruk MWh'!M59)</f>
        <v>7211975.4304287331</v>
      </c>
      <c r="D58" s="56">
        <f t="shared" ref="D58:D65" si="23">B58/C58*100</f>
        <v>39.080474493395222</v>
      </c>
      <c r="E58" s="56"/>
    </row>
    <row r="59" spans="1:6" x14ac:dyDescent="0.25">
      <c r="A59" s="100">
        <v>2024</v>
      </c>
      <c r="B59" s="34">
        <f>'TI 2024-2030'!H59</f>
        <v>2967476.6933923028</v>
      </c>
      <c r="C59" s="34">
        <f>C58*(1+'Forbruk MWh'!M60)</f>
        <v>7356792.7485186365</v>
      </c>
      <c r="D59" s="47">
        <f t="shared" si="23"/>
        <v>40.336554186467112</v>
      </c>
      <c r="E59" s="47">
        <f>(D59/$D$59)-1</f>
        <v>0</v>
      </c>
      <c r="F59" s="17"/>
    </row>
    <row r="60" spans="1:6" x14ac:dyDescent="0.25">
      <c r="A60" s="103">
        <v>2025</v>
      </c>
      <c r="B60" s="64">
        <f>'TI 2024-2030'!H60</f>
        <v>2982032.0044863694</v>
      </c>
      <c r="C60" s="64">
        <f>C59*(1+'Forbruk MWh'!M61)</f>
        <v>7522888.7061471753</v>
      </c>
      <c r="D60" s="56">
        <f t="shared" si="23"/>
        <v>39.639453951374591</v>
      </c>
      <c r="E60" s="136">
        <f t="shared" ref="E60:E65" si="24">(D60/$D$59)-1</f>
        <v>-1.7282096826366944E-2</v>
      </c>
      <c r="F60" s="17"/>
    </row>
    <row r="61" spans="1:6" x14ac:dyDescent="0.25">
      <c r="A61" s="100">
        <v>2026</v>
      </c>
      <c r="B61" s="34">
        <f>'TI 2024-2030'!H61</f>
        <v>3123093.5185582926</v>
      </c>
      <c r="C61" s="34">
        <f>C60*(1+'Forbruk MWh'!M62)</f>
        <v>7557552.1221682262</v>
      </c>
      <c r="D61" s="47">
        <f t="shared" si="23"/>
        <v>41.324141310219531</v>
      </c>
      <c r="E61" s="124">
        <f t="shared" si="24"/>
        <v>2.4483676002343246E-2</v>
      </c>
      <c r="F61" s="17"/>
    </row>
    <row r="62" spans="1:6" x14ac:dyDescent="0.25">
      <c r="A62" s="103">
        <v>2027</v>
      </c>
      <c r="B62" s="64">
        <f>'TI 2024-2030'!H62</f>
        <v>3298006.1359655741</v>
      </c>
      <c r="C62" s="64">
        <f>C61*(1+'Forbruk MWh'!M63)</f>
        <v>7601358.2324816622</v>
      </c>
      <c r="D62" s="56">
        <f t="shared" si="23"/>
        <v>43.387063668078881</v>
      </c>
      <c r="E62" s="136">
        <f t="shared" si="24"/>
        <v>7.5626427272640351E-2</v>
      </c>
      <c r="F62" s="17"/>
    </row>
    <row r="63" spans="1:6" x14ac:dyDescent="0.25">
      <c r="A63" s="100">
        <v>2028</v>
      </c>
      <c r="B63" s="34">
        <f>'TI 2024-2030'!H63</f>
        <v>3524258.245823727</v>
      </c>
      <c r="C63" s="34">
        <f>C62*(1+'Forbruk MWh'!M64)</f>
        <v>7654307.0370874749</v>
      </c>
      <c r="D63" s="47">
        <f t="shared" si="23"/>
        <v>46.042812611874737</v>
      </c>
      <c r="E63" s="124">
        <f t="shared" si="24"/>
        <v>0.14146618471743611</v>
      </c>
      <c r="F63" s="17"/>
    </row>
    <row r="64" spans="1:6" x14ac:dyDescent="0.25">
      <c r="A64" s="103">
        <v>2029</v>
      </c>
      <c r="B64" s="64">
        <f>'TI 2024-2030'!H64</f>
        <v>3639989.0397498356</v>
      </c>
      <c r="C64" s="64">
        <f>C63*(1+'Forbruk MWh'!M65)</f>
        <v>7700543.6400069743</v>
      </c>
      <c r="D64" s="56">
        <f t="shared" si="23"/>
        <v>47.269247600115399</v>
      </c>
      <c r="E64" s="136">
        <f t="shared" si="24"/>
        <v>0.17187123574314134</v>
      </c>
      <c r="F64" s="17"/>
    </row>
    <row r="65" spans="1:6" ht="15.75" thickBot="1" x14ac:dyDescent="0.3">
      <c r="A65" s="63">
        <v>2030</v>
      </c>
      <c r="B65" s="51">
        <f>'TI 2024-2030'!H65</f>
        <v>3696329.2686098511</v>
      </c>
      <c r="C65" s="51">
        <f>C64*(1+'Forbruk MWh'!M66)</f>
        <v>7746780.2429264747</v>
      </c>
      <c r="D65" s="52">
        <f t="shared" si="23"/>
        <v>47.714394273478213</v>
      </c>
      <c r="E65" s="168">
        <f t="shared" si="24"/>
        <v>0.18290704884966003</v>
      </c>
      <c r="F65" s="17"/>
    </row>
    <row r="66" spans="1:6" x14ac:dyDescent="0.25">
      <c r="A66" s="54" t="s">
        <v>72</v>
      </c>
      <c r="B66" s="48">
        <f>(B65-B59)/B59</f>
        <v>0.24561358033257294</v>
      </c>
      <c r="C66" s="48">
        <f>(C65-C59)/C59</f>
        <v>5.301053159155069E-2</v>
      </c>
      <c r="D66" s="113">
        <f>(D65-D59)/D59</f>
        <v>0.18290704884966011</v>
      </c>
      <c r="E66" s="17"/>
      <c r="F66" s="18"/>
    </row>
    <row r="69" spans="1:6" x14ac:dyDescent="0.25">
      <c r="A69" s="16"/>
      <c r="B69" s="16"/>
    </row>
    <row r="70" spans="1:6" ht="15.75" thickBot="1" x14ac:dyDescent="0.3">
      <c r="A70" s="53" t="s">
        <v>61</v>
      </c>
      <c r="B70" s="50" t="s">
        <v>211</v>
      </c>
      <c r="C70" s="50" t="s">
        <v>89</v>
      </c>
      <c r="D70" s="50" t="s">
        <v>135</v>
      </c>
      <c r="E70" s="50" t="s">
        <v>205</v>
      </c>
    </row>
    <row r="71" spans="1:6" x14ac:dyDescent="0.25">
      <c r="A71" s="100">
        <v>2022</v>
      </c>
      <c r="B71" s="16"/>
      <c r="C71" s="34">
        <f t="shared" ref="C71:C72" si="25">C5+C18+C31+C44+C57</f>
        <v>73732986</v>
      </c>
      <c r="D71" s="16"/>
      <c r="E71" s="16"/>
    </row>
    <row r="72" spans="1:6" x14ac:dyDescent="0.25">
      <c r="A72" s="103">
        <v>2023</v>
      </c>
      <c r="B72" s="64">
        <f>B6+B19+B32+B45+B58</f>
        <v>25896070.550707474</v>
      </c>
      <c r="C72" s="64">
        <f t="shared" si="25"/>
        <v>74489040.115467086</v>
      </c>
      <c r="D72" s="56">
        <f t="shared" ref="D72:D79" si="26">B72/C72*100</f>
        <v>34.764940601416541</v>
      </c>
      <c r="E72" s="56"/>
    </row>
    <row r="73" spans="1:6" x14ac:dyDescent="0.25">
      <c r="A73" s="100">
        <v>2024</v>
      </c>
      <c r="B73" s="34">
        <f t="shared" ref="B73:C79" si="27">B7+B20+B33+B46+B59</f>
        <v>28818886.506897889</v>
      </c>
      <c r="C73" s="34">
        <f t="shared" si="27"/>
        <v>75982410.627585307</v>
      </c>
      <c r="D73" s="47">
        <f t="shared" si="26"/>
        <v>37.928365616285454</v>
      </c>
      <c r="E73" s="47">
        <f>(D73/$D$73)-1</f>
        <v>0</v>
      </c>
      <c r="F73" s="17"/>
    </row>
    <row r="74" spans="1:6" x14ac:dyDescent="0.25">
      <c r="A74" s="103">
        <v>2025</v>
      </c>
      <c r="B74" s="64">
        <f t="shared" si="27"/>
        <v>28597026.753831774</v>
      </c>
      <c r="C74" s="64">
        <f t="shared" si="27"/>
        <v>77694982.900045425</v>
      </c>
      <c r="D74" s="56">
        <f t="shared" si="26"/>
        <v>36.806786856008245</v>
      </c>
      <c r="E74" s="136">
        <f t="shared" ref="E74:E79" si="28">(D74/$D$73)-1</f>
        <v>-2.9570975233260022E-2</v>
      </c>
      <c r="F74" s="17"/>
    </row>
    <row r="75" spans="1:6" x14ac:dyDescent="0.25">
      <c r="A75" s="100">
        <v>2026</v>
      </c>
      <c r="B75" s="34">
        <f t="shared" si="27"/>
        <v>30433237.989569839</v>
      </c>
      <c r="C75" s="34">
        <f t="shared" si="27"/>
        <v>78052177.024060026</v>
      </c>
      <c r="D75" s="47">
        <f t="shared" si="26"/>
        <v>38.990889363904124</v>
      </c>
      <c r="E75" s="124">
        <f t="shared" si="28"/>
        <v>2.8013960800948645E-2</v>
      </c>
      <c r="F75" s="17"/>
    </row>
    <row r="76" spans="1:6" x14ac:dyDescent="0.25">
      <c r="A76" s="103">
        <v>2027</v>
      </c>
      <c r="B76" s="64">
        <f t="shared" si="27"/>
        <v>32493848.412060622</v>
      </c>
      <c r="C76" s="64">
        <f t="shared" si="27"/>
        <v>78503441.17008853</v>
      </c>
      <c r="D76" s="56">
        <f t="shared" si="26"/>
        <v>41.391623001160191</v>
      </c>
      <c r="E76" s="136">
        <f t="shared" si="28"/>
        <v>9.1310483027713385E-2</v>
      </c>
      <c r="F76" s="17"/>
    </row>
    <row r="77" spans="1:6" x14ac:dyDescent="0.25">
      <c r="A77" s="100">
        <v>2028</v>
      </c>
      <c r="B77" s="34">
        <f t="shared" si="27"/>
        <v>35187353.537516564</v>
      </c>
      <c r="C77" s="34">
        <f t="shared" si="27"/>
        <v>79048775.33813113</v>
      </c>
      <c r="D77" s="47">
        <f t="shared" si="26"/>
        <v>44.513470812169651</v>
      </c>
      <c r="E77" s="124">
        <f t="shared" si="28"/>
        <v>0.17361953484905035</v>
      </c>
      <c r="F77" s="17"/>
    </row>
    <row r="78" spans="1:6" x14ac:dyDescent="0.25">
      <c r="A78" s="103">
        <v>2029</v>
      </c>
      <c r="B78" s="64">
        <f t="shared" si="27"/>
        <v>36660086.694270328</v>
      </c>
      <c r="C78" s="64">
        <f t="shared" si="27"/>
        <v>79523915.044584632</v>
      </c>
      <c r="D78" s="56">
        <f t="shared" si="26"/>
        <v>46.099449044626461</v>
      </c>
      <c r="E78" s="136">
        <f t="shared" si="28"/>
        <v>0.21543463040317645</v>
      </c>
      <c r="F78" s="17"/>
    </row>
    <row r="79" spans="1:6" ht="15.75" thickBot="1" x14ac:dyDescent="0.3">
      <c r="A79" s="63">
        <v>2030</v>
      </c>
      <c r="B79" s="51">
        <f t="shared" si="27"/>
        <v>37400039.789334737</v>
      </c>
      <c r="C79" s="51">
        <f t="shared" si="27"/>
        <v>79999054.751038134</v>
      </c>
      <c r="D79" s="52">
        <f t="shared" si="26"/>
        <v>46.750602123644967</v>
      </c>
      <c r="E79" s="168">
        <f t="shared" si="28"/>
        <v>0.23260260135151922</v>
      </c>
      <c r="F79" s="17"/>
    </row>
    <row r="80" spans="1:6" x14ac:dyDescent="0.25">
      <c r="A80" s="54" t="s">
        <v>72</v>
      </c>
      <c r="B80" s="48">
        <f>(B79-B73)/B73</f>
        <v>0.29776144475196575</v>
      </c>
      <c r="C80" s="48">
        <f>(C79-C73)/C73</f>
        <v>5.2862815094663375E-2</v>
      </c>
      <c r="D80" s="113">
        <f>(D79-D73)/D73</f>
        <v>0.23260260135151919</v>
      </c>
      <c r="E80" s="17"/>
    </row>
    <row r="83" spans="3:4" x14ac:dyDescent="0.25">
      <c r="C83" s="14"/>
      <c r="D83" s="14"/>
    </row>
    <row r="84" spans="3:4" x14ac:dyDescent="0.25">
      <c r="C84" s="14"/>
      <c r="D84" s="18"/>
    </row>
    <row r="85" spans="3:4" x14ac:dyDescent="0.25">
      <c r="C85" s="14"/>
      <c r="D85" s="18"/>
    </row>
    <row r="86" spans="3:4" x14ac:dyDescent="0.25">
      <c r="C86" s="14"/>
      <c r="D86" s="10"/>
    </row>
    <row r="87" spans="3:4" x14ac:dyDescent="0.25">
      <c r="C87" s="14"/>
      <c r="D87" s="14"/>
    </row>
    <row r="88" spans="3:4" x14ac:dyDescent="0.25">
      <c r="C88" s="14"/>
      <c r="D88" s="14"/>
    </row>
    <row r="89" spans="3:4" x14ac:dyDescent="0.25">
      <c r="C89" s="14"/>
      <c r="D89" s="14"/>
    </row>
    <row r="90" spans="3:4" x14ac:dyDescent="0.25">
      <c r="C90" s="14"/>
      <c r="D90" s="14"/>
    </row>
  </sheetData>
  <mergeCells count="4">
    <mergeCell ref="P14:U14"/>
    <mergeCell ref="A2:D2"/>
    <mergeCell ref="H4:M4"/>
    <mergeCell ref="P4:U4"/>
  </mergeCells>
  <hyperlinks>
    <hyperlink ref="A1" location="Introduksjon!A1" display="Tilbake til introduksjon" xr:uid="{F45F9623-5C19-4BDF-9C73-5A41D39F2983}"/>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8"/>
  <sheetViews>
    <sheetView topLeftCell="A21" workbookViewId="0">
      <selection activeCell="F61" sqref="F61"/>
    </sheetView>
  </sheetViews>
  <sheetFormatPr baseColWidth="10" defaultColWidth="11.42578125" defaultRowHeight="15" x14ac:dyDescent="0.25"/>
  <cols>
    <col min="1" max="1" width="21.85546875" style="9" bestFit="1" customWidth="1"/>
    <col min="2" max="2" width="18.140625" style="9" bestFit="1" customWidth="1"/>
    <col min="3" max="3" width="13.42578125" style="9" bestFit="1" customWidth="1"/>
    <col min="4" max="4" width="11.140625" style="9" customWidth="1"/>
    <col min="5" max="5" width="23.140625" style="9" bestFit="1" customWidth="1"/>
    <col min="6" max="6" width="19.5703125" style="9" customWidth="1"/>
    <col min="7" max="8" width="11.5703125" style="9" customWidth="1"/>
    <col min="9" max="9" width="12.140625" style="9" bestFit="1" customWidth="1"/>
    <col min="10" max="10" width="11.5703125" style="9" customWidth="1"/>
    <col min="11" max="11" width="11.42578125" style="9"/>
    <col min="12" max="12" width="12.28515625" style="9" bestFit="1" customWidth="1"/>
    <col min="13" max="13" width="11.5703125" style="9" customWidth="1"/>
    <col min="14" max="14" width="0" style="9" hidden="1" customWidth="1"/>
    <col min="15" max="16384" width="11.42578125" style="9"/>
  </cols>
  <sheetData>
    <row r="1" spans="1:5" x14ac:dyDescent="0.25">
      <c r="A1" s="45" t="s">
        <v>170</v>
      </c>
    </row>
    <row r="2" spans="1:5" ht="18.75" x14ac:dyDescent="0.3">
      <c r="A2" s="175" t="s">
        <v>130</v>
      </c>
      <c r="B2" s="176"/>
      <c r="C2" s="176"/>
      <c r="D2" s="177"/>
    </row>
    <row r="4" spans="1:5" ht="15.75" thickBot="1" x14ac:dyDescent="0.3">
      <c r="A4" s="153" t="s">
        <v>4</v>
      </c>
      <c r="B4" s="50" t="s">
        <v>10</v>
      </c>
      <c r="C4" s="82" t="s">
        <v>12</v>
      </c>
    </row>
    <row r="5" spans="1:5" x14ac:dyDescent="0.25">
      <c r="A5" s="87" t="s">
        <v>39</v>
      </c>
      <c r="B5" s="33">
        <f>(F20*(1+$E$6)*Forutsetninger!$G$4)*(1+Forutsetninger!$E$13)</f>
        <v>1780811.6015984772</v>
      </c>
      <c r="C5" s="33">
        <f>F31*Forutsetninger!$G$5*1000*(1+Forutsetninger!$E$14)</f>
        <v>153220</v>
      </c>
      <c r="E5" s="6" t="s">
        <v>129</v>
      </c>
    </row>
    <row r="6" spans="1:5" x14ac:dyDescent="0.25">
      <c r="A6" s="88" t="s">
        <v>40</v>
      </c>
      <c r="B6" s="84">
        <f>(F21*(1+$E$6)*Forutsetninger!$G$4)*(1+Forutsetninger!$E$13)</f>
        <v>1827525.7828900274</v>
      </c>
      <c r="C6" s="84">
        <f>F32*Forutsetninger!$G$5*1000*(1+Forutsetninger!$E$14)</f>
        <v>760459.99999999988</v>
      </c>
      <c r="E6" s="12">
        <v>0.11600000000000001</v>
      </c>
    </row>
    <row r="7" spans="1:5" x14ac:dyDescent="0.25">
      <c r="A7" s="87" t="s">
        <v>41</v>
      </c>
      <c r="B7" s="33">
        <f>(F22*(1+$E$6)*Forutsetninger!$G$4)*(1+Forutsetninger!$E$13)</f>
        <v>1809346.360211709</v>
      </c>
      <c r="C7" s="33">
        <f>F33*Forutsetninger!$G$5*1000*(1+Forutsetninger!$E$14)</f>
        <v>796180</v>
      </c>
    </row>
    <row r="8" spans="1:5" x14ac:dyDescent="0.25">
      <c r="A8" s="88" t="s">
        <v>42</v>
      </c>
      <c r="B8" s="84">
        <f>(F23*(1+$E$6)*Forutsetninger!$G$4)*(1+Forutsetninger!$E$13)</f>
        <v>1727790.0291405332</v>
      </c>
      <c r="C8" s="84">
        <f>F34*Forutsetninger!$G$5*1000*(1+Forutsetninger!$E$14)</f>
        <v>876079.99999999988</v>
      </c>
    </row>
    <row r="9" spans="1:5" x14ac:dyDescent="0.25">
      <c r="A9" s="87" t="s">
        <v>43</v>
      </c>
      <c r="B9" s="33">
        <f>(F24*(1+$E$6)*Forutsetninger!$G$4)*(1+Forutsetninger!$E$13)</f>
        <v>1767692.6909669721</v>
      </c>
      <c r="C9" s="33">
        <f>F35*Forutsetninger!$G$5*1000*(1+Forutsetninger!$E$14)</f>
        <v>876079.99999999988</v>
      </c>
    </row>
    <row r="10" spans="1:5" x14ac:dyDescent="0.25">
      <c r="A10" s="88" t="s">
        <v>44</v>
      </c>
      <c r="B10" s="84">
        <f>(F25*(1+$E$6)*Forutsetninger!$G$4)*(1+Forutsetninger!$E$13)</f>
        <v>1774099.707717543</v>
      </c>
      <c r="C10" s="84">
        <f>F36*Forutsetninger!$G$5*1000*(1+Forutsetninger!$E$14)</f>
        <v>876079.99999999988</v>
      </c>
    </row>
    <row r="11" spans="1:5" x14ac:dyDescent="0.25">
      <c r="A11" s="87" t="s">
        <v>45</v>
      </c>
      <c r="B11" s="33">
        <f>(F26*(1+$E$6)*Forutsetninger!$G$4)*(1+Forutsetninger!$E$13)</f>
        <v>1774099.707717543</v>
      </c>
      <c r="C11" s="33">
        <f>F37*Forutsetninger!$G$5*1000*(1+Forutsetninger!$E$14)</f>
        <v>876079.99999999988</v>
      </c>
    </row>
    <row r="12" spans="1:5" ht="15.75" thickBot="1" x14ac:dyDescent="0.3">
      <c r="A12" s="89" t="s">
        <v>46</v>
      </c>
      <c r="B12" s="85">
        <f>(F27*(1+$E$6)*Forutsetninger!$G$4)*(1+Forutsetninger!$E$13)</f>
        <v>1774099.707717543</v>
      </c>
      <c r="C12" s="85">
        <f>F38*Forutsetninger!$G$5*1000*(1+Forutsetninger!$E$14)</f>
        <v>876079.99999999988</v>
      </c>
    </row>
    <row r="13" spans="1:5" x14ac:dyDescent="0.25">
      <c r="A13" s="87" t="s">
        <v>72</v>
      </c>
      <c r="B13" s="48">
        <f>(B12-B6)/B6</f>
        <v>-2.9234102015237799E-2</v>
      </c>
      <c r="C13" s="48">
        <f>(C12-C6)/C6</f>
        <v>0.15203955500618049</v>
      </c>
    </row>
    <row r="15" spans="1:5" ht="15.75" thickBot="1" x14ac:dyDescent="0.3">
      <c r="A15" s="153" t="s">
        <v>5</v>
      </c>
      <c r="B15" s="50" t="s">
        <v>10</v>
      </c>
      <c r="C15" s="82" t="s">
        <v>12</v>
      </c>
      <c r="D15" s="13"/>
    </row>
    <row r="16" spans="1:5" x14ac:dyDescent="0.25">
      <c r="A16" s="87" t="s">
        <v>39</v>
      </c>
      <c r="B16" s="33">
        <f>(G20*(1+$E$6)*Forutsetninger!$G$4)*(1+Forutsetninger!$E$13)</f>
        <v>1591994.6545187349</v>
      </c>
      <c r="C16" s="33">
        <f>G31*Forutsetninger!$G$5*1000*(1+Forutsetninger!$E$14)</f>
        <v>1120480</v>
      </c>
    </row>
    <row r="17" spans="1:15" x14ac:dyDescent="0.25">
      <c r="A17" s="88" t="s">
        <v>40</v>
      </c>
      <c r="B17" s="84">
        <f>(G21*(1+$E$6)*Forutsetninger!$G$4)*(1+Forutsetninger!$E$13)</f>
        <v>1451162.8089740933</v>
      </c>
      <c r="C17" s="84">
        <f>G32*Forutsetninger!$G$5*1000*(1+Forutsetninger!$E$14)</f>
        <v>2184560</v>
      </c>
    </row>
    <row r="18" spans="1:15" ht="15.75" thickBot="1" x14ac:dyDescent="0.3">
      <c r="A18" s="87" t="s">
        <v>41</v>
      </c>
      <c r="B18" s="33">
        <f>(G22*(1+$E$6)*Forutsetninger!$G$4)*(1+Forutsetninger!$E$13)</f>
        <v>1402228.2515305416</v>
      </c>
      <c r="C18" s="33">
        <f>G33*Forutsetninger!$G$5*1000*(1+Forutsetninger!$E$14)</f>
        <v>2013479.9999999998</v>
      </c>
      <c r="E18" s="182" t="s">
        <v>143</v>
      </c>
      <c r="F18" s="182"/>
      <c r="G18" s="182"/>
      <c r="H18" s="182"/>
      <c r="I18" s="182"/>
      <c r="J18" s="182"/>
    </row>
    <row r="19" spans="1:15" ht="15.75" thickBot="1" x14ac:dyDescent="0.3">
      <c r="A19" s="88" t="s">
        <v>42</v>
      </c>
      <c r="B19" s="84">
        <f>(G23*(1+$E$6)*Forutsetninger!$G$4)*(1+Forutsetninger!$E$13)</f>
        <v>1414804.5755476321</v>
      </c>
      <c r="C19" s="84">
        <f>G34*Forutsetninger!$G$5*1000*(1+Forutsetninger!$E$14)</f>
        <v>2337779.9999999995</v>
      </c>
      <c r="E19" s="59" t="s">
        <v>10</v>
      </c>
      <c r="F19" s="93" t="s">
        <v>4</v>
      </c>
      <c r="G19" s="93" t="s">
        <v>5</v>
      </c>
      <c r="H19" s="93" t="s">
        <v>6</v>
      </c>
      <c r="I19" s="93" t="s">
        <v>7</v>
      </c>
      <c r="J19" s="93" t="s">
        <v>8</v>
      </c>
    </row>
    <row r="20" spans="1:15" x14ac:dyDescent="0.25">
      <c r="A20" s="87" t="s">
        <v>43</v>
      </c>
      <c r="B20" s="33">
        <f>(G24*(1+$E$6)*Forutsetninger!$G$4)*(1+Forutsetninger!$E$13)</f>
        <v>1450608.5056767226</v>
      </c>
      <c r="C20" s="33">
        <f>G35*Forutsetninger!$G$5*1000*(1+Forutsetninger!$E$14)</f>
        <v>2337779.9999999995</v>
      </c>
      <c r="E20" s="87">
        <v>2023</v>
      </c>
      <c r="F20" s="11">
        <v>1970011.5067021516</v>
      </c>
      <c r="G20" s="11">
        <v>1761133.9600410801</v>
      </c>
      <c r="H20" s="11">
        <v>1167728.7841319176</v>
      </c>
      <c r="I20" s="11">
        <v>1609404.8593008642</v>
      </c>
      <c r="J20" s="11">
        <v>691720.8898239861</v>
      </c>
      <c r="M20" s="14"/>
      <c r="O20" s="14"/>
    </row>
    <row r="21" spans="1:15" x14ac:dyDescent="0.25">
      <c r="A21" s="88" t="s">
        <v>44</v>
      </c>
      <c r="B21" s="84">
        <f>(G25*(1+$E$6)*Forutsetninger!$G$4)*(1+Forutsetninger!$E$13)</f>
        <v>1433636.8791590917</v>
      </c>
      <c r="C21" s="84">
        <f>G36*Forutsetninger!$G$5*1000*(1+Forutsetninger!$E$14)</f>
        <v>2337779.9999999995</v>
      </c>
      <c r="E21" s="88">
        <v>2024</v>
      </c>
      <c r="F21" s="91">
        <v>2021688.7726116499</v>
      </c>
      <c r="G21" s="91">
        <v>1605339.626724737</v>
      </c>
      <c r="H21" s="91">
        <v>1051732.6995326888</v>
      </c>
      <c r="I21" s="91">
        <v>1366279.1505383879</v>
      </c>
      <c r="J21" s="91">
        <v>654959.75059253874</v>
      </c>
      <c r="M21" s="15"/>
    </row>
    <row r="22" spans="1:15" x14ac:dyDescent="0.25">
      <c r="A22" s="87" t="s">
        <v>45</v>
      </c>
      <c r="B22" s="33">
        <f>(G26*(1+$E$6)*Forutsetninger!$G$4)*(1+Forutsetninger!$E$13)</f>
        <v>1433636.8791590917</v>
      </c>
      <c r="C22" s="33">
        <f>G37*Forutsetninger!$G$5*1000*(1+Forutsetninger!$E$14)</f>
        <v>2337779.9999999995</v>
      </c>
      <c r="E22" s="87">
        <v>2025</v>
      </c>
      <c r="F22" s="11">
        <v>2001577.9019112671</v>
      </c>
      <c r="G22" s="11">
        <v>1551206.0838206795</v>
      </c>
      <c r="H22" s="11">
        <v>1029605.2796826402</v>
      </c>
      <c r="I22" s="11">
        <v>1262862.3640642406</v>
      </c>
      <c r="J22" s="11">
        <v>654748.37052117265</v>
      </c>
    </row>
    <row r="23" spans="1:15" ht="15.75" thickBot="1" x14ac:dyDescent="0.3">
      <c r="A23" s="89" t="s">
        <v>46</v>
      </c>
      <c r="B23" s="85">
        <f>(G27*(1+$E$6)*Forutsetninger!$G$4)*(1+Forutsetninger!$E$13)</f>
        <v>1433636.8791590917</v>
      </c>
      <c r="C23" s="85">
        <f>G38*Forutsetninger!$G$5*1000*(1+Forutsetninger!$E$14)</f>
        <v>2337779.9999999995</v>
      </c>
      <c r="E23" s="88">
        <v>2026</v>
      </c>
      <c r="F23" s="91">
        <v>1911356.7294355202</v>
      </c>
      <c r="G23" s="91">
        <v>1565118.5622678346</v>
      </c>
      <c r="H23" s="91">
        <v>1037586.7595795424</v>
      </c>
      <c r="I23" s="91">
        <v>1263299.8848284381</v>
      </c>
      <c r="J23" s="91">
        <v>622638.06388866517</v>
      </c>
    </row>
    <row r="24" spans="1:15" x14ac:dyDescent="0.25">
      <c r="A24" s="87" t="s">
        <v>72</v>
      </c>
      <c r="B24" s="48">
        <f>(B23-B17)/B17</f>
        <v>-1.2077163021695406E-2</v>
      </c>
      <c r="C24" s="48">
        <f>(C23-C17)/C17</f>
        <v>7.0137693631669329E-2</v>
      </c>
      <c r="E24" s="87">
        <v>2027</v>
      </c>
      <c r="F24" s="11">
        <v>1955498.79526414</v>
      </c>
      <c r="G24" s="11">
        <v>1604726.4322278888</v>
      </c>
      <c r="H24" s="11">
        <v>1065389.835465539</v>
      </c>
      <c r="I24" s="11">
        <v>1255694.0098182326</v>
      </c>
      <c r="J24" s="11">
        <v>618690.9272241937</v>
      </c>
      <c r="K24" s="11"/>
    </row>
    <row r="25" spans="1:15" x14ac:dyDescent="0.25">
      <c r="E25" s="88">
        <v>2028</v>
      </c>
      <c r="F25" s="91">
        <v>1962586.5167900601</v>
      </c>
      <c r="G25" s="91">
        <v>1585951.6783475946</v>
      </c>
      <c r="H25" s="91">
        <v>1068819.6944922071</v>
      </c>
      <c r="I25" s="91">
        <v>1164358.3229883658</v>
      </c>
      <c r="J25" s="91">
        <v>618283.78738177416</v>
      </c>
      <c r="K25" s="11"/>
    </row>
    <row r="26" spans="1:15" ht="15.75" thickBot="1" x14ac:dyDescent="0.3">
      <c r="A26" s="153" t="s">
        <v>6</v>
      </c>
      <c r="B26" s="50" t="s">
        <v>10</v>
      </c>
      <c r="C26" s="82" t="s">
        <v>12</v>
      </c>
      <c r="E26" s="87">
        <v>2029</v>
      </c>
      <c r="F26" s="11">
        <v>1962586.5167900601</v>
      </c>
      <c r="G26" s="11">
        <v>1585951.6783475946</v>
      </c>
      <c r="H26" s="11">
        <v>1068819.6944922071</v>
      </c>
      <c r="I26" s="11">
        <v>1164358.3229883658</v>
      </c>
      <c r="J26" s="11">
        <v>618283.78738177416</v>
      </c>
      <c r="K26" s="11"/>
    </row>
    <row r="27" spans="1:15" x14ac:dyDescent="0.25">
      <c r="A27" s="87" t="s">
        <v>39</v>
      </c>
      <c r="B27" s="33">
        <f>(H20*(1+$E$6)*Forutsetninger!$G$4)*(1+Forutsetninger!$E$13)</f>
        <v>1055580.1117038883</v>
      </c>
      <c r="C27" s="33">
        <f>H31*Forutsetninger!$G$5*1000*(1+Forutsetninger!$E$14)</f>
        <v>455900</v>
      </c>
      <c r="E27" s="88">
        <v>2030</v>
      </c>
      <c r="F27" s="91">
        <v>1962586.5167900601</v>
      </c>
      <c r="G27" s="91">
        <v>1585951.6783475946</v>
      </c>
      <c r="H27" s="91">
        <v>1068819.6944922071</v>
      </c>
      <c r="I27" s="91">
        <v>1164358.3229883658</v>
      </c>
      <c r="J27" s="91">
        <v>618283.78738177416</v>
      </c>
      <c r="K27" s="11"/>
    </row>
    <row r="28" spans="1:15" x14ac:dyDescent="0.25">
      <c r="A28" s="88" t="s">
        <v>40</v>
      </c>
      <c r="B28" s="84">
        <f>(H21*(1+$E$6)*Forutsetninger!$G$4)*(1+Forutsetninger!$E$13)</f>
        <v>950724.29106956953</v>
      </c>
      <c r="C28" s="84">
        <f>H32*Forutsetninger!$G$5*1000*(1+Forutsetninger!$E$14)</f>
        <v>742599.99999999988</v>
      </c>
      <c r="K28" s="11"/>
    </row>
    <row r="29" spans="1:15" ht="15.75" thickBot="1" x14ac:dyDescent="0.3">
      <c r="A29" s="87" t="s">
        <v>41</v>
      </c>
      <c r="B29" s="33">
        <f>(H22*(1+$E$6)*Forutsetninger!$G$4)*(1+Forutsetninger!$E$13)</f>
        <v>930721.98862191965</v>
      </c>
      <c r="C29" s="33">
        <f>H33*Forutsetninger!$G$5*1000*(1+Forutsetninger!$E$14)</f>
        <v>902400</v>
      </c>
      <c r="D29" s="13"/>
      <c r="E29" s="182" t="s">
        <v>144</v>
      </c>
      <c r="F29" s="182"/>
      <c r="G29" s="182"/>
      <c r="H29" s="182"/>
      <c r="I29" s="182"/>
      <c r="J29" s="182"/>
      <c r="K29" s="11"/>
    </row>
    <row r="30" spans="1:15" ht="15.75" thickBot="1" x14ac:dyDescent="0.3">
      <c r="A30" s="88" t="s">
        <v>42</v>
      </c>
      <c r="B30" s="84">
        <f>(H23*(1+$E$6)*Forutsetninger!$G$4)*(1+Forutsetninger!$E$13)</f>
        <v>937936.92718952335</v>
      </c>
      <c r="C30" s="84">
        <f>H34*Forutsetninger!$G$5*1000*(1+Forutsetninger!$E$14)</f>
        <v>1281220</v>
      </c>
      <c r="E30" s="59" t="s">
        <v>12</v>
      </c>
      <c r="F30" s="93" t="s">
        <v>4</v>
      </c>
      <c r="G30" s="93" t="s">
        <v>5</v>
      </c>
      <c r="H30" s="93" t="s">
        <v>6</v>
      </c>
      <c r="I30" s="93" t="s">
        <v>7</v>
      </c>
      <c r="J30" s="93" t="s">
        <v>8</v>
      </c>
      <c r="K30" s="11"/>
    </row>
    <row r="31" spans="1:15" x14ac:dyDescent="0.25">
      <c r="A31" s="87" t="s">
        <v>43</v>
      </c>
      <c r="B31" s="33">
        <f>(H24*(1+$E$6)*Forutsetninger!$G$4)*(1+Forutsetninger!$E$13)</f>
        <v>963069.79566742887</v>
      </c>
      <c r="C31" s="33">
        <f>H35*Forutsetninger!$G$5*1000*(1+Forutsetninger!$E$14)</f>
        <v>1281220</v>
      </c>
      <c r="E31" s="87">
        <v>2023</v>
      </c>
      <c r="F31" s="11">
        <v>163</v>
      </c>
      <c r="G31" s="11">
        <v>1192</v>
      </c>
      <c r="H31" s="11">
        <v>485</v>
      </c>
      <c r="I31" s="11">
        <v>407</v>
      </c>
      <c r="J31" s="11">
        <v>11</v>
      </c>
      <c r="K31" s="11"/>
    </row>
    <row r="32" spans="1:15" x14ac:dyDescent="0.25">
      <c r="A32" s="88" t="s">
        <v>44</v>
      </c>
      <c r="B32" s="84">
        <f>(H25*(1+$E$6)*Forutsetninger!$G$4)*(1+Forutsetninger!$E$13)</f>
        <v>966170.25103317562</v>
      </c>
      <c r="C32" s="84">
        <f>H36*Forutsetninger!$G$5*1000*(1+Forutsetninger!$E$14)</f>
        <v>1281220</v>
      </c>
      <c r="E32" s="88">
        <v>2024</v>
      </c>
      <c r="F32" s="91">
        <v>809</v>
      </c>
      <c r="G32" s="91">
        <v>2324</v>
      </c>
      <c r="H32" s="91">
        <v>790</v>
      </c>
      <c r="I32" s="91">
        <v>1059</v>
      </c>
      <c r="J32" s="91">
        <v>207</v>
      </c>
      <c r="L32" s="11"/>
    </row>
    <row r="33" spans="1:12" x14ac:dyDescent="0.25">
      <c r="A33" s="87" t="s">
        <v>45</v>
      </c>
      <c r="B33" s="33">
        <f>(H26*(1+$E$6)*Forutsetninger!$G$4)*(1+Forutsetninger!$E$13)</f>
        <v>966170.25103317562</v>
      </c>
      <c r="C33" s="33">
        <f>H37*Forutsetninger!$G$5*1000*(1+Forutsetninger!$E$14)</f>
        <v>1281220</v>
      </c>
      <c r="E33" s="87">
        <v>2025</v>
      </c>
      <c r="F33" s="11">
        <v>847</v>
      </c>
      <c r="G33" s="11">
        <v>2142</v>
      </c>
      <c r="H33" s="11">
        <v>960</v>
      </c>
      <c r="I33" s="11">
        <v>1163</v>
      </c>
      <c r="J33" s="11">
        <v>304</v>
      </c>
      <c r="L33" s="11"/>
    </row>
    <row r="34" spans="1:12" ht="15.75" thickBot="1" x14ac:dyDescent="0.3">
      <c r="A34" s="89" t="s">
        <v>46</v>
      </c>
      <c r="B34" s="85">
        <f>(H27*(1+$E$6)*Forutsetninger!$G$4)*(1+Forutsetninger!$E$13)</f>
        <v>966170.25103317562</v>
      </c>
      <c r="C34" s="85">
        <f>H38*Forutsetninger!$G$5*1000*(1+Forutsetninger!$E$14)</f>
        <v>1281220</v>
      </c>
      <c r="E34" s="88">
        <v>2026</v>
      </c>
      <c r="F34" s="91">
        <v>932</v>
      </c>
      <c r="G34" s="91">
        <v>2487</v>
      </c>
      <c r="H34" s="91">
        <v>1363</v>
      </c>
      <c r="I34" s="91">
        <v>892</v>
      </c>
      <c r="J34" s="91">
        <v>453</v>
      </c>
      <c r="L34" s="11"/>
    </row>
    <row r="35" spans="1:12" x14ac:dyDescent="0.25">
      <c r="A35" s="87" t="s">
        <v>72</v>
      </c>
      <c r="B35" s="48">
        <f>(B34-B28)/B28</f>
        <v>1.6246518689692159E-2</v>
      </c>
      <c r="C35" s="48">
        <f>(C34-C28)/C28</f>
        <v>0.72531645569620284</v>
      </c>
      <c r="E35" s="87">
        <v>2027</v>
      </c>
      <c r="F35" s="11">
        <v>932</v>
      </c>
      <c r="G35" s="11">
        <v>2487</v>
      </c>
      <c r="H35" s="11">
        <v>1363</v>
      </c>
      <c r="I35" s="11">
        <v>892</v>
      </c>
      <c r="J35" s="11">
        <v>453</v>
      </c>
      <c r="L35" s="11"/>
    </row>
    <row r="36" spans="1:12" x14ac:dyDescent="0.25">
      <c r="E36" s="88">
        <v>2028</v>
      </c>
      <c r="F36" s="91">
        <v>932</v>
      </c>
      <c r="G36" s="91">
        <v>2487</v>
      </c>
      <c r="H36" s="91">
        <v>1363</v>
      </c>
      <c r="I36" s="91">
        <v>892</v>
      </c>
      <c r="J36" s="91">
        <v>453</v>
      </c>
    </row>
    <row r="37" spans="1:12" ht="15.75" thickBot="1" x14ac:dyDescent="0.3">
      <c r="A37" s="153" t="s">
        <v>7</v>
      </c>
      <c r="B37" s="50" t="s">
        <v>10</v>
      </c>
      <c r="C37" s="82" t="s">
        <v>12</v>
      </c>
      <c r="E37" s="87">
        <v>2029</v>
      </c>
      <c r="F37" s="11">
        <v>932</v>
      </c>
      <c r="G37" s="11">
        <v>2487</v>
      </c>
      <c r="H37" s="11">
        <v>1363</v>
      </c>
      <c r="I37" s="11">
        <v>892</v>
      </c>
      <c r="J37" s="11">
        <v>453</v>
      </c>
    </row>
    <row r="38" spans="1:12" x14ac:dyDescent="0.25">
      <c r="A38" s="87" t="s">
        <v>39</v>
      </c>
      <c r="B38" s="33">
        <f>(I20*(1+$E$6)*Forutsetninger!$G$4)*(1+Forutsetninger!$E$13)</f>
        <v>1454837.6166136095</v>
      </c>
      <c r="C38" s="33">
        <f>I31*Forutsetninger!$G$5*1000*(1+Forutsetninger!$E$14)</f>
        <v>382580</v>
      </c>
      <c r="E38" s="88">
        <v>2030</v>
      </c>
      <c r="F38" s="91">
        <v>932</v>
      </c>
      <c r="G38" s="91">
        <v>2487</v>
      </c>
      <c r="H38" s="91">
        <v>1363</v>
      </c>
      <c r="I38" s="91">
        <v>892</v>
      </c>
      <c r="J38" s="91">
        <v>453</v>
      </c>
    </row>
    <row r="39" spans="1:12" x14ac:dyDescent="0.25">
      <c r="A39" s="88" t="s">
        <v>40</v>
      </c>
      <c r="B39" s="84">
        <f>(I21*(1+$E$6)*Forutsetninger!$G$4)*(1+Forutsetninger!$E$13)</f>
        <v>1235061.7009206815</v>
      </c>
      <c r="C39" s="84">
        <f>I32*Forutsetninger!$G$5*1000*(1+Forutsetninger!$E$14)</f>
        <v>995459.99999999988</v>
      </c>
    </row>
    <row r="40" spans="1:12" x14ac:dyDescent="0.25">
      <c r="A40" s="87" t="s">
        <v>41</v>
      </c>
      <c r="B40" s="33">
        <f>(I22*(1+$E$6)*Forutsetninger!$G$4)*(1+Forutsetninger!$E$13)</f>
        <v>1141577.062619511</v>
      </c>
      <c r="C40" s="33">
        <f>I33*Forutsetninger!$G$5*1000*(1+Forutsetninger!$E$14)</f>
        <v>1093220</v>
      </c>
    </row>
    <row r="41" spans="1:12" x14ac:dyDescent="0.25">
      <c r="A41" s="88" t="s">
        <v>42</v>
      </c>
      <c r="B41" s="84">
        <f>(I23*(1+$E$6)*Forutsetninger!$G$4)*(1+Forutsetninger!$E$13)</f>
        <v>1141972.5638895151</v>
      </c>
      <c r="C41" s="84">
        <f>I34*Forutsetninger!$G$5*1000*(1+Forutsetninger!$E$14)</f>
        <v>838479.99999999988</v>
      </c>
    </row>
    <row r="42" spans="1:12" x14ac:dyDescent="0.25">
      <c r="A42" s="87" t="s">
        <v>43</v>
      </c>
      <c r="B42" s="33">
        <f>(I24*(1+$E$6)*Forutsetninger!$G$4)*(1+Forutsetninger!$E$13)</f>
        <v>1135097.1571152897</v>
      </c>
      <c r="C42" s="33">
        <f>I35*Forutsetninger!$G$5*1000*(1+Forutsetninger!$E$14)</f>
        <v>838479.99999999988</v>
      </c>
    </row>
    <row r="43" spans="1:12" x14ac:dyDescent="0.25">
      <c r="A43" s="88" t="s">
        <v>44</v>
      </c>
      <c r="B43" s="84">
        <f>(I25*(1+$E$6)*Forutsetninger!$G$4)*(1+Forutsetninger!$E$13)</f>
        <v>1052533.3496485632</v>
      </c>
      <c r="C43" s="84">
        <f>I36*Forutsetninger!$G$5*1000*(1+Forutsetninger!$E$14)</f>
        <v>838479.99999999988</v>
      </c>
      <c r="D43" s="13"/>
    </row>
    <row r="44" spans="1:12" x14ac:dyDescent="0.25">
      <c r="A44" s="87" t="s">
        <v>45</v>
      </c>
      <c r="B44" s="33">
        <f>(I26*(1+$E$6)*Forutsetninger!$G$4)*(1+Forutsetninger!$E$13)</f>
        <v>1052533.3496485632</v>
      </c>
      <c r="C44" s="33">
        <f>I37*Forutsetninger!$G$5*1000*(1+Forutsetninger!$E$14)</f>
        <v>838479.99999999988</v>
      </c>
    </row>
    <row r="45" spans="1:12" ht="15.75" thickBot="1" x14ac:dyDescent="0.3">
      <c r="A45" s="89" t="s">
        <v>46</v>
      </c>
      <c r="B45" s="85">
        <f>(I27*(1+$E$6)*Forutsetninger!$G$4)*(1+Forutsetninger!$E$13)</f>
        <v>1052533.3496485632</v>
      </c>
      <c r="C45" s="85">
        <f>I38*Forutsetninger!$G$5*1000*(1+Forutsetninger!$E$14)</f>
        <v>838479.99999999988</v>
      </c>
    </row>
    <row r="46" spans="1:12" x14ac:dyDescent="0.25">
      <c r="A46" s="87" t="s">
        <v>72</v>
      </c>
      <c r="B46" s="48">
        <f>(B45-B39)/B39</f>
        <v>-0.14778885227843419</v>
      </c>
      <c r="C46" s="48">
        <f>(C45-C39)/C39</f>
        <v>-0.15769593956562797</v>
      </c>
    </row>
    <row r="48" spans="1:12" ht="15.75" thickBot="1" x14ac:dyDescent="0.3">
      <c r="A48" s="153" t="s">
        <v>8</v>
      </c>
      <c r="B48" s="50" t="s">
        <v>10</v>
      </c>
      <c r="C48" s="82" t="s">
        <v>12</v>
      </c>
    </row>
    <row r="49" spans="1:4" x14ac:dyDescent="0.25">
      <c r="A49" s="87" t="s">
        <v>39</v>
      </c>
      <c r="B49" s="33">
        <f>(J20*(1+$E$6)*Forutsetninger!$G$4)*(1+Forutsetninger!$E$13)</f>
        <v>625288.01556529058</v>
      </c>
      <c r="C49" s="33">
        <f>J31*Forutsetninger!$G$5*1000*(1+Forutsetninger!$E$14)</f>
        <v>10340</v>
      </c>
    </row>
    <row r="50" spans="1:4" x14ac:dyDescent="0.25">
      <c r="A50" s="88" t="s">
        <v>40</v>
      </c>
      <c r="B50" s="84">
        <f>(J21*(1+$E$6)*Forutsetninger!$G$4)*(1+Forutsetninger!$E$13)</f>
        <v>592057.41614563134</v>
      </c>
      <c r="C50" s="84">
        <f>J32*Forutsetninger!$G$5*1000*(1+Forutsetninger!$E$14)</f>
        <v>194579.99999999997</v>
      </c>
    </row>
    <row r="51" spans="1:4" x14ac:dyDescent="0.25">
      <c r="A51" s="87" t="s">
        <v>41</v>
      </c>
      <c r="B51" s="33">
        <f>(J22*(1+$E$6)*Forutsetninger!$G$4)*(1+Forutsetninger!$E$13)</f>
        <v>591866.33701631927</v>
      </c>
      <c r="C51" s="33">
        <f>J33*Forutsetninger!$G$5*1000*(1+Forutsetninger!$E$14)</f>
        <v>285760</v>
      </c>
    </row>
    <row r="52" spans="1:4" x14ac:dyDescent="0.25">
      <c r="A52" s="88" t="s">
        <v>42</v>
      </c>
      <c r="B52" s="84">
        <f>(J23*(1+$E$6)*Forutsetninger!$G$4)*(1+Forutsetninger!$E$13)</f>
        <v>562839.90423279779</v>
      </c>
      <c r="C52" s="84">
        <f>J34*Forutsetninger!$G$5*1000*(1+Forutsetninger!$E$14)</f>
        <v>425820</v>
      </c>
    </row>
    <row r="53" spans="1:4" x14ac:dyDescent="0.25">
      <c r="A53" s="87" t="s">
        <v>43</v>
      </c>
      <c r="B53" s="33">
        <f>(J24*(1+$E$6)*Forutsetninger!$G$4)*(1+Forutsetninger!$E$13)</f>
        <v>559271.85057358223</v>
      </c>
      <c r="C53" s="33">
        <f>J35*Forutsetninger!$G$5*1000*(1+Forutsetninger!$E$14)</f>
        <v>425820</v>
      </c>
    </row>
    <row r="54" spans="1:4" x14ac:dyDescent="0.25">
      <c r="A54" s="88" t="s">
        <v>44</v>
      </c>
      <c r="B54" s="84">
        <f>(J25*(1+$E$6)*Forutsetninger!$G$4)*(1+Forutsetninger!$E$13)</f>
        <v>558903.81244162866</v>
      </c>
      <c r="C54" s="84">
        <f>J36*Forutsetninger!$G$5*1000*(1+Forutsetninger!$E$14)</f>
        <v>425820</v>
      </c>
    </row>
    <row r="55" spans="1:4" x14ac:dyDescent="0.25">
      <c r="A55" s="87" t="s">
        <v>45</v>
      </c>
      <c r="B55" s="33">
        <f>(J26*(1+$E$6)*Forutsetninger!$G$4)*(1+Forutsetninger!$E$13)</f>
        <v>558903.81244162866</v>
      </c>
      <c r="C55" s="33">
        <f>J37*Forutsetninger!$G$5*1000*(1+Forutsetninger!$E$14)</f>
        <v>425820</v>
      </c>
    </row>
    <row r="56" spans="1:4" ht="15.75" thickBot="1" x14ac:dyDescent="0.3">
      <c r="A56" s="89" t="s">
        <v>46</v>
      </c>
      <c r="B56" s="85">
        <f>(J27*(1+$E$6)*Forutsetninger!$G$4)*(1+Forutsetninger!$E$13)</f>
        <v>558903.81244162866</v>
      </c>
      <c r="C56" s="85">
        <f>J38*Forutsetninger!$G$5*1000*(1+Forutsetninger!$E$14)</f>
        <v>425820</v>
      </c>
    </row>
    <row r="57" spans="1:4" x14ac:dyDescent="0.25">
      <c r="A57" s="87" t="s">
        <v>72</v>
      </c>
      <c r="B57" s="48">
        <f>(B56-B50)/B50</f>
        <v>-5.5997277966445956E-2</v>
      </c>
      <c r="C57" s="48">
        <f>(C56-C50)/C50</f>
        <v>1.1884057971014497</v>
      </c>
      <c r="D57" s="13"/>
    </row>
    <row r="60" spans="1:4" ht="15.75" thickBot="1" x14ac:dyDescent="0.3">
      <c r="A60" s="86"/>
      <c r="B60" s="50" t="s">
        <v>48</v>
      </c>
    </row>
    <row r="61" spans="1:4" x14ac:dyDescent="0.25">
      <c r="A61" s="87" t="s">
        <v>39</v>
      </c>
      <c r="B61" s="11">
        <f>6000000*(1+Forutsetninger!$E$15)</f>
        <v>6000000</v>
      </c>
    </row>
    <row r="62" spans="1:4" x14ac:dyDescent="0.25">
      <c r="A62" s="88" t="s">
        <v>40</v>
      </c>
      <c r="B62" s="91">
        <f>7700000*(1+Forutsetninger!$E$15)</f>
        <v>7700000</v>
      </c>
    </row>
    <row r="63" spans="1:4" x14ac:dyDescent="0.25">
      <c r="A63" s="87" t="s">
        <v>41</v>
      </c>
      <c r="B63" s="11">
        <f>10100000*(1+Forutsetninger!$E$15)</f>
        <v>10100000</v>
      </c>
    </row>
    <row r="64" spans="1:4" x14ac:dyDescent="0.25">
      <c r="A64" s="88" t="s">
        <v>42</v>
      </c>
      <c r="B64" s="91">
        <f>12500000*(1+Forutsetninger!$E$15)</f>
        <v>12500000</v>
      </c>
    </row>
    <row r="65" spans="1:4" x14ac:dyDescent="0.25">
      <c r="A65" s="87" t="s">
        <v>43</v>
      </c>
      <c r="B65" s="11">
        <f>13900000*(1+Forutsetninger!$E$15)</f>
        <v>13900000</v>
      </c>
    </row>
    <row r="66" spans="1:4" x14ac:dyDescent="0.25">
      <c r="A66" s="88" t="s">
        <v>44</v>
      </c>
      <c r="B66" s="91">
        <f>13300000*(1+Forutsetninger!$E$15)</f>
        <v>13300000</v>
      </c>
    </row>
    <row r="67" spans="1:4" x14ac:dyDescent="0.25">
      <c r="A67" s="87" t="s">
        <v>45</v>
      </c>
      <c r="B67" s="11">
        <f>12200000*(1+Forutsetninger!$E$15)</f>
        <v>12200000</v>
      </c>
    </row>
    <row r="68" spans="1:4" ht="15" customHeight="1" thickBot="1" x14ac:dyDescent="0.3">
      <c r="A68" s="89" t="s">
        <v>46</v>
      </c>
      <c r="B68" s="92">
        <f>11200000*(1+Forutsetninger!$E$15)</f>
        <v>11200000</v>
      </c>
    </row>
    <row r="69" spans="1:4" ht="18" customHeight="1" x14ac:dyDescent="0.25">
      <c r="A69" s="87" t="s">
        <v>72</v>
      </c>
      <c r="B69" s="48">
        <f>(B68-B62)/B62</f>
        <v>0.45454545454545453</v>
      </c>
    </row>
    <row r="71" spans="1:4" x14ac:dyDescent="0.25">
      <c r="C71" s="11"/>
      <c r="D71" s="13"/>
    </row>
    <row r="72" spans="1:4" x14ac:dyDescent="0.25">
      <c r="C72" s="11"/>
    </row>
    <row r="73" spans="1:4" x14ac:dyDescent="0.25">
      <c r="C73" s="11"/>
    </row>
    <row r="74" spans="1:4" x14ac:dyDescent="0.25">
      <c r="C74" s="11"/>
    </row>
    <row r="75" spans="1:4" x14ac:dyDescent="0.25">
      <c r="C75" s="11"/>
    </row>
    <row r="76" spans="1:4" x14ac:dyDescent="0.25">
      <c r="C76" s="11"/>
    </row>
    <row r="77" spans="1:4" x14ac:dyDescent="0.25">
      <c r="C77" s="11"/>
    </row>
    <row r="78" spans="1:4" x14ac:dyDescent="0.25">
      <c r="C78" s="11"/>
    </row>
  </sheetData>
  <mergeCells count="3">
    <mergeCell ref="A2:D2"/>
    <mergeCell ref="E18:J18"/>
    <mergeCell ref="E29:J29"/>
  </mergeCells>
  <phoneticPr fontId="10" type="noConversion"/>
  <hyperlinks>
    <hyperlink ref="A1" location="Introduksjon!A1" display="Tilbake til introduksjon" xr:uid="{D3B45820-836D-4260-92F6-837D4E105FE4}"/>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5"/>
  <sheetViews>
    <sheetView workbookViewId="0">
      <selection activeCell="F41" sqref="F41"/>
    </sheetView>
  </sheetViews>
  <sheetFormatPr baseColWidth="10" defaultColWidth="11.42578125" defaultRowHeight="15" x14ac:dyDescent="0.25"/>
  <cols>
    <col min="1" max="1" width="21.85546875" style="9" bestFit="1" customWidth="1"/>
    <col min="2" max="2" width="23.85546875" style="9" customWidth="1"/>
    <col min="3" max="3" width="15.42578125" style="9" customWidth="1"/>
    <col min="4" max="4" width="16.42578125" style="9" customWidth="1"/>
    <col min="5" max="5" width="15.7109375" style="9" customWidth="1"/>
    <col min="6" max="6" width="16.28515625" style="9" customWidth="1"/>
    <col min="7" max="7" width="23.85546875" style="9" customWidth="1"/>
    <col min="8" max="8" width="15.28515625" style="9" customWidth="1"/>
    <col min="9" max="9" width="11.7109375" style="9" bestFit="1" customWidth="1"/>
    <col min="10" max="10" width="15.28515625" style="9" customWidth="1"/>
    <col min="11" max="11" width="14.28515625" style="9" customWidth="1"/>
    <col min="12" max="12" width="23.85546875" style="9" customWidth="1"/>
    <col min="13" max="13" width="15.28515625" style="9" customWidth="1"/>
    <col min="14" max="14" width="13.5703125" style="9" customWidth="1"/>
    <col min="15" max="15" width="18" style="9" customWidth="1"/>
    <col min="16" max="16" width="15.28515625" style="9" customWidth="1"/>
    <col min="17" max="17" width="23.85546875" style="9" bestFit="1" customWidth="1"/>
    <col min="18" max="18" width="17" style="9" customWidth="1"/>
    <col min="19" max="19" width="14.5703125" style="9" customWidth="1"/>
    <col min="20" max="20" width="12.7109375" style="9" customWidth="1"/>
    <col min="21" max="21" width="15.42578125" style="9" customWidth="1"/>
    <col min="22" max="22" width="23.85546875" style="9" customWidth="1"/>
    <col min="23" max="23" width="15.28515625" style="9" customWidth="1"/>
    <col min="24" max="25" width="11.42578125" style="9"/>
    <col min="26" max="26" width="23.85546875" style="9" bestFit="1" customWidth="1"/>
    <col min="27" max="27" width="15.42578125" style="9" bestFit="1" customWidth="1"/>
    <col min="28" max="28" width="15.28515625" style="9" bestFit="1" customWidth="1"/>
    <col min="29" max="29" width="8.5703125" style="9" bestFit="1" customWidth="1"/>
    <col min="30" max="16384" width="11.42578125" style="9"/>
  </cols>
  <sheetData>
    <row r="1" spans="1:19" x14ac:dyDescent="0.25">
      <c r="A1" s="45" t="s">
        <v>170</v>
      </c>
    </row>
    <row r="2" spans="1:19" ht="18.75" x14ac:dyDescent="0.3">
      <c r="A2" s="175" t="s">
        <v>192</v>
      </c>
      <c r="B2" s="176"/>
      <c r="C2" s="176"/>
      <c r="D2" s="177"/>
      <c r="E2" s="18"/>
      <c r="F2" s="18"/>
      <c r="G2" s="18"/>
      <c r="H2" s="18"/>
    </row>
    <row r="3" spans="1:19" x14ac:dyDescent="0.25">
      <c r="A3" s="18"/>
      <c r="B3" s="18"/>
      <c r="C3" s="18"/>
      <c r="D3" s="18"/>
      <c r="E3" s="18"/>
      <c r="F3" s="18"/>
      <c r="G3" s="18"/>
      <c r="H3" s="18"/>
    </row>
    <row r="4" spans="1:19" ht="15.75" thickBot="1" x14ac:dyDescent="0.3">
      <c r="A4" s="115"/>
      <c r="B4" s="179" t="s">
        <v>49</v>
      </c>
      <c r="C4" s="179"/>
      <c r="D4" s="179"/>
      <c r="E4" s="179"/>
      <c r="F4" s="179"/>
      <c r="G4" s="18"/>
      <c r="H4" s="18"/>
    </row>
    <row r="5" spans="1:19" ht="15.75" thickBot="1" x14ac:dyDescent="0.3">
      <c r="A5" s="114"/>
      <c r="B5" s="83" t="s">
        <v>50</v>
      </c>
      <c r="C5" s="83" t="s">
        <v>51</v>
      </c>
      <c r="D5" s="83" t="s">
        <v>52</v>
      </c>
      <c r="E5" s="83" t="s">
        <v>53</v>
      </c>
      <c r="F5" s="83" t="s">
        <v>54</v>
      </c>
      <c r="G5" s="18"/>
      <c r="H5" s="18"/>
    </row>
    <row r="6" spans="1:19" x14ac:dyDescent="0.25">
      <c r="A6" s="87">
        <v>2024</v>
      </c>
      <c r="B6" s="26">
        <v>1</v>
      </c>
      <c r="C6" s="26">
        <v>1</v>
      </c>
      <c r="D6" s="26">
        <v>1</v>
      </c>
      <c r="E6" s="26">
        <v>1</v>
      </c>
      <c r="F6" s="26">
        <v>1</v>
      </c>
      <c r="G6" s="18"/>
      <c r="H6" s="18"/>
    </row>
    <row r="7" spans="1:19" x14ac:dyDescent="0.25">
      <c r="A7" s="88">
        <v>2025</v>
      </c>
      <c r="B7" s="69">
        <f>1+'Forbruk MWh'!M7</f>
        <v>1.0103766424053291</v>
      </c>
      <c r="C7" s="69">
        <f>1+'Forbruk MWh'!M20</f>
        <v>1.01020136015298</v>
      </c>
      <c r="D7" s="69">
        <f>1+'Forbruk MWh'!M33</f>
        <v>1.0100226476731933</v>
      </c>
      <c r="E7" s="69">
        <f>1+'Forbruk MWh'!M46</f>
        <v>1.0103089177084497</v>
      </c>
      <c r="F7" s="69">
        <f>1+'Forbruk MWh'!M59</f>
        <v>1.0102692043806965</v>
      </c>
      <c r="G7" s="25"/>
      <c r="H7" s="18"/>
    </row>
    <row r="8" spans="1:19" x14ac:dyDescent="0.25">
      <c r="A8" s="87">
        <v>2026</v>
      </c>
      <c r="B8" s="26">
        <f>1+'Forbruk MWh'!M8</f>
        <v>1.0206463671173376</v>
      </c>
      <c r="C8" s="26">
        <f>1+'Forbruk MWh'!M21</f>
        <v>1.019784075108457</v>
      </c>
      <c r="D8" s="26">
        <f>1+'Forbruk MWh'!M34</f>
        <v>1.0190040605541115</v>
      </c>
      <c r="E8" s="26">
        <f>1+'Forbruk MWh'!M47</f>
        <v>1.0202533914472913</v>
      </c>
      <c r="F8" s="26">
        <f>1+'Forbruk MWh'!M60</f>
        <v>1.0200801180601491</v>
      </c>
      <c r="G8" s="25"/>
      <c r="H8" s="18"/>
    </row>
    <row r="9" spans="1:19" x14ac:dyDescent="0.25">
      <c r="A9" s="88">
        <v>2027</v>
      </c>
      <c r="B9" s="69">
        <f>1+'Forbruk MWh'!M9</f>
        <v>1.0232465349597291</v>
      </c>
      <c r="C9" s="69">
        <f>1+'Forbruk MWh'!M22</f>
        <v>1.0222264924828008</v>
      </c>
      <c r="D9" s="69">
        <f>1+'Forbruk MWh'!M35</f>
        <v>1.0213014086027903</v>
      </c>
      <c r="E9" s="69">
        <f>1+'Forbruk MWh'!M48</f>
        <v>1.022782412034573</v>
      </c>
      <c r="F9" s="69">
        <f>1+'Forbruk MWh'!M61</f>
        <v>1.02257722397603</v>
      </c>
      <c r="G9" s="25"/>
      <c r="H9" s="18"/>
    </row>
    <row r="10" spans="1:19" x14ac:dyDescent="0.25">
      <c r="A10" s="87">
        <v>2028</v>
      </c>
      <c r="B10" s="26">
        <f>1+'Forbruk MWh'!M10</f>
        <v>1.0044500078668415</v>
      </c>
      <c r="C10" s="26">
        <f>1+'Forbruk MWh'!M23</f>
        <v>1.0046658872726437</v>
      </c>
      <c r="D10" s="26">
        <f>1+'Forbruk MWh'!M36</f>
        <v>1.0048194820133884</v>
      </c>
      <c r="E10" s="26">
        <f>1+'Forbruk MWh'!M49</f>
        <v>1.0045737197614903</v>
      </c>
      <c r="F10" s="26">
        <f>1+'Forbruk MWh'!M62</f>
        <v>1.0046077268154621</v>
      </c>
      <c r="G10" s="18"/>
      <c r="H10" s="18"/>
    </row>
    <row r="11" spans="1:19" x14ac:dyDescent="0.25">
      <c r="A11" s="88">
        <v>2029</v>
      </c>
      <c r="B11" s="69">
        <f>1+'Forbruk MWh'!M11</f>
        <v>1.0056877887813953</v>
      </c>
      <c r="C11" s="69">
        <f>1+'Forbruk MWh'!M24</f>
        <v>1.0058266319768361</v>
      </c>
      <c r="D11" s="69">
        <f>1+'Forbruk MWh'!M37</f>
        <v>1.0059066235233329</v>
      </c>
      <c r="E11" s="69">
        <f>1+'Forbruk MWh'!M50</f>
        <v>1.0057786197507599</v>
      </c>
      <c r="F11" s="69">
        <f>1+'Forbruk MWh'!M63</f>
        <v>1.0057963358512529</v>
      </c>
      <c r="G11" s="18"/>
      <c r="H11" s="18"/>
    </row>
    <row r="12" spans="1:19" x14ac:dyDescent="0.25">
      <c r="A12" s="87">
        <v>2030</v>
      </c>
      <c r="B12" s="26">
        <f>1+'Forbruk MWh'!M12</f>
        <v>1.0069060046390721</v>
      </c>
      <c r="C12" s="26">
        <f>1+'Forbruk MWh'!M25</f>
        <v>1.0069684435222499</v>
      </c>
      <c r="D12" s="26">
        <f>1+'Forbruk MWh'!M38</f>
        <v>1.0069756783273107</v>
      </c>
      <c r="E12" s="26">
        <f>1+'Forbruk MWh'!M51</f>
        <v>1.0069641005220298</v>
      </c>
      <c r="F12" s="26">
        <f>1+'Forbruk MWh'!M64</f>
        <v>1.0069657031002111</v>
      </c>
    </row>
    <row r="13" spans="1:19" x14ac:dyDescent="0.25">
      <c r="A13" s="20"/>
      <c r="B13" s="26"/>
      <c r="C13" s="26"/>
      <c r="D13" s="26"/>
      <c r="E13" s="26"/>
      <c r="F13" s="26"/>
    </row>
    <row r="14" spans="1:19" x14ac:dyDescent="0.25">
      <c r="L14" s="27"/>
      <c r="M14" s="27"/>
    </row>
    <row r="15" spans="1:19" ht="15.75" thickBot="1" x14ac:dyDescent="0.3">
      <c r="A15" s="154" t="s">
        <v>4</v>
      </c>
      <c r="B15" s="179" t="s">
        <v>55</v>
      </c>
      <c r="C15" s="179"/>
      <c r="E15" s="154" t="s">
        <v>5</v>
      </c>
      <c r="F15" s="179" t="s">
        <v>55</v>
      </c>
      <c r="G15" s="179"/>
      <c r="I15" s="154" t="s">
        <v>6</v>
      </c>
      <c r="J15" s="179" t="s">
        <v>55</v>
      </c>
      <c r="K15" s="179"/>
      <c r="M15" s="154" t="s">
        <v>7</v>
      </c>
      <c r="N15" s="179" t="s">
        <v>55</v>
      </c>
      <c r="O15" s="179"/>
      <c r="Q15" s="154" t="s">
        <v>8</v>
      </c>
      <c r="R15" s="179" t="s">
        <v>55</v>
      </c>
      <c r="S15" s="179"/>
    </row>
    <row r="16" spans="1:19" ht="15.75" thickBot="1" x14ac:dyDescent="0.3">
      <c r="A16" s="99"/>
      <c r="B16" s="117" t="s">
        <v>56</v>
      </c>
      <c r="C16" s="117" t="s">
        <v>57</v>
      </c>
      <c r="E16" s="99"/>
      <c r="F16" s="117" t="s">
        <v>56</v>
      </c>
      <c r="G16" s="117" t="s">
        <v>57</v>
      </c>
      <c r="I16" s="99"/>
      <c r="J16" s="117" t="s">
        <v>56</v>
      </c>
      <c r="K16" s="117" t="s">
        <v>57</v>
      </c>
      <c r="M16" s="99"/>
      <c r="N16" s="117" t="s">
        <v>56</v>
      </c>
      <c r="O16" s="117" t="s">
        <v>57</v>
      </c>
      <c r="Q16" s="99"/>
      <c r="R16" s="117" t="s">
        <v>56</v>
      </c>
      <c r="S16" s="117" t="s">
        <v>57</v>
      </c>
    </row>
    <row r="17" spans="1:24" x14ac:dyDescent="0.25">
      <c r="A17" s="87" t="s">
        <v>39</v>
      </c>
      <c r="B17" s="116">
        <f>'IR 2023-2024'!B9</f>
        <v>1210411</v>
      </c>
      <c r="C17" s="116">
        <f>'IR 2023-2024'!C9</f>
        <v>581881</v>
      </c>
      <c r="E17" s="87" t="s">
        <v>39</v>
      </c>
      <c r="F17" s="116">
        <f>'IR 2023-2024'!$B$15</f>
        <v>915327</v>
      </c>
      <c r="G17" s="116">
        <f>'IR 2023-2024'!$C$15</f>
        <v>511547</v>
      </c>
      <c r="I17" s="87" t="s">
        <v>39</v>
      </c>
      <c r="J17" s="116">
        <f>'IR 2023-2024'!$B$21</f>
        <v>637245</v>
      </c>
      <c r="K17" s="116">
        <f>'IR 2023-2024'!$C$21</f>
        <v>351939</v>
      </c>
      <c r="M17" s="87" t="s">
        <v>39</v>
      </c>
      <c r="N17" s="116">
        <f>'IR 2023-2024'!$B$27</f>
        <v>432983</v>
      </c>
      <c r="O17" s="116">
        <f>'IR 2023-2024'!$C$27</f>
        <v>348360</v>
      </c>
      <c r="Q17" s="87" t="s">
        <v>39</v>
      </c>
      <c r="R17" s="116">
        <f>'IR 2023-2024'!$B$33</f>
        <v>415513</v>
      </c>
      <c r="S17" s="116">
        <f>'IR 2023-2024'!$C$33</f>
        <v>132000</v>
      </c>
    </row>
    <row r="18" spans="1:24" x14ac:dyDescent="0.25">
      <c r="A18" s="88" t="s">
        <v>40</v>
      </c>
      <c r="B18" s="118">
        <f>'IR 2023-2024'!F9</f>
        <v>1075850</v>
      </c>
      <c r="C18" s="118">
        <f>'IR 2023-2024'!G9</f>
        <v>499251</v>
      </c>
      <c r="D18" s="10"/>
      <c r="E18" s="88" t="s">
        <v>40</v>
      </c>
      <c r="F18" s="118">
        <f>'IR 2023-2024'!$F$15</f>
        <v>785456</v>
      </c>
      <c r="G18" s="118">
        <f>'IR 2023-2024'!$G$15</f>
        <v>423519</v>
      </c>
      <c r="H18" s="10"/>
      <c r="I18" s="88" t="s">
        <v>40</v>
      </c>
      <c r="J18" s="118">
        <f>'IR 2023-2024'!$F$21</f>
        <v>582685</v>
      </c>
      <c r="K18" s="118">
        <f>'IR 2023-2024'!$G$21</f>
        <v>411509</v>
      </c>
      <c r="L18" s="10"/>
      <c r="M18" s="88" t="s">
        <v>40</v>
      </c>
      <c r="N18" s="118">
        <f>'IR 2023-2024'!$F$27</f>
        <v>424256</v>
      </c>
      <c r="O18" s="118">
        <f>'IR 2023-2024'!$G$27</f>
        <v>381354</v>
      </c>
      <c r="P18" s="10"/>
      <c r="Q18" s="88" t="s">
        <v>40</v>
      </c>
      <c r="R18" s="118">
        <f>'IR 2023-2024'!$F$33</f>
        <v>397343</v>
      </c>
      <c r="S18" s="118">
        <f>'IR 2023-2024'!$G$33</f>
        <v>121605</v>
      </c>
      <c r="T18" s="10"/>
    </row>
    <row r="19" spans="1:24" x14ac:dyDescent="0.25">
      <c r="A19" s="87" t="s">
        <v>41</v>
      </c>
      <c r="B19" s="14">
        <f>B18*$B7</f>
        <v>1087013.7107317734</v>
      </c>
      <c r="C19" s="14">
        <f t="shared" ref="B19:C24" si="0">C18*$B7</f>
        <v>504431.54909750295</v>
      </c>
      <c r="E19" s="87" t="s">
        <v>41</v>
      </c>
      <c r="F19" s="14">
        <f t="shared" ref="F19:G24" si="1">F18*$C7</f>
        <v>793468.71954031906</v>
      </c>
      <c r="G19" s="14">
        <f t="shared" si="1"/>
        <v>427839.46985062992</v>
      </c>
      <c r="I19" s="87" t="s">
        <v>41</v>
      </c>
      <c r="J19" s="14">
        <f t="shared" ref="J19:K24" si="2">J18*$D7</f>
        <v>588525.04645945458</v>
      </c>
      <c r="K19" s="14">
        <f t="shared" si="2"/>
        <v>415633.40972134809</v>
      </c>
      <c r="M19" s="87" t="s">
        <v>41</v>
      </c>
      <c r="N19" s="14">
        <f t="shared" ref="N19:O24" si="3">N18*$E7</f>
        <v>428629.620191316</v>
      </c>
      <c r="O19" s="14">
        <f t="shared" si="3"/>
        <v>385285.34700378811</v>
      </c>
      <c r="Q19" s="87" t="s">
        <v>41</v>
      </c>
      <c r="R19" s="14">
        <f t="shared" ref="R19:S24" si="4">R18*$F7</f>
        <v>401423.39647623908</v>
      </c>
      <c r="S19" s="14">
        <f t="shared" si="4"/>
        <v>122853.78659871459</v>
      </c>
    </row>
    <row r="20" spans="1:24" x14ac:dyDescent="0.25">
      <c r="A20" s="88" t="s">
        <v>42</v>
      </c>
      <c r="B20" s="62">
        <f t="shared" si="0"/>
        <v>1109456.5948651209</v>
      </c>
      <c r="C20" s="62">
        <f>C19*$B8</f>
        <v>514846.22804573731</v>
      </c>
      <c r="E20" s="88" t="s">
        <v>42</v>
      </c>
      <c r="F20" s="62">
        <f t="shared" si="1"/>
        <v>809166.76428391598</v>
      </c>
      <c r="G20" s="62">
        <f t="shared" si="1"/>
        <v>436303.87805651722</v>
      </c>
      <c r="I20" s="88" t="s">
        <v>42</v>
      </c>
      <c r="J20" s="62">
        <f t="shared" si="2"/>
        <v>599709.4120799813</v>
      </c>
      <c r="K20" s="62">
        <f t="shared" si="2"/>
        <v>423532.13220800442</v>
      </c>
      <c r="M20" s="88" t="s">
        <v>42</v>
      </c>
      <c r="N20" s="62">
        <f t="shared" si="3"/>
        <v>437310.82367495453</v>
      </c>
      <c r="O20" s="62">
        <f t="shared" si="3"/>
        <v>393088.68195556127</v>
      </c>
      <c r="Q20" s="88" t="s">
        <v>42</v>
      </c>
      <c r="R20" s="62">
        <f t="shared" si="4"/>
        <v>409484.02566958801</v>
      </c>
      <c r="S20" s="62">
        <f t="shared" si="4"/>
        <v>125320.70513775315</v>
      </c>
    </row>
    <row r="21" spans="1:24" x14ac:dyDescent="0.25">
      <c r="A21" s="87" t="s">
        <v>43</v>
      </c>
      <c r="B21" s="14">
        <f>B20*$B9</f>
        <v>1135247.6163839549</v>
      </c>
      <c r="C21" s="14">
        <f t="shared" si="0"/>
        <v>526814.6188848872</v>
      </c>
      <c r="E21" s="87" t="s">
        <v>43</v>
      </c>
      <c r="F21" s="14">
        <f t="shared" si="1"/>
        <v>827151.70328760473</v>
      </c>
      <c r="G21" s="14">
        <f t="shared" si="1"/>
        <v>446001.38292235724</v>
      </c>
      <c r="I21" s="87" t="s">
        <v>43</v>
      </c>
      <c r="J21" s="14">
        <f t="shared" si="2"/>
        <v>612484.06730963616</v>
      </c>
      <c r="K21" s="14">
        <f t="shared" si="2"/>
        <v>432553.96321257809</v>
      </c>
      <c r="M21" s="87" t="s">
        <v>43</v>
      </c>
      <c r="N21" s="14">
        <f>N20*$E9</f>
        <v>447273.81904709584</v>
      </c>
      <c r="O21" s="14">
        <f t="shared" si="3"/>
        <v>402044.19027400011</v>
      </c>
      <c r="Q21" s="87" t="s">
        <v>43</v>
      </c>
      <c r="R21" s="14">
        <f t="shared" si="4"/>
        <v>418729.03823173675</v>
      </c>
      <c r="S21" s="14">
        <f t="shared" si="4"/>
        <v>128150.09876648222</v>
      </c>
    </row>
    <row r="22" spans="1:24" x14ac:dyDescent="0.25">
      <c r="A22" s="88" t="s">
        <v>44</v>
      </c>
      <c r="B22" s="62">
        <f t="shared" si="0"/>
        <v>1140299.4772076765</v>
      </c>
      <c r="C22" s="62">
        <f t="shared" si="0"/>
        <v>529158.94808329199</v>
      </c>
      <c r="E22" s="88" t="s">
        <v>44</v>
      </c>
      <c r="F22" s="62">
        <f t="shared" si="1"/>
        <v>831011.09989252</v>
      </c>
      <c r="G22" s="62">
        <f t="shared" si="1"/>
        <v>448082.37509851618</v>
      </c>
      <c r="I22" s="88" t="s">
        <v>44</v>
      </c>
      <c r="J22" s="62">
        <f t="shared" si="2"/>
        <v>615435.92325552192</v>
      </c>
      <c r="K22" s="62">
        <f t="shared" si="2"/>
        <v>434638.64925810101</v>
      </c>
      <c r="M22" s="88" t="s">
        <v>44</v>
      </c>
      <c r="N22" s="62">
        <f t="shared" si="3"/>
        <v>449319.52415206877</v>
      </c>
      <c r="O22" s="62">
        <f t="shared" si="3"/>
        <v>403883.02773204871</v>
      </c>
      <c r="Q22" s="88" t="s">
        <v>44</v>
      </c>
      <c r="R22" s="62">
        <f t="shared" si="4"/>
        <v>420658.42724960978</v>
      </c>
      <c r="S22" s="62">
        <f t="shared" si="4"/>
        <v>128740.57941297264</v>
      </c>
    </row>
    <row r="23" spans="1:24" x14ac:dyDescent="0.25">
      <c r="A23" s="87" t="s">
        <v>45</v>
      </c>
      <c r="B23" s="14">
        <f t="shared" si="0"/>
        <v>1146785.2597815692</v>
      </c>
      <c r="C23" s="14">
        <f t="shared" si="0"/>
        <v>532168.69241177512</v>
      </c>
      <c r="E23" s="87" t="s">
        <v>45</v>
      </c>
      <c r="F23" s="14">
        <f t="shared" si="1"/>
        <v>835853.09574025951</v>
      </c>
      <c r="G23" s="14">
        <f t="shared" si="1"/>
        <v>450693.18619352183</v>
      </c>
      <c r="I23" s="87" t="s">
        <v>45</v>
      </c>
      <c r="J23" s="14">
        <f t="shared" si="2"/>
        <v>619071.07155692705</v>
      </c>
      <c r="K23" s="14">
        <f t="shared" si="2"/>
        <v>437205.89612795855</v>
      </c>
      <c r="M23" s="87" t="s">
        <v>45</v>
      </c>
      <c r="N23" s="14">
        <f t="shared" si="3"/>
        <v>451915.97082873597</v>
      </c>
      <c r="O23" s="14">
        <f t="shared" si="3"/>
        <v>406216.91417309782</v>
      </c>
      <c r="Q23" s="87" t="s">
        <v>45</v>
      </c>
      <c r="R23" s="14">
        <f t="shared" si="4"/>
        <v>423096.70477260835</v>
      </c>
      <c r="S23" s="14">
        <f t="shared" si="4"/>
        <v>129486.80304893514</v>
      </c>
    </row>
    <row r="24" spans="1:24" x14ac:dyDescent="0.25">
      <c r="A24" s="88" t="s">
        <v>46</v>
      </c>
      <c r="B24" s="62">
        <f>B23*$B12</f>
        <v>1154704.9641056403</v>
      </c>
      <c r="C24" s="62">
        <f t="shared" si="0"/>
        <v>535843.85187033971</v>
      </c>
      <c r="E24" s="88" t="s">
        <v>46</v>
      </c>
      <c r="F24" s="62">
        <f t="shared" si="1"/>
        <v>841677.69083082327</v>
      </c>
      <c r="G24" s="62">
        <f>G23*$C12</f>
        <v>453833.81620737427</v>
      </c>
      <c r="I24" s="88" t="s">
        <v>46</v>
      </c>
      <c r="J24" s="62">
        <f t="shared" si="2"/>
        <v>623389.51221385179</v>
      </c>
      <c r="K24" s="62">
        <f t="shared" si="2"/>
        <v>440255.70382215083</v>
      </c>
      <c r="M24" s="88" t="s">
        <v>46</v>
      </c>
      <c r="N24" s="62">
        <f t="shared" si="3"/>
        <v>455063.15907709795</v>
      </c>
      <c r="O24" s="62">
        <f t="shared" si="3"/>
        <v>409045.84959714802</v>
      </c>
      <c r="Q24" s="88" t="s">
        <v>46</v>
      </c>
      <c r="R24" s="62">
        <f t="shared" si="4"/>
        <v>426043.87080073199</v>
      </c>
      <c r="S24" s="62">
        <f t="shared" si="4"/>
        <v>130388.76967436953</v>
      </c>
    </row>
    <row r="27" spans="1:24" ht="15.75" thickBot="1" x14ac:dyDescent="0.3">
      <c r="A27" s="154" t="s">
        <v>4</v>
      </c>
      <c r="B27" s="179" t="s">
        <v>58</v>
      </c>
      <c r="C27" s="179"/>
      <c r="D27" s="179"/>
      <c r="F27" s="154" t="s">
        <v>5</v>
      </c>
      <c r="G27" s="179" t="s">
        <v>58</v>
      </c>
      <c r="H27" s="179"/>
      <c r="I27" s="179"/>
      <c r="K27" s="154" t="s">
        <v>6</v>
      </c>
      <c r="L27" s="179" t="s">
        <v>58</v>
      </c>
      <c r="M27" s="179"/>
      <c r="N27" s="179"/>
      <c r="P27" s="154" t="s">
        <v>7</v>
      </c>
      <c r="Q27" s="179" t="s">
        <v>58</v>
      </c>
      <c r="R27" s="179"/>
      <c r="S27" s="179"/>
      <c r="U27" s="154" t="s">
        <v>8</v>
      </c>
      <c r="V27" s="179" t="s">
        <v>58</v>
      </c>
      <c r="W27" s="179"/>
      <c r="X27" s="179"/>
    </row>
    <row r="28" spans="1:24" ht="15.75" thickBot="1" x14ac:dyDescent="0.3">
      <c r="A28" s="99"/>
      <c r="B28" s="119" t="s">
        <v>59</v>
      </c>
      <c r="C28" s="119" t="s">
        <v>60</v>
      </c>
      <c r="D28" s="119" t="s">
        <v>34</v>
      </c>
      <c r="F28" s="99"/>
      <c r="G28" s="119" t="s">
        <v>59</v>
      </c>
      <c r="H28" s="119" t="s">
        <v>60</v>
      </c>
      <c r="I28" s="119" t="s">
        <v>34</v>
      </c>
      <c r="K28" s="99"/>
      <c r="L28" s="119" t="s">
        <v>59</v>
      </c>
      <c r="M28" s="119" t="s">
        <v>60</v>
      </c>
      <c r="N28" s="119" t="s">
        <v>34</v>
      </c>
      <c r="P28" s="99"/>
      <c r="Q28" s="119" t="s">
        <v>59</v>
      </c>
      <c r="R28" s="119" t="s">
        <v>60</v>
      </c>
      <c r="S28" s="119" t="s">
        <v>34</v>
      </c>
      <c r="U28" s="99"/>
      <c r="V28" s="119" t="s">
        <v>59</v>
      </c>
      <c r="W28" s="119" t="s">
        <v>60</v>
      </c>
      <c r="X28" s="119" t="s">
        <v>34</v>
      </c>
    </row>
    <row r="29" spans="1:24" x14ac:dyDescent="0.25">
      <c r="A29" s="87" t="s">
        <v>39</v>
      </c>
      <c r="B29" s="15">
        <f>760.750369011187/10</f>
        <v>76.075036901118693</v>
      </c>
      <c r="C29" s="15">
        <f t="shared" ref="C29:C36" si="5">B29+1.1</f>
        <v>77.175036901118688</v>
      </c>
      <c r="D29" s="15">
        <f>C29/100</f>
        <v>0.77175036901118688</v>
      </c>
      <c r="F29" s="87" t="s">
        <v>39</v>
      </c>
      <c r="G29" s="15">
        <f>904.057669513128/10</f>
        <v>90.405766951312799</v>
      </c>
      <c r="H29" s="15">
        <f>G29+1.1</f>
        <v>91.505766951312793</v>
      </c>
      <c r="I29" s="15">
        <f>H29/100</f>
        <v>0.91505766951312795</v>
      </c>
      <c r="K29" s="87" t="s">
        <v>39</v>
      </c>
      <c r="L29" s="15">
        <f>438.542297112671/10</f>
        <v>43.854229711267102</v>
      </c>
      <c r="M29" s="15">
        <f>L29+1.1</f>
        <v>44.954229711267104</v>
      </c>
      <c r="N29" s="15">
        <f>M29/100</f>
        <v>0.44954229711267102</v>
      </c>
      <c r="P29" s="87" t="s">
        <v>39</v>
      </c>
      <c r="Q29" s="15">
        <f>341.880650415411/10</f>
        <v>34.188065041541101</v>
      </c>
      <c r="R29" s="15">
        <f>Q29+1.1</f>
        <v>35.288065041541103</v>
      </c>
      <c r="S29" s="15">
        <f>R29/100</f>
        <v>0.352880650415411</v>
      </c>
      <c r="U29" s="87" t="s">
        <v>39</v>
      </c>
      <c r="V29" s="15">
        <f>761.779375982078/10</f>
        <v>76.177937598207805</v>
      </c>
      <c r="W29" s="15">
        <f>V29+1.1</f>
        <v>77.277937598207799</v>
      </c>
      <c r="X29" s="15">
        <f>W29/100</f>
        <v>0.77277937598207802</v>
      </c>
    </row>
    <row r="30" spans="1:24" x14ac:dyDescent="0.25">
      <c r="A30" s="88" t="s">
        <v>40</v>
      </c>
      <c r="B30" s="120">
        <f>629.588658945982/10</f>
        <v>62.958865894598205</v>
      </c>
      <c r="C30" s="120">
        <f t="shared" si="5"/>
        <v>64.058865894598199</v>
      </c>
      <c r="D30" s="120">
        <f>C30/100</f>
        <v>0.64058865894598194</v>
      </c>
      <c r="F30" s="88" t="s">
        <v>40</v>
      </c>
      <c r="G30" s="120">
        <f>657.04493433324/10</f>
        <v>65.704493433324004</v>
      </c>
      <c r="H30" s="120">
        <f t="shared" ref="H30:H35" si="6">G30+1.1</f>
        <v>66.804493433323998</v>
      </c>
      <c r="I30" s="120">
        <f>H30/100</f>
        <v>0.66804493433323997</v>
      </c>
      <c r="K30" s="88" t="s">
        <v>40</v>
      </c>
      <c r="L30" s="120">
        <f>433.666189067122/10</f>
        <v>43.366618906712198</v>
      </c>
      <c r="M30" s="120">
        <f t="shared" ref="M30:M36" si="7">L30+1.1</f>
        <v>44.466618906712199</v>
      </c>
      <c r="N30" s="120">
        <f>M30/100</f>
        <v>0.44466618906712196</v>
      </c>
      <c r="P30" s="88" t="s">
        <v>40</v>
      </c>
      <c r="Q30" s="120">
        <f>369.918278002726/10</f>
        <v>36.991827800272603</v>
      </c>
      <c r="R30" s="120">
        <f t="shared" ref="R30:R36" si="8">Q30+1.1</f>
        <v>38.091827800272604</v>
      </c>
      <c r="S30" s="120">
        <f>R30/100</f>
        <v>0.38091827800272604</v>
      </c>
      <c r="U30" s="88" t="s">
        <v>40</v>
      </c>
      <c r="V30" s="120">
        <f>616.126566411138/10</f>
        <v>61.612656641113801</v>
      </c>
      <c r="W30" s="120">
        <f t="shared" ref="W30:W36" si="9">V30+1.1</f>
        <v>62.712656641113803</v>
      </c>
      <c r="X30" s="120">
        <f>W30/100</f>
        <v>0.62712656641113806</v>
      </c>
    </row>
    <row r="31" spans="1:24" x14ac:dyDescent="0.25">
      <c r="A31" s="87" t="s">
        <v>41</v>
      </c>
      <c r="B31" s="15">
        <f>628.0497/10</f>
        <v>62.804970000000004</v>
      </c>
      <c r="C31" s="15">
        <f t="shared" si="5"/>
        <v>63.904970000000006</v>
      </c>
      <c r="D31" s="15">
        <f>C31/100*(1+Forutsetninger!$E$16)</f>
        <v>0.63904970000000005</v>
      </c>
      <c r="F31" s="87" t="s">
        <v>41</v>
      </c>
      <c r="G31" s="15">
        <f>700.6836/10</f>
        <v>70.068359999999998</v>
      </c>
      <c r="H31" s="15">
        <f t="shared" si="6"/>
        <v>71.168359999999993</v>
      </c>
      <c r="I31" s="15">
        <f>H31/100*(1+Forutsetninger!$E$16)</f>
        <v>0.71168359999999997</v>
      </c>
      <c r="K31" s="87" t="s">
        <v>41</v>
      </c>
      <c r="L31" s="15">
        <f>370.0111/10</f>
        <v>37.001109999999997</v>
      </c>
      <c r="M31" s="15">
        <f t="shared" si="7"/>
        <v>38.101109999999998</v>
      </c>
      <c r="N31" s="15">
        <f>M31/100*(1+Forutsetninger!$E$16)</f>
        <v>0.38101109999999999</v>
      </c>
      <c r="P31" s="87" t="s">
        <v>41</v>
      </c>
      <c r="Q31" s="15">
        <f>321.2084/10</f>
        <v>32.120840000000001</v>
      </c>
      <c r="R31" s="15">
        <f t="shared" si="8"/>
        <v>33.220840000000003</v>
      </c>
      <c r="S31" s="15">
        <f>R31/100*(1+Forutsetninger!$E$16)</f>
        <v>0.33220840000000001</v>
      </c>
      <c r="U31" s="87" t="s">
        <v>41</v>
      </c>
      <c r="V31" s="15">
        <f>612.3143/10</f>
        <v>61.231430000000003</v>
      </c>
      <c r="W31" s="15">
        <f t="shared" si="9"/>
        <v>62.331430000000005</v>
      </c>
      <c r="X31" s="15">
        <f>W31/100*(1+Forutsetninger!$E$16)</f>
        <v>0.6233143000000001</v>
      </c>
    </row>
    <row r="32" spans="1:24" x14ac:dyDescent="0.25">
      <c r="A32" s="88" t="s">
        <v>42</v>
      </c>
      <c r="B32" s="120">
        <f>601.4819/10</f>
        <v>60.14819</v>
      </c>
      <c r="C32" s="120">
        <f t="shared" si="5"/>
        <v>61.248190000000001</v>
      </c>
      <c r="D32" s="120">
        <f>C32/100*(1+Forutsetninger!$E$16)</f>
        <v>0.61248190000000002</v>
      </c>
      <c r="F32" s="88" t="s">
        <v>42</v>
      </c>
      <c r="G32" s="120">
        <f>669.8969/10</f>
        <v>66.989689999999996</v>
      </c>
      <c r="H32" s="120">
        <f t="shared" si="6"/>
        <v>68.08968999999999</v>
      </c>
      <c r="I32" s="120">
        <f>H32/100*(1+Forutsetninger!$E$16)</f>
        <v>0.68089689999999992</v>
      </c>
      <c r="K32" s="88" t="s">
        <v>42</v>
      </c>
      <c r="L32" s="120">
        <f>393.3863/10</f>
        <v>39.338630000000002</v>
      </c>
      <c r="M32" s="120">
        <f t="shared" si="7"/>
        <v>40.438630000000003</v>
      </c>
      <c r="N32" s="120">
        <f>M32/100*(1+Forutsetninger!$E$16)</f>
        <v>0.40438630000000003</v>
      </c>
      <c r="P32" s="88" t="s">
        <v>42</v>
      </c>
      <c r="Q32" s="120">
        <f>339.2244/10</f>
        <v>33.922440000000002</v>
      </c>
      <c r="R32" s="120">
        <f t="shared" si="8"/>
        <v>35.022440000000003</v>
      </c>
      <c r="S32" s="120">
        <f>R32/100*(1+Forutsetninger!$E$16)</f>
        <v>0.35022440000000005</v>
      </c>
      <c r="U32" s="88" t="s">
        <v>42</v>
      </c>
      <c r="V32" s="120">
        <f>590.0794/10</f>
        <v>59.007939999999998</v>
      </c>
      <c r="W32" s="120">
        <f t="shared" si="9"/>
        <v>60.107939999999999</v>
      </c>
      <c r="X32" s="120">
        <f>W32/100*(1+Forutsetninger!$E$16)</f>
        <v>0.60107940000000004</v>
      </c>
    </row>
    <row r="33" spans="1:24" x14ac:dyDescent="0.25">
      <c r="A33" s="87" t="s">
        <v>43</v>
      </c>
      <c r="B33" s="15">
        <f>599.7715/10</f>
        <v>59.977149999999995</v>
      </c>
      <c r="C33" s="15">
        <f t="shared" si="5"/>
        <v>61.077149999999996</v>
      </c>
      <c r="D33" s="15">
        <f>C33/100*(1+Forutsetninger!$E$16)</f>
        <v>0.61077149999999991</v>
      </c>
      <c r="F33" s="87" t="s">
        <v>43</v>
      </c>
      <c r="G33" s="15">
        <f>653.9334/10</f>
        <v>65.393339999999995</v>
      </c>
      <c r="H33" s="15">
        <f t="shared" si="6"/>
        <v>66.493339999999989</v>
      </c>
      <c r="I33" s="15">
        <f>H33/100*(1+Forutsetninger!$E$16)</f>
        <v>0.6649333999999999</v>
      </c>
      <c r="K33" s="87" t="s">
        <v>43</v>
      </c>
      <c r="L33" s="15">
        <f>397.9472/10</f>
        <v>39.794719999999998</v>
      </c>
      <c r="M33" s="15">
        <f t="shared" si="7"/>
        <v>40.89472</v>
      </c>
      <c r="N33" s="15">
        <f>M33/100*(1+Forutsetninger!$E$16)</f>
        <v>0.40894720000000001</v>
      </c>
      <c r="P33" s="87" t="s">
        <v>43</v>
      </c>
      <c r="Q33" s="15">
        <f>326.1115/10</f>
        <v>32.611149999999995</v>
      </c>
      <c r="R33" s="15">
        <f t="shared" si="8"/>
        <v>33.711149999999996</v>
      </c>
      <c r="S33" s="15">
        <f>R33/100*(1+Forutsetninger!$E$16)</f>
        <v>0.33711149999999995</v>
      </c>
      <c r="U33" s="87" t="s">
        <v>43</v>
      </c>
      <c r="V33" s="15">
        <f>588.369/10</f>
        <v>58.8369</v>
      </c>
      <c r="W33" s="15">
        <f t="shared" si="9"/>
        <v>59.936900000000001</v>
      </c>
      <c r="X33" s="15">
        <f>W33/100*(1+Forutsetninger!$E$16)</f>
        <v>0.59936900000000004</v>
      </c>
    </row>
    <row r="34" spans="1:24" x14ac:dyDescent="0.25">
      <c r="A34" s="88" t="s">
        <v>44</v>
      </c>
      <c r="B34" s="120">
        <f>669.847666666667/10</f>
        <v>66.984766666666701</v>
      </c>
      <c r="C34" s="120">
        <f t="shared" si="5"/>
        <v>68.084766666666695</v>
      </c>
      <c r="D34" s="120">
        <f>C34/100*(1+Forutsetninger!$E$16)</f>
        <v>0.68084766666666696</v>
      </c>
      <c r="F34" s="88" t="s">
        <v>44</v>
      </c>
      <c r="G34" s="120">
        <f>709.288933333333/10</f>
        <v>70.928893333333306</v>
      </c>
      <c r="H34" s="120">
        <f t="shared" si="6"/>
        <v>72.028893333333301</v>
      </c>
      <c r="I34" s="120">
        <f>H34/100*(1+Forutsetninger!$E$16)</f>
        <v>0.72028893333333299</v>
      </c>
      <c r="K34" s="88" t="s">
        <v>44</v>
      </c>
      <c r="L34" s="120">
        <f>535.298133333333/10</f>
        <v>53.529813333333301</v>
      </c>
      <c r="M34" s="120">
        <f t="shared" si="7"/>
        <v>54.629813333333303</v>
      </c>
      <c r="N34" s="120">
        <f>M34/100*(1+Forutsetninger!$E$16)</f>
        <v>0.54629813333333299</v>
      </c>
      <c r="P34" s="88" t="s">
        <v>44</v>
      </c>
      <c r="Q34" s="120">
        <f>467.407666666667/10</f>
        <v>46.740766666666701</v>
      </c>
      <c r="R34" s="120">
        <f t="shared" si="8"/>
        <v>47.840766666666703</v>
      </c>
      <c r="S34" s="120">
        <f>R34/100*(1+Forutsetninger!$E$16)</f>
        <v>0.47840766666666701</v>
      </c>
      <c r="U34" s="88" t="s">
        <v>44</v>
      </c>
      <c r="V34" s="120">
        <f>662.246/10</f>
        <v>66.224599999999995</v>
      </c>
      <c r="W34" s="120">
        <f t="shared" si="9"/>
        <v>67.32459999999999</v>
      </c>
      <c r="X34" s="120">
        <f>W34/100*(1+Forutsetninger!$E$16)</f>
        <v>0.6732459999999999</v>
      </c>
    </row>
    <row r="35" spans="1:24" x14ac:dyDescent="0.25">
      <c r="A35" s="87" t="s">
        <v>45</v>
      </c>
      <c r="B35" s="15">
        <f>739.923833333333/10</f>
        <v>73.992383333333308</v>
      </c>
      <c r="C35" s="15">
        <f t="shared" si="5"/>
        <v>75.092383333333302</v>
      </c>
      <c r="D35" s="15">
        <f>C35/100*(1+Forutsetninger!$E$16)</f>
        <v>0.75092383333333301</v>
      </c>
      <c r="F35" s="87" t="s">
        <v>45</v>
      </c>
      <c r="G35" s="15">
        <f>764.644466666667/10</f>
        <v>76.464446666666703</v>
      </c>
      <c r="H35" s="15">
        <f t="shared" si="6"/>
        <v>77.564446666666697</v>
      </c>
      <c r="I35" s="15">
        <f>H35/100*(1+Forutsetninger!$E$16)</f>
        <v>0.77564446666666698</v>
      </c>
      <c r="K35" s="87" t="s">
        <v>45</v>
      </c>
      <c r="L35" s="15">
        <f>672.649066666667/10</f>
        <v>67.26490666666669</v>
      </c>
      <c r="M35" s="15">
        <f t="shared" si="7"/>
        <v>68.364906666666684</v>
      </c>
      <c r="N35" s="15">
        <f>M35/100*(1+Forutsetninger!$E$16)</f>
        <v>0.6836490666666668</v>
      </c>
      <c r="P35" s="87" t="s">
        <v>45</v>
      </c>
      <c r="Q35" s="15">
        <f>608.703833333333/10</f>
        <v>60.870383333333301</v>
      </c>
      <c r="R35" s="15">
        <f t="shared" si="8"/>
        <v>61.970383333333302</v>
      </c>
      <c r="S35" s="15">
        <f>R35/100*(1+Forutsetninger!$E$16)</f>
        <v>0.61970383333333301</v>
      </c>
      <c r="U35" s="87" t="s">
        <v>45</v>
      </c>
      <c r="V35" s="15">
        <f>736.123/10</f>
        <v>73.612300000000005</v>
      </c>
      <c r="W35" s="15">
        <f t="shared" si="9"/>
        <v>74.712299999999999</v>
      </c>
      <c r="X35" s="15">
        <f>W35/100*(1+Forutsetninger!$E$16)</f>
        <v>0.74712299999999998</v>
      </c>
    </row>
    <row r="36" spans="1:24" x14ac:dyDescent="0.25">
      <c r="A36" s="88" t="s">
        <v>46</v>
      </c>
      <c r="B36" s="120">
        <f>810/10</f>
        <v>81</v>
      </c>
      <c r="C36" s="120">
        <f t="shared" si="5"/>
        <v>82.1</v>
      </c>
      <c r="D36" s="120">
        <f>C36/100*(1+Forutsetninger!$E$16)</f>
        <v>0.82099999999999995</v>
      </c>
      <c r="F36" s="88" t="s">
        <v>46</v>
      </c>
      <c r="G36" s="120">
        <f>820/10</f>
        <v>82</v>
      </c>
      <c r="H36" s="120">
        <f>G36+1.1</f>
        <v>83.1</v>
      </c>
      <c r="I36" s="120">
        <f>H36/100*(1+Forutsetninger!$E$16)</f>
        <v>0.83099999999999996</v>
      </c>
      <c r="K36" s="88" t="s">
        <v>46</v>
      </c>
      <c r="L36" s="120">
        <f>810/10</f>
        <v>81</v>
      </c>
      <c r="M36" s="120">
        <f t="shared" si="7"/>
        <v>82.1</v>
      </c>
      <c r="N36" s="120">
        <f>M36/100*(1+Forutsetninger!$E$16)</f>
        <v>0.82099999999999995</v>
      </c>
      <c r="P36" s="88" t="s">
        <v>46</v>
      </c>
      <c r="Q36" s="120">
        <f>750/10</f>
        <v>75</v>
      </c>
      <c r="R36" s="120">
        <f t="shared" si="8"/>
        <v>76.099999999999994</v>
      </c>
      <c r="S36" s="120">
        <f>R36/100*(1+Forutsetninger!$E$16)</f>
        <v>0.7609999999999999</v>
      </c>
      <c r="U36" s="88" t="s">
        <v>46</v>
      </c>
      <c r="V36" s="120">
        <f>810/10</f>
        <v>81</v>
      </c>
      <c r="W36" s="120">
        <f t="shared" si="9"/>
        <v>82.1</v>
      </c>
      <c r="X36" s="120">
        <f>W36/100*(1+Forutsetninger!$E$16)</f>
        <v>0.82099999999999995</v>
      </c>
    </row>
    <row r="39" spans="1:24" ht="15.75" thickBot="1" x14ac:dyDescent="0.3">
      <c r="A39" s="154" t="s">
        <v>61</v>
      </c>
      <c r="B39" s="179" t="s">
        <v>58</v>
      </c>
      <c r="C39" s="179"/>
      <c r="D39" s="179"/>
    </row>
    <row r="40" spans="1:24" ht="15.75" thickBot="1" x14ac:dyDescent="0.3">
      <c r="A40" s="99"/>
      <c r="B40" s="119" t="s">
        <v>59</v>
      </c>
      <c r="C40" s="119" t="s">
        <v>60</v>
      </c>
      <c r="D40" s="119" t="s">
        <v>34</v>
      </c>
      <c r="G40" s="15"/>
    </row>
    <row r="41" spans="1:24" x14ac:dyDescent="0.25">
      <c r="A41" s="87" t="s">
        <v>39</v>
      </c>
      <c r="B41" s="15">
        <v>64.140200000000007</v>
      </c>
      <c r="C41" s="15">
        <f>B41+1.1</f>
        <v>65.240200000000002</v>
      </c>
      <c r="D41" s="15">
        <f>C41/100</f>
        <v>0.65240200000000004</v>
      </c>
    </row>
    <row r="42" spans="1:24" x14ac:dyDescent="0.25">
      <c r="A42" s="88" t="s">
        <v>40</v>
      </c>
      <c r="B42" s="120">
        <f>560.314055673936/10</f>
        <v>56.031405567393598</v>
      </c>
      <c r="C42" s="120">
        <f t="shared" ref="C42:C48" si="10">B42+1.1</f>
        <v>57.1314055673936</v>
      </c>
      <c r="D42" s="120">
        <f>C42/100</f>
        <v>0.57131405567393601</v>
      </c>
      <c r="F42" s="15"/>
    </row>
    <row r="43" spans="1:24" x14ac:dyDescent="0.25">
      <c r="A43" s="87" t="s">
        <v>41</v>
      </c>
      <c r="B43" s="15">
        <f>551.502207624639/10</f>
        <v>55.150220762463903</v>
      </c>
      <c r="C43" s="15">
        <f t="shared" si="10"/>
        <v>56.250220762463904</v>
      </c>
      <c r="D43" s="15">
        <f>C43/100*(1+Forutsetninger!$E$16)</f>
        <v>0.56250220762463909</v>
      </c>
    </row>
    <row r="44" spans="1:24" x14ac:dyDescent="0.25">
      <c r="A44" s="88" t="s">
        <v>42</v>
      </c>
      <c r="B44" s="120">
        <f>540.432794732259/10</f>
        <v>54.043279473225901</v>
      </c>
      <c r="C44" s="120">
        <f t="shared" si="10"/>
        <v>55.143279473225903</v>
      </c>
      <c r="D44" s="120">
        <f>C44/100*(1+Forutsetninger!$E$16)</f>
        <v>0.55143279473225904</v>
      </c>
    </row>
    <row r="45" spans="1:24" x14ac:dyDescent="0.25">
      <c r="A45" s="87" t="s">
        <v>43</v>
      </c>
      <c r="B45" s="15">
        <f>534.643276448076/10</f>
        <v>53.464327644807597</v>
      </c>
      <c r="C45" s="15">
        <f t="shared" si="10"/>
        <v>54.564327644807598</v>
      </c>
      <c r="D45" s="15">
        <f>C45/100*(1+Forutsetninger!$E$16)</f>
        <v>0.54564327644807598</v>
      </c>
    </row>
    <row r="46" spans="1:24" x14ac:dyDescent="0.25">
      <c r="A46" s="88" t="s">
        <v>44</v>
      </c>
      <c r="B46" s="120">
        <f>624.519982730476/10</f>
        <v>62.451998273047607</v>
      </c>
      <c r="C46" s="120">
        <f t="shared" si="10"/>
        <v>63.551998273047609</v>
      </c>
      <c r="D46" s="120">
        <f>C46/100*(1+Forutsetninger!$E$16)</f>
        <v>0.63551998273047605</v>
      </c>
    </row>
    <row r="47" spans="1:24" x14ac:dyDescent="0.25">
      <c r="A47" s="87" t="s">
        <v>45</v>
      </c>
      <c r="B47" s="15">
        <f>714.396689012875/10</f>
        <v>71.43966890128749</v>
      </c>
      <c r="C47" s="15">
        <f t="shared" si="10"/>
        <v>72.539668901287484</v>
      </c>
      <c r="D47" s="15">
        <f>C47/100*(1+Forutsetninger!$E$16)</f>
        <v>0.7253966890128748</v>
      </c>
    </row>
    <row r="48" spans="1:24" x14ac:dyDescent="0.25">
      <c r="A48" s="88" t="s">
        <v>46</v>
      </c>
      <c r="B48" s="120">
        <f>804.273395295274/10</f>
        <v>80.427339529527401</v>
      </c>
      <c r="C48" s="120">
        <f t="shared" si="10"/>
        <v>81.527339529527396</v>
      </c>
      <c r="D48" s="120">
        <f>C48/100*(1+Forutsetninger!$E$16)</f>
        <v>0.81527339529527398</v>
      </c>
    </row>
    <row r="55" spans="8:8" x14ac:dyDescent="0.25">
      <c r="H55" s="15"/>
    </row>
  </sheetData>
  <mergeCells count="13">
    <mergeCell ref="A2:D2"/>
    <mergeCell ref="V27:X27"/>
    <mergeCell ref="B15:C15"/>
    <mergeCell ref="J15:K15"/>
    <mergeCell ref="F15:G15"/>
    <mergeCell ref="R15:S15"/>
    <mergeCell ref="Q27:S27"/>
    <mergeCell ref="B39:D39"/>
    <mergeCell ref="B27:D27"/>
    <mergeCell ref="G27:I27"/>
    <mergeCell ref="B4:F4"/>
    <mergeCell ref="N15:O15"/>
    <mergeCell ref="L27:N27"/>
  </mergeCells>
  <phoneticPr fontId="10" type="noConversion"/>
  <hyperlinks>
    <hyperlink ref="A1" location="Introduksjon!A1" display="Tilbake til introduksjon" xr:uid="{8509A434-D774-49B2-AADC-A6E05E711AED}"/>
  </hyperlinks>
  <pageMargins left="0.7" right="0.7" top="0.75" bottom="0.75" header="0.3" footer="0.3"/>
  <pageSetup paperSize="9" orientation="portrait" r:id="rId1"/>
  <ignoredErrors>
    <ignoredError sqref="A41:A48 U29:U36 P29:P36 Q17:Q24 K29:K36 M17:M24 I17:I24 F29:F36 E17:E24 A17:A24 A29:A36 G37"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workbookViewId="0">
      <selection activeCell="B36" sqref="B36"/>
    </sheetView>
  </sheetViews>
  <sheetFormatPr baseColWidth="10" defaultColWidth="11.42578125" defaultRowHeight="15" x14ac:dyDescent="0.25"/>
  <cols>
    <col min="1" max="1" width="21.85546875" style="9" bestFit="1" customWidth="1"/>
    <col min="2" max="2" width="18.140625" style="9" bestFit="1" customWidth="1"/>
    <col min="3" max="3" width="13.42578125" style="9" bestFit="1" customWidth="1"/>
    <col min="4" max="4" width="16.5703125" style="9" customWidth="1"/>
    <col min="5" max="5" width="21.85546875" style="9" bestFit="1" customWidth="1"/>
    <col min="6" max="6" width="18.140625" style="9" bestFit="1" customWidth="1"/>
    <col min="7" max="7" width="13.42578125" style="9" bestFit="1" customWidth="1"/>
    <col min="8" max="8" width="16.28515625" style="9" customWidth="1"/>
    <col min="9" max="9" width="11.42578125" style="9"/>
    <col min="10" max="10" width="15.7109375" style="9" customWidth="1"/>
    <col min="11" max="11" width="13.5703125" style="9" customWidth="1"/>
    <col min="12" max="12" width="12.7109375" style="9" customWidth="1"/>
    <col min="13" max="13" width="13.42578125" style="9" customWidth="1"/>
    <col min="14" max="14" width="11.42578125" style="9"/>
    <col min="15" max="15" width="12.7109375" style="9" customWidth="1"/>
    <col min="16" max="16384" width="11.42578125" style="9"/>
  </cols>
  <sheetData>
    <row r="1" spans="1:7" x14ac:dyDescent="0.25">
      <c r="A1" s="45" t="s">
        <v>170</v>
      </c>
      <c r="E1" s="46"/>
    </row>
    <row r="2" spans="1:7" ht="18.75" x14ac:dyDescent="0.3">
      <c r="A2" s="175" t="s">
        <v>193</v>
      </c>
      <c r="B2" s="176"/>
      <c r="C2" s="176"/>
      <c r="D2" s="177"/>
    </row>
    <row r="4" spans="1:7" x14ac:dyDescent="0.25">
      <c r="A4" s="183">
        <v>2023</v>
      </c>
      <c r="B4" s="183"/>
      <c r="C4" s="183"/>
      <c r="E4" s="183">
        <v>2024</v>
      </c>
      <c r="F4" s="183"/>
      <c r="G4" s="183"/>
    </row>
    <row r="5" spans="1:7" ht="15.75" thickBot="1" x14ac:dyDescent="0.3">
      <c r="A5" s="154" t="s">
        <v>4</v>
      </c>
      <c r="B5" s="49" t="s">
        <v>10</v>
      </c>
      <c r="C5" s="49" t="s">
        <v>12</v>
      </c>
      <c r="E5" s="154" t="s">
        <v>4</v>
      </c>
      <c r="F5" s="49" t="s">
        <v>10</v>
      </c>
      <c r="G5" s="49" t="s">
        <v>12</v>
      </c>
    </row>
    <row r="6" spans="1:7" x14ac:dyDescent="0.25">
      <c r="A6" s="54" t="s">
        <v>62</v>
      </c>
      <c r="B6" s="34">
        <v>1984242.8188604361</v>
      </c>
      <c r="C6" s="34">
        <v>391818.09337312437</v>
      </c>
      <c r="E6" s="54" t="s">
        <v>62</v>
      </c>
      <c r="F6" s="34">
        <v>1985713.7743902269</v>
      </c>
      <c r="G6" s="34">
        <v>416988.18352673342</v>
      </c>
    </row>
    <row r="7" spans="1:7" x14ac:dyDescent="0.25">
      <c r="A7" s="55" t="s">
        <v>63</v>
      </c>
      <c r="B7" s="64">
        <v>17001256.27</v>
      </c>
      <c r="C7" s="64">
        <v>6936451.7400000002</v>
      </c>
      <c r="E7" s="55" t="s">
        <v>63</v>
      </c>
      <c r="F7" s="64">
        <v>17849491.640000001</v>
      </c>
      <c r="G7" s="64">
        <v>7335770.3899999997</v>
      </c>
    </row>
    <row r="8" spans="1:7" x14ac:dyDescent="0.25">
      <c r="A8" s="54" t="s">
        <v>64</v>
      </c>
      <c r="B8" s="34">
        <v>967941</v>
      </c>
      <c r="C8" s="34">
        <v>273447</v>
      </c>
      <c r="E8" s="54" t="s">
        <v>64</v>
      </c>
      <c r="F8" s="34">
        <v>904074</v>
      </c>
      <c r="G8" s="34">
        <v>256642</v>
      </c>
    </row>
    <row r="9" spans="1:7" x14ac:dyDescent="0.25">
      <c r="A9" s="55" t="s">
        <v>65</v>
      </c>
      <c r="B9" s="64">
        <v>1210411</v>
      </c>
      <c r="C9" s="64">
        <v>581881</v>
      </c>
      <c r="E9" s="55" t="s">
        <v>65</v>
      </c>
      <c r="F9" s="64">
        <v>1075850</v>
      </c>
      <c r="G9" s="64">
        <v>499251</v>
      </c>
    </row>
    <row r="11" spans="1:7" ht="15.75" thickBot="1" x14ac:dyDescent="0.3">
      <c r="A11" s="154" t="s">
        <v>5</v>
      </c>
      <c r="B11" s="49" t="s">
        <v>10</v>
      </c>
      <c r="C11" s="49" t="s">
        <v>12</v>
      </c>
      <c r="E11" s="154" t="s">
        <v>5</v>
      </c>
      <c r="F11" s="49" t="s">
        <v>10</v>
      </c>
      <c r="G11" s="49" t="s">
        <v>12</v>
      </c>
    </row>
    <row r="12" spans="1:7" x14ac:dyDescent="0.25">
      <c r="A12" s="54" t="s">
        <v>62</v>
      </c>
      <c r="B12" s="34">
        <v>1522765.1566770331</v>
      </c>
      <c r="C12" s="34">
        <v>489454.85126190161</v>
      </c>
      <c r="E12" s="54" t="s">
        <v>62</v>
      </c>
      <c r="F12" s="34">
        <v>1683209.4636174489</v>
      </c>
      <c r="G12" s="34">
        <v>538794.37047788512</v>
      </c>
    </row>
    <row r="13" spans="1:7" x14ac:dyDescent="0.25">
      <c r="A13" s="55" t="s">
        <v>63</v>
      </c>
      <c r="B13" s="64">
        <v>16626654.34</v>
      </c>
      <c r="C13" s="64">
        <v>7579985.3599999994</v>
      </c>
      <c r="E13" s="55" t="s">
        <v>63</v>
      </c>
      <c r="F13" s="64">
        <v>17637612.829999998</v>
      </c>
      <c r="G13" s="64">
        <v>8215194.5599999996</v>
      </c>
    </row>
    <row r="14" spans="1:7" x14ac:dyDescent="0.25">
      <c r="A14" s="54" t="s">
        <v>64</v>
      </c>
      <c r="B14" s="34">
        <v>784011</v>
      </c>
      <c r="C14" s="34">
        <v>300521</v>
      </c>
      <c r="E14" s="54" t="s">
        <v>64</v>
      </c>
      <c r="F14" s="34">
        <v>785812</v>
      </c>
      <c r="G14" s="34">
        <v>317882</v>
      </c>
    </row>
    <row r="15" spans="1:7" x14ac:dyDescent="0.25">
      <c r="A15" s="55" t="s">
        <v>65</v>
      </c>
      <c r="B15" s="64">
        <v>915327</v>
      </c>
      <c r="C15" s="64">
        <v>511547</v>
      </c>
      <c r="E15" s="55" t="s">
        <v>65</v>
      </c>
      <c r="F15" s="64">
        <v>785456</v>
      </c>
      <c r="G15" s="64">
        <v>423519</v>
      </c>
    </row>
    <row r="17" spans="1:7" ht="15.75" thickBot="1" x14ac:dyDescent="0.3">
      <c r="A17" s="154" t="s">
        <v>6</v>
      </c>
      <c r="B17" s="49" t="s">
        <v>10</v>
      </c>
      <c r="C17" s="49" t="s">
        <v>12</v>
      </c>
      <c r="E17" s="154" t="s">
        <v>6</v>
      </c>
      <c r="F17" s="49" t="s">
        <v>10</v>
      </c>
      <c r="G17" s="49" t="s">
        <v>12</v>
      </c>
    </row>
    <row r="18" spans="1:7" x14ac:dyDescent="0.25">
      <c r="A18" s="54" t="s">
        <v>62</v>
      </c>
      <c r="B18" s="34">
        <v>1173334.912010682</v>
      </c>
      <c r="C18" s="34">
        <v>219292.02548562511</v>
      </c>
      <c r="E18" s="54" t="s">
        <v>62</v>
      </c>
      <c r="F18" s="34">
        <v>1245893.0604554049</v>
      </c>
      <c r="G18" s="34">
        <v>255983.23766923399</v>
      </c>
    </row>
    <row r="19" spans="1:7" x14ac:dyDescent="0.25">
      <c r="A19" s="55" t="s">
        <v>63</v>
      </c>
      <c r="B19" s="64">
        <v>10498315.720000001</v>
      </c>
      <c r="C19" s="64">
        <v>4776641.4800000004</v>
      </c>
      <c r="E19" s="55" t="s">
        <v>63</v>
      </c>
      <c r="F19" s="64">
        <v>11150212.140000001</v>
      </c>
      <c r="G19" s="64">
        <v>5055077.2699999996</v>
      </c>
    </row>
    <row r="20" spans="1:7" x14ac:dyDescent="0.25">
      <c r="A20" s="54" t="s">
        <v>64</v>
      </c>
      <c r="B20" s="34">
        <v>468795</v>
      </c>
      <c r="C20" s="34">
        <v>159260</v>
      </c>
      <c r="E20" s="54" t="s">
        <v>64</v>
      </c>
      <c r="F20" s="34">
        <v>485243</v>
      </c>
      <c r="G20" s="34">
        <v>178592</v>
      </c>
    </row>
    <row r="21" spans="1:7" x14ac:dyDescent="0.25">
      <c r="A21" s="55" t="s">
        <v>65</v>
      </c>
      <c r="B21" s="64">
        <v>637245</v>
      </c>
      <c r="C21" s="64">
        <v>351939</v>
      </c>
      <c r="E21" s="55" t="s">
        <v>65</v>
      </c>
      <c r="F21" s="64">
        <v>582685</v>
      </c>
      <c r="G21" s="64">
        <v>411509</v>
      </c>
    </row>
    <row r="23" spans="1:7" ht="15.75" thickBot="1" x14ac:dyDescent="0.3">
      <c r="A23" s="154" t="s">
        <v>7</v>
      </c>
      <c r="B23" s="49" t="s">
        <v>10</v>
      </c>
      <c r="C23" s="49" t="s">
        <v>12</v>
      </c>
      <c r="E23" s="154" t="s">
        <v>7</v>
      </c>
      <c r="F23" s="49" t="s">
        <v>10</v>
      </c>
      <c r="G23" s="49" t="s">
        <v>12</v>
      </c>
    </row>
    <row r="24" spans="1:7" x14ac:dyDescent="0.25">
      <c r="A24" s="54" t="s">
        <v>62</v>
      </c>
      <c r="B24" s="34">
        <v>1097791.4996252379</v>
      </c>
      <c r="C24" s="34">
        <v>221955.36700904631</v>
      </c>
      <c r="E24" s="54" t="s">
        <v>62</v>
      </c>
      <c r="F24" s="34">
        <v>1139237.4311723011</v>
      </c>
      <c r="G24" s="34">
        <v>211085.01015389929</v>
      </c>
    </row>
    <row r="25" spans="1:7" x14ac:dyDescent="0.25">
      <c r="A25" s="55" t="s">
        <v>63</v>
      </c>
      <c r="B25" s="64">
        <v>9059586.8800000008</v>
      </c>
      <c r="C25" s="64">
        <v>5081047.4000000004</v>
      </c>
      <c r="E25" s="55" t="s">
        <v>63</v>
      </c>
      <c r="F25" s="64">
        <v>9440899.25</v>
      </c>
      <c r="G25" s="64">
        <v>5421787.0600000015</v>
      </c>
    </row>
    <row r="26" spans="1:7" x14ac:dyDescent="0.25">
      <c r="A26" s="54" t="s">
        <v>64</v>
      </c>
      <c r="B26" s="34">
        <v>392155</v>
      </c>
      <c r="C26" s="34">
        <v>158548</v>
      </c>
      <c r="E26" s="54" t="s">
        <v>64</v>
      </c>
      <c r="F26" s="34">
        <v>407015</v>
      </c>
      <c r="G26" s="34">
        <v>177249</v>
      </c>
    </row>
    <row r="27" spans="1:7" x14ac:dyDescent="0.25">
      <c r="A27" s="55" t="s">
        <v>65</v>
      </c>
      <c r="B27" s="64">
        <v>432983</v>
      </c>
      <c r="C27" s="64">
        <v>348360</v>
      </c>
      <c r="E27" s="55" t="s">
        <v>65</v>
      </c>
      <c r="F27" s="64">
        <v>424256</v>
      </c>
      <c r="G27" s="64">
        <v>381354</v>
      </c>
    </row>
    <row r="29" spans="1:7" ht="15.75" thickBot="1" x14ac:dyDescent="0.3">
      <c r="A29" s="154" t="s">
        <v>8</v>
      </c>
      <c r="B29" s="49" t="s">
        <v>10</v>
      </c>
      <c r="C29" s="49" t="s">
        <v>12</v>
      </c>
      <c r="E29" s="154" t="s">
        <v>8</v>
      </c>
      <c r="F29" s="49" t="s">
        <v>10</v>
      </c>
      <c r="G29" s="49" t="s">
        <v>12</v>
      </c>
    </row>
    <row r="30" spans="1:7" x14ac:dyDescent="0.25">
      <c r="A30" s="54" t="s">
        <v>62</v>
      </c>
      <c r="B30" s="34">
        <v>842065.71718066046</v>
      </c>
      <c r="C30" s="34">
        <v>133694.44811472029</v>
      </c>
      <c r="E30" s="54" t="s">
        <v>62</v>
      </c>
      <c r="F30" s="34">
        <v>796970.16761575104</v>
      </c>
      <c r="G30" s="34">
        <v>116759.7148099138</v>
      </c>
    </row>
    <row r="31" spans="1:7" x14ac:dyDescent="0.25">
      <c r="A31" s="55" t="s">
        <v>63</v>
      </c>
      <c r="B31" s="64">
        <v>6438535.8799999999</v>
      </c>
      <c r="C31" s="64">
        <v>2357450.09</v>
      </c>
      <c r="E31" s="55" t="s">
        <v>63</v>
      </c>
      <c r="F31" s="64">
        <v>6961709.8200000003</v>
      </c>
      <c r="G31" s="64">
        <v>2484672.7200000002</v>
      </c>
    </row>
    <row r="32" spans="1:7" x14ac:dyDescent="0.25">
      <c r="A32" s="54" t="s">
        <v>64</v>
      </c>
      <c r="B32" s="34">
        <v>327845</v>
      </c>
      <c r="C32" s="34">
        <v>86988</v>
      </c>
      <c r="E32" s="54" t="s">
        <v>64</v>
      </c>
      <c r="F32" s="34">
        <v>342021</v>
      </c>
      <c r="G32" s="34">
        <v>95779</v>
      </c>
    </row>
    <row r="33" spans="1:7" x14ac:dyDescent="0.25">
      <c r="A33" s="55" t="s">
        <v>65</v>
      </c>
      <c r="B33" s="64">
        <v>415513</v>
      </c>
      <c r="C33" s="64">
        <v>132000</v>
      </c>
      <c r="E33" s="55" t="s">
        <v>65</v>
      </c>
      <c r="F33" s="64">
        <v>397343</v>
      </c>
      <c r="G33" s="64">
        <v>121605</v>
      </c>
    </row>
  </sheetData>
  <mergeCells count="3">
    <mergeCell ref="A4:C4"/>
    <mergeCell ref="E4:G4"/>
    <mergeCell ref="A2:D2"/>
  </mergeCells>
  <phoneticPr fontId="10" type="noConversion"/>
  <hyperlinks>
    <hyperlink ref="A1" location="Introduksjon!A1" display="Tilbake til introduksjon" xr:uid="{E6A879D6-B32B-4F4D-89FF-BE6F5A060025}"/>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934DE-C547-4174-8ED0-8F04C0E3EDA1}">
  <sheetPr>
    <tabColor theme="8"/>
  </sheetPr>
  <dimension ref="A1:V46"/>
  <sheetViews>
    <sheetView workbookViewId="0"/>
  </sheetViews>
  <sheetFormatPr baseColWidth="10" defaultColWidth="11.42578125" defaultRowHeight="15" x14ac:dyDescent="0.25"/>
  <cols>
    <col min="1" max="1" width="21.85546875" style="9" bestFit="1" customWidth="1"/>
    <col min="2" max="2" width="12.85546875" style="9" customWidth="1"/>
    <col min="3" max="3" width="13.28515625" style="9" customWidth="1"/>
    <col min="4" max="6" width="11.42578125" style="9"/>
    <col min="7" max="8" width="12.28515625" style="9" customWidth="1"/>
    <col min="9" max="10" width="11.42578125" style="9"/>
    <col min="11" max="11" width="12.28515625" style="9" customWidth="1"/>
    <col min="12" max="12" width="11.42578125" style="9"/>
    <col min="13" max="13" width="8.140625" style="9" customWidth="1"/>
    <col min="14" max="14" width="10.5703125" style="9" customWidth="1"/>
    <col min="15" max="15" width="12.5703125" style="9" customWidth="1"/>
    <col min="16" max="16" width="13.28515625" style="9" customWidth="1"/>
    <col min="17" max="16384" width="11.42578125" style="9"/>
  </cols>
  <sheetData>
    <row r="1" spans="1:14" x14ac:dyDescent="0.25">
      <c r="A1" s="45" t="s">
        <v>170</v>
      </c>
    </row>
    <row r="2" spans="1:14" ht="18.75" x14ac:dyDescent="0.3">
      <c r="A2" s="175" t="s">
        <v>194</v>
      </c>
      <c r="B2" s="176"/>
      <c r="C2" s="176"/>
      <c r="D2" s="177"/>
    </row>
    <row r="5" spans="1:14" x14ac:dyDescent="0.25">
      <c r="A5" s="183" t="s">
        <v>10</v>
      </c>
      <c r="B5" s="183"/>
      <c r="C5" s="183"/>
      <c r="D5" s="183"/>
      <c r="E5" s="183"/>
      <c r="F5" s="183"/>
      <c r="G5" s="183"/>
      <c r="H5" s="183"/>
      <c r="I5" s="183"/>
      <c r="J5" s="183"/>
      <c r="K5" s="183"/>
      <c r="L5" s="183"/>
      <c r="M5" s="183"/>
      <c r="N5" s="183"/>
    </row>
    <row r="6" spans="1:14" ht="15.75" thickBot="1" x14ac:dyDescent="0.3">
      <c r="A6" s="16"/>
      <c r="B6" s="16"/>
      <c r="C6" s="16"/>
      <c r="D6" s="94"/>
      <c r="E6" s="16"/>
      <c r="F6" s="16"/>
      <c r="G6" s="29"/>
      <c r="H6" s="95"/>
      <c r="J6" s="99"/>
      <c r="K6" s="179" t="s">
        <v>66</v>
      </c>
      <c r="L6" s="184"/>
      <c r="M6" s="179" t="s">
        <v>67</v>
      </c>
      <c r="N6" s="179"/>
    </row>
    <row r="7" spans="1:14" ht="15.75" thickBot="1" x14ac:dyDescent="0.3">
      <c r="A7" s="99"/>
      <c r="B7" s="98" t="s">
        <v>62</v>
      </c>
      <c r="C7" s="98" t="s">
        <v>63</v>
      </c>
      <c r="D7" s="98" t="s">
        <v>64</v>
      </c>
      <c r="E7" s="98" t="s">
        <v>68</v>
      </c>
      <c r="F7" s="98" t="s">
        <v>69</v>
      </c>
      <c r="G7" s="63" t="s">
        <v>70</v>
      </c>
      <c r="H7" s="50" t="s">
        <v>71</v>
      </c>
      <c r="J7" s="99"/>
      <c r="K7" s="98" t="s">
        <v>64</v>
      </c>
      <c r="L7" s="158" t="s">
        <v>63</v>
      </c>
      <c r="M7" s="98" t="s">
        <v>64</v>
      </c>
      <c r="N7" s="98" t="s">
        <v>63</v>
      </c>
    </row>
    <row r="8" spans="1:14" x14ac:dyDescent="0.25">
      <c r="A8" s="100">
        <v>2023</v>
      </c>
      <c r="B8" s="33">
        <f>'IR 2023-2024'!$B$6</f>
        <v>1984242.8188604361</v>
      </c>
      <c r="C8" s="33">
        <f>L8+N8</f>
        <v>17001256.27</v>
      </c>
      <c r="D8" s="33">
        <f t="shared" ref="D8:D17" si="0">K8+M8</f>
        <v>967941</v>
      </c>
      <c r="E8" s="33">
        <f>Nettap!B17</f>
        <v>1210411</v>
      </c>
      <c r="F8" s="33">
        <f>E8*Nettap!D29</f>
        <v>934135.13590519968</v>
      </c>
      <c r="G8" s="101">
        <f>(C8+(C8*Forutsetninger!$B$4))*Forutsetninger!B8</f>
        <v>1435518.0744137198</v>
      </c>
      <c r="H8" s="33">
        <f t="shared" ref="H8:H15" si="1">B8+D8+F8+G8</f>
        <v>5321837.0291793551</v>
      </c>
      <c r="J8" s="100">
        <v>2023</v>
      </c>
      <c r="K8" s="33">
        <f>'IR 2023-2024'!$B$8</f>
        <v>967941</v>
      </c>
      <c r="L8" s="101">
        <f>'IR 2023-2024'!$B$7</f>
        <v>17001256.27</v>
      </c>
      <c r="M8" s="31"/>
      <c r="N8" s="31"/>
    </row>
    <row r="9" spans="1:14" x14ac:dyDescent="0.25">
      <c r="A9" s="103">
        <v>2024</v>
      </c>
      <c r="B9" s="84">
        <f>'IR 2023-2024'!$F$6</f>
        <v>1985713.7743902269</v>
      </c>
      <c r="C9" s="84">
        <f>L9+N9</f>
        <v>17849491.640000001</v>
      </c>
      <c r="D9" s="84">
        <f t="shared" si="0"/>
        <v>904074</v>
      </c>
      <c r="E9" s="84">
        <f>Nettap!B18</f>
        <v>1075850</v>
      </c>
      <c r="F9" s="84">
        <f>E9*Nettap!D30</f>
        <v>689177.30872703472</v>
      </c>
      <c r="G9" s="104">
        <f>(C9+(C9*Forutsetninger!$B$4))*Forutsetninger!B9</f>
        <v>1357507.3876969202</v>
      </c>
      <c r="H9" s="84">
        <f t="shared" si="1"/>
        <v>4936472.4708141824</v>
      </c>
      <c r="J9" s="103">
        <v>2024</v>
      </c>
      <c r="K9" s="84">
        <f>'IR 2023-2024'!$F$8</f>
        <v>904074</v>
      </c>
      <c r="L9" s="104">
        <f>'IR 2023-2024'!$F$7</f>
        <v>17849491.640000001</v>
      </c>
      <c r="M9" s="110"/>
      <c r="N9" s="110"/>
    </row>
    <row r="10" spans="1:14" x14ac:dyDescent="0.25">
      <c r="A10" s="100">
        <v>2025</v>
      </c>
      <c r="B10" s="33">
        <f>AVERAGE(B8:B9)</f>
        <v>1984978.2966253315</v>
      </c>
      <c r="C10" s="33">
        <f>L10+N10</f>
        <v>18697903.500742413</v>
      </c>
      <c r="D10" s="33">
        <f t="shared" si="0"/>
        <v>932399.74085606344</v>
      </c>
      <c r="E10" s="33">
        <f>Nettap!B19</f>
        <v>1087013.7107317734</v>
      </c>
      <c r="F10" s="33">
        <f>E10*Nettap!D31</f>
        <v>694655.78573902661</v>
      </c>
      <c r="G10" s="101">
        <f>(C10+(C10*Forutsetninger!$B$4))*Forutsetninger!B10</f>
        <v>1278506.547670264</v>
      </c>
      <c r="H10" s="33">
        <f t="shared" si="1"/>
        <v>4890540.3708906854</v>
      </c>
      <c r="J10" s="100">
        <v>2025</v>
      </c>
      <c r="K10" s="96">
        <f>K9-Fordelingsnøkler!$B$5</f>
        <v>887879.45081610151</v>
      </c>
      <c r="L10" s="102">
        <f>L9-K10</f>
        <v>16961612.189183898</v>
      </c>
      <c r="M10" s="33">
        <f>Investeringer!B5/Forutsetninger!$E$4</f>
        <v>44520.290039961932</v>
      </c>
      <c r="N10" s="33">
        <f>Investeringer!B5-'Østlandet IR 2023-2030'!M10</f>
        <v>1736291.3115585153</v>
      </c>
    </row>
    <row r="11" spans="1:14" x14ac:dyDescent="0.25">
      <c r="A11" s="103">
        <v>2026</v>
      </c>
      <c r="B11" s="84">
        <f>B10</f>
        <v>1984978.2966253315</v>
      </c>
      <c r="C11" s="84">
        <f t="shared" ref="C11:C17" si="2">L11+N11</f>
        <v>19563535.947388027</v>
      </c>
      <c r="D11" s="84">
        <f t="shared" si="0"/>
        <v>961893.33624441561</v>
      </c>
      <c r="E11" s="84">
        <f>Nettap!B20</f>
        <v>1109456.5948651209</v>
      </c>
      <c r="F11" s="84">
        <f>E11*Nettap!D32</f>
        <v>679522.0831905196</v>
      </c>
      <c r="G11" s="104">
        <f>(C11+(C11*Forutsetninger!$B$4))*Forutsetninger!B11</f>
        <v>1185550.2784117144</v>
      </c>
      <c r="H11" s="84">
        <f t="shared" si="1"/>
        <v>4811943.9944719812</v>
      </c>
      <c r="J11" s="103">
        <v>2026</v>
      </c>
      <c r="K11" s="111">
        <f>K10-Fordelingsnøkler!$B$5</f>
        <v>871684.90163220302</v>
      </c>
      <c r="L11" s="112">
        <f>L10-K11</f>
        <v>16089927.287551695</v>
      </c>
      <c r="M11" s="84">
        <f>M10+Investeringer!B6/Forutsetninger!$E$4</f>
        <v>90208.434612212615</v>
      </c>
      <c r="N11" s="84">
        <f>N10+Investeringer!B6-'Østlandet IR 2023-2030'!M11</f>
        <v>3473608.65983633</v>
      </c>
    </row>
    <row r="12" spans="1:14" x14ac:dyDescent="0.25">
      <c r="A12" s="100">
        <v>2027</v>
      </c>
      <c r="B12" s="33">
        <f t="shared" ref="B12:B15" si="3">B11</f>
        <v>1984978.2966253315</v>
      </c>
      <c r="C12" s="33">
        <f t="shared" si="2"/>
        <v>20381949.861533925</v>
      </c>
      <c r="D12" s="33">
        <f t="shared" si="0"/>
        <v>990932.44606580981</v>
      </c>
      <c r="E12" s="33">
        <f>Nettap!B21</f>
        <v>1135247.6163839549</v>
      </c>
      <c r="F12" s="33">
        <f>E12*Nettap!D33</f>
        <v>693376.88953025255</v>
      </c>
      <c r="G12" s="101">
        <f>(C12+(C12*Forutsetninger!$B$4))*Forutsetninger!B12</f>
        <v>1235146.1616089558</v>
      </c>
      <c r="H12" s="33">
        <f t="shared" si="1"/>
        <v>4904433.79383035</v>
      </c>
      <c r="J12" s="100">
        <v>2027</v>
      </c>
      <c r="K12" s="96">
        <f>K11-Fordelingsnøkler!$B$5</f>
        <v>855490.35244830453</v>
      </c>
      <c r="L12" s="102">
        <f t="shared" ref="L12:L17" si="4">L11-K12</f>
        <v>15234436.93510339</v>
      </c>
      <c r="M12" s="33">
        <f>M11+Investeringer!B7/Forutsetninger!$E$4</f>
        <v>135442.09361750534</v>
      </c>
      <c r="N12" s="33">
        <f>N11+Investeringer!B7-'Østlandet IR 2023-2030'!M12</f>
        <v>5147512.9264305336</v>
      </c>
    </row>
    <row r="13" spans="1:14" x14ac:dyDescent="0.25">
      <c r="A13" s="103">
        <v>2028</v>
      </c>
      <c r="B13" s="84">
        <f t="shared" si="3"/>
        <v>1984978.2966253315</v>
      </c>
      <c r="C13" s="84">
        <f t="shared" si="2"/>
        <v>21091807.243064031</v>
      </c>
      <c r="D13" s="84">
        <f t="shared" si="0"/>
        <v>1017932.6476104248</v>
      </c>
      <c r="E13" s="84">
        <f>Nettap!B22</f>
        <v>1140299.4772076765</v>
      </c>
      <c r="F13" s="84">
        <f>E13*Nettap!D34</f>
        <v>776370.23835806677</v>
      </c>
      <c r="G13" s="104">
        <f>(C13+(C13*Forutsetninger!$B$4))*Forutsetninger!B13</f>
        <v>1278163.5189296803</v>
      </c>
      <c r="H13" s="84">
        <f t="shared" si="1"/>
        <v>5057444.7015235033</v>
      </c>
      <c r="J13" s="103">
        <v>2028</v>
      </c>
      <c r="K13" s="111">
        <f>K12-Fordelingsnøkler!$B$5</f>
        <v>839295.80326440604</v>
      </c>
      <c r="L13" s="112">
        <f t="shared" si="4"/>
        <v>14395141.131838985</v>
      </c>
      <c r="M13" s="84">
        <f>M12+Investeringer!B8/Forutsetninger!$E$4</f>
        <v>178636.84434601868</v>
      </c>
      <c r="N13" s="84">
        <f>N12+Investeringer!B8-'Østlandet IR 2023-2030'!M13</f>
        <v>6696666.1112250481</v>
      </c>
    </row>
    <row r="14" spans="1:14" x14ac:dyDescent="0.25">
      <c r="A14" s="100">
        <v>2029</v>
      </c>
      <c r="B14" s="33">
        <f t="shared" si="3"/>
        <v>1984978.2966253315</v>
      </c>
      <c r="C14" s="33">
        <f t="shared" si="2"/>
        <v>21813569.518330306</v>
      </c>
      <c r="D14" s="33">
        <f t="shared" si="0"/>
        <v>1045930.4157007006</v>
      </c>
      <c r="E14" s="33">
        <f>Nettap!B23</f>
        <v>1146785.2597815692</v>
      </c>
      <c r="F14" s="33">
        <f>E14*Nettap!D35</f>
        <v>861148.38328533806</v>
      </c>
      <c r="G14" s="101">
        <f>(C14+(C14*Forutsetninger!$B$4))*Forutsetninger!B14</f>
        <v>1321902.3128108166</v>
      </c>
      <c r="H14" s="33">
        <f t="shared" si="1"/>
        <v>5213959.408422187</v>
      </c>
      <c r="J14" s="100">
        <v>2029</v>
      </c>
      <c r="K14" s="96">
        <f>K13-Fordelingsnøkler!$B$5</f>
        <v>823101.25408050756</v>
      </c>
      <c r="L14" s="102">
        <f t="shared" si="4"/>
        <v>13572039.877758477</v>
      </c>
      <c r="M14" s="33">
        <f>M13+Investeringer!B9/Forutsetninger!$E$4</f>
        <v>222829.16162019299</v>
      </c>
      <c r="N14" s="33">
        <f>N13+Investeringer!B9-'Østlandet IR 2023-2030'!M14</f>
        <v>8241529.640571828</v>
      </c>
    </row>
    <row r="15" spans="1:14" x14ac:dyDescent="0.25">
      <c r="A15" s="103">
        <v>2030</v>
      </c>
      <c r="B15" s="84">
        <f t="shared" si="3"/>
        <v>1984978.2966253315</v>
      </c>
      <c r="C15" s="84">
        <f t="shared" si="2"/>
        <v>22513580.866838105</v>
      </c>
      <c r="D15" s="84">
        <f t="shared" si="0"/>
        <v>1074088.3592097405</v>
      </c>
      <c r="E15" s="84">
        <f>Nettap!B24</f>
        <v>1154704.9641056403</v>
      </c>
      <c r="F15" s="84">
        <f>E15*Nettap!D36</f>
        <v>948012.77553073061</v>
      </c>
      <c r="G15" s="104">
        <f>(C15+(C15*Forutsetninger!$B$4))*Forutsetninger!B15</f>
        <v>1364323.0005303891</v>
      </c>
      <c r="H15" s="84">
        <f t="shared" si="1"/>
        <v>5371402.431896192</v>
      </c>
      <c r="J15" s="103">
        <v>2030</v>
      </c>
      <c r="K15" s="111">
        <f>K14-Fordelingsnøkler!$B$5</f>
        <v>806906.70489660907</v>
      </c>
      <c r="L15" s="112">
        <f t="shared" si="4"/>
        <v>12765133.172861869</v>
      </c>
      <c r="M15" s="84">
        <f>M14+Investeringer!B10/Forutsetninger!$E$4</f>
        <v>267181.65431313158</v>
      </c>
      <c r="N15" s="84">
        <f>N14+Investeringer!B10-'Østlandet IR 2023-2030'!M15</f>
        <v>9748447.6939762384</v>
      </c>
    </row>
    <row r="16" spans="1:14" x14ac:dyDescent="0.25">
      <c r="A16" s="100">
        <v>2031</v>
      </c>
      <c r="B16" s="97"/>
      <c r="C16" s="33">
        <f t="shared" si="2"/>
        <v>23185434.271836869</v>
      </c>
      <c r="D16" s="33">
        <f t="shared" si="0"/>
        <v>1102246.3027187807</v>
      </c>
      <c r="E16" s="97"/>
      <c r="F16" s="97"/>
      <c r="G16" s="101">
        <f>(C16+(C16*Forutsetninger!B4))*Forutsetninger!B15</f>
        <v>1405037.3168733143</v>
      </c>
      <c r="H16" s="14"/>
      <c r="J16" s="100">
        <v>2031</v>
      </c>
      <c r="K16" s="96">
        <f>K15-Fordelingsnøkler!$B$5</f>
        <v>790712.15571271058</v>
      </c>
      <c r="L16" s="102">
        <f t="shared" si="4"/>
        <v>11974421.017149158</v>
      </c>
      <c r="M16" s="33">
        <f>M15+Investeringer!B11/Forutsetninger!$E$4</f>
        <v>311534.14700607018</v>
      </c>
      <c r="N16" s="33">
        <f>N15+Investeringer!B11-'Østlandet IR 2023-2030'!M16</f>
        <v>11211013.254687712</v>
      </c>
    </row>
    <row r="17" spans="1:22" ht="15.75" thickBot="1" x14ac:dyDescent="0.3">
      <c r="A17" s="106">
        <v>2032</v>
      </c>
      <c r="B17" s="107"/>
      <c r="C17" s="85">
        <f t="shared" si="2"/>
        <v>23829129.733326592</v>
      </c>
      <c r="D17" s="85">
        <f t="shared" si="0"/>
        <v>1130404.2462278209</v>
      </c>
      <c r="E17" s="107"/>
      <c r="F17" s="107"/>
      <c r="G17" s="108">
        <f>(C17+(C17*Forutsetninger!B4))*Forutsetninger!B15</f>
        <v>1444045.2618395914</v>
      </c>
      <c r="H17" s="109"/>
      <c r="J17" s="103">
        <v>2032</v>
      </c>
      <c r="K17" s="111">
        <f>K16-Fordelingsnøkler!$B$5</f>
        <v>774517.60652881209</v>
      </c>
      <c r="L17" s="112">
        <f t="shared" si="4"/>
        <v>11199903.410620347</v>
      </c>
      <c r="M17" s="84">
        <f>M16+Investeringer!B12/Forutsetninger!$E$4</f>
        <v>355886.63969900878</v>
      </c>
      <c r="N17" s="84">
        <f>N16+Investeringer!B12-'Østlandet IR 2023-2030'!M17</f>
        <v>12629226.322706247</v>
      </c>
    </row>
    <row r="18" spans="1:22" x14ac:dyDescent="0.25">
      <c r="A18" s="54" t="s">
        <v>47</v>
      </c>
      <c r="B18" s="67">
        <f t="shared" ref="B18:G18" si="5">(B15-B9)/B9</f>
        <v>-3.7038458129307647E-4</v>
      </c>
      <c r="C18" s="67">
        <f t="shared" si="5"/>
        <v>0.26130095584268997</v>
      </c>
      <c r="D18" s="67">
        <f t="shared" si="5"/>
        <v>0.1880535876595727</v>
      </c>
      <c r="E18" s="67">
        <f t="shared" si="5"/>
        <v>7.3295500400279129E-2</v>
      </c>
      <c r="F18" s="67">
        <f t="shared" si="5"/>
        <v>0.37557166135052472</v>
      </c>
      <c r="G18" s="105">
        <f t="shared" si="5"/>
        <v>5.020681946366401E-3</v>
      </c>
      <c r="H18" s="67">
        <f>(H15-H9)/H9</f>
        <v>8.810541609488115E-2</v>
      </c>
      <c r="K18" s="31"/>
      <c r="L18" s="31"/>
      <c r="M18" s="31"/>
      <c r="N18" s="31"/>
      <c r="O18" s="31"/>
      <c r="P18" s="31"/>
    </row>
    <row r="20" spans="1:22" x14ac:dyDescent="0.25">
      <c r="A20" s="183" t="s">
        <v>12</v>
      </c>
      <c r="B20" s="183"/>
      <c r="C20" s="183"/>
      <c r="D20" s="183"/>
      <c r="E20" s="183"/>
      <c r="F20" s="183"/>
      <c r="G20" s="183"/>
      <c r="H20" s="183"/>
      <c r="I20" s="183"/>
      <c r="J20" s="183"/>
      <c r="K20" s="183"/>
      <c r="L20" s="183"/>
      <c r="M20" s="183"/>
      <c r="N20" s="183"/>
    </row>
    <row r="21" spans="1:22" ht="15.75" thickBot="1" x14ac:dyDescent="0.3">
      <c r="A21" s="16"/>
      <c r="B21" s="16"/>
      <c r="C21" s="16"/>
      <c r="D21" s="94"/>
      <c r="E21" s="16"/>
      <c r="F21" s="16"/>
      <c r="G21" s="29"/>
      <c r="H21" s="95"/>
      <c r="J21" s="99"/>
      <c r="K21" s="179" t="s">
        <v>66</v>
      </c>
      <c r="L21" s="184"/>
      <c r="M21" s="179" t="s">
        <v>67</v>
      </c>
      <c r="N21" s="179"/>
      <c r="P21" s="16"/>
    </row>
    <row r="22" spans="1:22" ht="15.75" thickBot="1" x14ac:dyDescent="0.3">
      <c r="A22" s="99"/>
      <c r="B22" s="98" t="s">
        <v>62</v>
      </c>
      <c r="C22" s="98" t="s">
        <v>63</v>
      </c>
      <c r="D22" s="98" t="s">
        <v>64</v>
      </c>
      <c r="E22" s="98" t="s">
        <v>68</v>
      </c>
      <c r="F22" s="98" t="s">
        <v>69</v>
      </c>
      <c r="G22" s="63" t="s">
        <v>70</v>
      </c>
      <c r="H22" s="50" t="s">
        <v>71</v>
      </c>
      <c r="J22" s="160"/>
      <c r="K22" s="98" t="s">
        <v>64</v>
      </c>
      <c r="L22" s="158" t="s">
        <v>63</v>
      </c>
      <c r="M22" s="98" t="s">
        <v>64</v>
      </c>
      <c r="N22" s="98" t="s">
        <v>63</v>
      </c>
      <c r="P22" s="32"/>
      <c r="Q22" s="16"/>
      <c r="S22" s="14"/>
      <c r="T22" s="14"/>
      <c r="U22" s="14"/>
      <c r="V22" s="14"/>
    </row>
    <row r="23" spans="1:22" x14ac:dyDescent="0.25">
      <c r="A23" s="100">
        <v>2023</v>
      </c>
      <c r="B23" s="33">
        <f>'IR 2023-2024'!$C$6</f>
        <v>391818.09337312437</v>
      </c>
      <c r="C23" s="33">
        <f t="shared" ref="C23:C32" si="6">L23+N23</f>
        <v>6936451.7400000002</v>
      </c>
      <c r="D23" s="33">
        <f>K23+M23</f>
        <v>273447</v>
      </c>
      <c r="E23" s="33">
        <f>Nettap!C17</f>
        <v>581881</v>
      </c>
      <c r="F23" s="33">
        <f>E23*Nettap!D29</f>
        <v>449066.87647059845</v>
      </c>
      <c r="G23" s="101">
        <f>(C23*(1+Forutsetninger!$B$4))*Forutsetninger!B8</f>
        <v>585686.23911863996</v>
      </c>
      <c r="H23" s="33">
        <f t="shared" ref="H23:H30" si="7">B23+D23+F23+G23</f>
        <v>1700018.2089623627</v>
      </c>
      <c r="J23" s="100">
        <v>2023</v>
      </c>
      <c r="K23" s="33">
        <f>'IR 2023-2024'!$C$8</f>
        <v>273447</v>
      </c>
      <c r="L23" s="101">
        <f>'IR 2023-2024'!$C$7</f>
        <v>6936451.7400000002</v>
      </c>
      <c r="M23" s="31"/>
      <c r="N23" s="31"/>
      <c r="P23" s="31"/>
      <c r="S23" s="14"/>
      <c r="T23" s="14"/>
      <c r="U23" s="14"/>
      <c r="V23" s="14"/>
    </row>
    <row r="24" spans="1:22" x14ac:dyDescent="0.25">
      <c r="A24" s="103">
        <v>2024</v>
      </c>
      <c r="B24" s="84">
        <f>'IR 2023-2024'!$G$6</f>
        <v>416988.18352673342</v>
      </c>
      <c r="C24" s="84">
        <f t="shared" si="6"/>
        <v>7335770.3899999997</v>
      </c>
      <c r="D24" s="84">
        <f t="shared" ref="D24:D32" si="8">K24+M24</f>
        <v>256642</v>
      </c>
      <c r="E24" s="84">
        <f>Nettap!C18</f>
        <v>499251</v>
      </c>
      <c r="F24" s="84">
        <f>E24*Nettap!D30</f>
        <v>319814.5285674404</v>
      </c>
      <c r="G24" s="104">
        <f>(C24*(1+Forutsetninger!$B$4))*Forutsetninger!B9</f>
        <v>557907.34547067003</v>
      </c>
      <c r="H24" s="84">
        <f t="shared" si="7"/>
        <v>1551352.0575648439</v>
      </c>
      <c r="J24" s="103">
        <v>2024</v>
      </c>
      <c r="K24" s="84">
        <f>'IR 2023-2024'!$G$8</f>
        <v>256642</v>
      </c>
      <c r="L24" s="104">
        <f>'IR 2023-2024'!$G$7</f>
        <v>7335770.3899999997</v>
      </c>
      <c r="M24" s="110"/>
      <c r="N24" s="110"/>
      <c r="P24" s="31"/>
      <c r="S24" s="14"/>
      <c r="T24" s="14"/>
      <c r="U24" s="14"/>
      <c r="V24" s="14"/>
    </row>
    <row r="25" spans="1:22" x14ac:dyDescent="0.25">
      <c r="A25" s="100">
        <v>2025</v>
      </c>
      <c r="B25" s="33">
        <f>AVERAGE(B23:B24)</f>
        <v>404403.1384499289</v>
      </c>
      <c r="C25" s="33">
        <f t="shared" si="6"/>
        <v>7233426.51061498</v>
      </c>
      <c r="D25" s="33">
        <f t="shared" si="8"/>
        <v>255563.87938501939</v>
      </c>
      <c r="E25" s="33">
        <f>Nettap!C19</f>
        <v>504431.54909750295</v>
      </c>
      <c r="F25" s="33">
        <f>E25*Nettap!D31</f>
        <v>322356.83012129454</v>
      </c>
      <c r="G25" s="101">
        <f>(C25*(1+Forutsetninger!$B$4))*Forutsetninger!B10</f>
        <v>494600.00451632048</v>
      </c>
      <c r="H25" s="33">
        <f t="shared" si="7"/>
        <v>1476923.8524725633</v>
      </c>
      <c r="J25" s="100">
        <v>2025</v>
      </c>
      <c r="K25" s="96">
        <f>K24-Fordelingsnøkler!$B$6</f>
        <v>251733.37938501939</v>
      </c>
      <c r="L25" s="102">
        <f>L24-K25</f>
        <v>7084037.01061498</v>
      </c>
      <c r="M25" s="33">
        <f>Investeringer!C5/Forutsetninger!$E$5</f>
        <v>3830.5</v>
      </c>
      <c r="N25" s="33">
        <f>Investeringer!C5-'Østlandet IR 2023-2030'!M25</f>
        <v>149389.5</v>
      </c>
      <c r="P25" s="33"/>
      <c r="Q25" s="34"/>
      <c r="S25" s="14"/>
      <c r="T25" s="14"/>
      <c r="U25" s="14"/>
      <c r="V25" s="14"/>
    </row>
    <row r="26" spans="1:22" x14ac:dyDescent="0.25">
      <c r="A26" s="103">
        <v>2026</v>
      </c>
      <c r="B26" s="84">
        <f>B25</f>
        <v>404403.1384499289</v>
      </c>
      <c r="C26" s="84">
        <f t="shared" si="6"/>
        <v>7724219.7518449416</v>
      </c>
      <c r="D26" s="84">
        <f t="shared" si="8"/>
        <v>269666.75877003878</v>
      </c>
      <c r="E26" s="84">
        <f>Nettap!C20</f>
        <v>514846.22804573731</v>
      </c>
      <c r="F26" s="84">
        <f>E26*Nettap!D32</f>
        <v>315333.99596128648</v>
      </c>
      <c r="G26" s="104">
        <f>(C26*(1+Forutsetninger!$B$4))*Forutsetninger!B11</f>
        <v>468087.71696180344</v>
      </c>
      <c r="H26" s="84">
        <f t="shared" si="7"/>
        <v>1457491.6101430575</v>
      </c>
      <c r="J26" s="103">
        <v>2026</v>
      </c>
      <c r="K26" s="111">
        <f>K25-Fordelingsnøkler!$B$6</f>
        <v>246824.75877003878</v>
      </c>
      <c r="L26" s="112">
        <f t="shared" ref="L26:L32" si="9">L25-K26</f>
        <v>6837212.2518449416</v>
      </c>
      <c r="M26" s="84">
        <f>M25+Investeringer!C6/Forutsetninger!$E$4</f>
        <v>22841.999999999996</v>
      </c>
      <c r="N26" s="84">
        <f>N25+Investeringer!C6-M26</f>
        <v>887007.49999999988</v>
      </c>
      <c r="P26" s="33"/>
      <c r="Q26" s="34"/>
      <c r="S26" s="14"/>
      <c r="T26" s="14"/>
      <c r="U26" s="14"/>
      <c r="V26" s="14"/>
    </row>
    <row r="27" spans="1:22" x14ac:dyDescent="0.25">
      <c r="A27" s="100">
        <v>2027</v>
      </c>
      <c r="B27" s="33">
        <f t="shared" ref="B27:B30" si="10">B26</f>
        <v>404403.1384499289</v>
      </c>
      <c r="C27" s="33">
        <f t="shared" si="6"/>
        <v>8235737.1136898836</v>
      </c>
      <c r="D27" s="33">
        <f t="shared" si="8"/>
        <v>284662.63815505814</v>
      </c>
      <c r="E27" s="33">
        <f>Nettap!C21</f>
        <v>526814.6188848872</v>
      </c>
      <c r="F27" s="33">
        <f>E27*Nettap!D33</f>
        <v>321763.35499825084</v>
      </c>
      <c r="G27" s="101">
        <f>(C27*(1+Forutsetninger!$B$4))*Forutsetninger!B12</f>
        <v>499085.66908960696</v>
      </c>
      <c r="H27" s="33">
        <f t="shared" si="7"/>
        <v>1509914.8006928447</v>
      </c>
      <c r="J27" s="100">
        <v>2027</v>
      </c>
      <c r="K27" s="96">
        <f>K26-Fordelingsnøkler!$B$6</f>
        <v>241916.13815505817</v>
      </c>
      <c r="L27" s="102">
        <f t="shared" si="9"/>
        <v>6595296.1136898836</v>
      </c>
      <c r="M27" s="33">
        <f>M26+Investeringer!C7/Forutsetninger!$E$4</f>
        <v>42746.5</v>
      </c>
      <c r="N27" s="33">
        <f>N26+Investeringer!C7-M27</f>
        <v>1640441</v>
      </c>
      <c r="P27" s="33"/>
      <c r="Q27" s="34"/>
      <c r="S27" s="14"/>
      <c r="T27" s="14"/>
      <c r="U27" s="14"/>
      <c r="V27" s="14"/>
    </row>
    <row r="28" spans="1:22" x14ac:dyDescent="0.25">
      <c r="A28" s="103">
        <v>2028</v>
      </c>
      <c r="B28" s="84">
        <f t="shared" si="10"/>
        <v>404403.1384499289</v>
      </c>
      <c r="C28" s="84">
        <f t="shared" si="6"/>
        <v>8810161.0961498059</v>
      </c>
      <c r="D28" s="84">
        <f t="shared" si="8"/>
        <v>301656.01754007756</v>
      </c>
      <c r="E28" s="84">
        <f>Nettap!C22</f>
        <v>529158.94808329199</v>
      </c>
      <c r="F28" s="84">
        <f>E28*Nettap!D34</f>
        <v>360276.63509829732</v>
      </c>
      <c r="G28" s="104">
        <f>(C28*(1+Forutsetninger!$B$4))*Forutsetninger!B13</f>
        <v>533895.76242667821</v>
      </c>
      <c r="H28" s="84">
        <f t="shared" si="7"/>
        <v>1600231.5535149821</v>
      </c>
      <c r="J28" s="103">
        <v>2028</v>
      </c>
      <c r="K28" s="111">
        <f>K27-Fordelingsnøkler!$B$6</f>
        <v>237007.51754007756</v>
      </c>
      <c r="L28" s="112">
        <f t="shared" si="9"/>
        <v>6358288.5961498059</v>
      </c>
      <c r="M28" s="84">
        <f>M27+Investeringer!C8/Forutsetninger!$E$4</f>
        <v>64648.5</v>
      </c>
      <c r="N28" s="84">
        <f>N27+Investeringer!C8-M28</f>
        <v>2451872.5</v>
      </c>
      <c r="P28" s="33"/>
      <c r="Q28" s="34"/>
      <c r="S28" s="14"/>
      <c r="T28" s="14"/>
      <c r="U28" s="14"/>
      <c r="V28" s="14"/>
    </row>
    <row r="29" spans="1:22" x14ac:dyDescent="0.25">
      <c r="A29" s="100">
        <v>2029</v>
      </c>
      <c r="B29" s="33">
        <f t="shared" si="10"/>
        <v>404403.1384499289</v>
      </c>
      <c r="C29" s="33">
        <f t="shared" si="6"/>
        <v>9367591.6992247086</v>
      </c>
      <c r="D29" s="33">
        <f t="shared" si="8"/>
        <v>318649.39692509698</v>
      </c>
      <c r="E29" s="33">
        <f>Nettap!C23</f>
        <v>532168.69241177512</v>
      </c>
      <c r="F29" s="33">
        <f>E29*Nettap!D35</f>
        <v>399618.15448583756</v>
      </c>
      <c r="G29" s="101">
        <f>(C29*(1+Forutsetninger!$B$4))*Forutsetninger!B14</f>
        <v>567676.05697301729</v>
      </c>
      <c r="H29" s="33">
        <f t="shared" si="7"/>
        <v>1690346.7468338807</v>
      </c>
      <c r="J29" s="100">
        <v>2029</v>
      </c>
      <c r="K29" s="96">
        <f>K28-Fordelingsnøkler!$B$6</f>
        <v>232098.89692509695</v>
      </c>
      <c r="L29" s="102">
        <f>L28-K29</f>
        <v>6126189.6992247086</v>
      </c>
      <c r="M29" s="33">
        <f>M28+Investeringer!C9/Forutsetninger!$E$4</f>
        <v>86550.5</v>
      </c>
      <c r="N29" s="33">
        <f>N28+Investeringer!C9-M29</f>
        <v>3241402</v>
      </c>
      <c r="P29" s="33"/>
      <c r="Q29" s="34"/>
      <c r="S29" s="14"/>
      <c r="T29" s="14"/>
      <c r="U29" s="14"/>
      <c r="V29" s="14"/>
    </row>
    <row r="30" spans="1:22" x14ac:dyDescent="0.25">
      <c r="A30" s="103">
        <v>2030</v>
      </c>
      <c r="B30" s="84">
        <f t="shared" si="10"/>
        <v>404403.1384499289</v>
      </c>
      <c r="C30" s="84">
        <f t="shared" si="6"/>
        <v>9908028.9229145925</v>
      </c>
      <c r="D30" s="84">
        <f t="shared" si="8"/>
        <v>335642.77631011634</v>
      </c>
      <c r="E30" s="84">
        <f>Nettap!C24</f>
        <v>535843.85187033971</v>
      </c>
      <c r="F30" s="84">
        <f>E30*Nettap!D36</f>
        <v>439927.80238554889</v>
      </c>
      <c r="G30" s="104">
        <f>(C30*(1+Forutsetninger!$B$4))*Forutsetninger!B15</f>
        <v>600426.5527286242</v>
      </c>
      <c r="H30" s="84">
        <f t="shared" si="7"/>
        <v>1780400.2698742184</v>
      </c>
      <c r="J30" s="103">
        <v>2030</v>
      </c>
      <c r="K30" s="111">
        <f>K29-Fordelingsnøkler!$B$6</f>
        <v>227190.27631011634</v>
      </c>
      <c r="L30" s="112">
        <f t="shared" si="9"/>
        <v>5898999.4229145925</v>
      </c>
      <c r="M30" s="84">
        <f>M29+Investeringer!C10/Forutsetninger!$E$4</f>
        <v>108452.5</v>
      </c>
      <c r="N30" s="84">
        <f>N29+Investeringer!C10-M30</f>
        <v>4009029.5</v>
      </c>
      <c r="P30" s="33"/>
      <c r="Q30" s="34"/>
      <c r="S30" s="14"/>
      <c r="T30" s="14"/>
      <c r="U30" s="14"/>
      <c r="V30" s="14"/>
    </row>
    <row r="31" spans="1:22" x14ac:dyDescent="0.25">
      <c r="A31" s="100">
        <v>2031</v>
      </c>
      <c r="B31" s="97"/>
      <c r="C31" s="33">
        <f t="shared" si="6"/>
        <v>10431472.767219458</v>
      </c>
      <c r="D31" s="33">
        <f t="shared" si="8"/>
        <v>352636.15569513571</v>
      </c>
      <c r="E31" s="97"/>
      <c r="F31" s="97"/>
      <c r="G31" s="101">
        <f>(C31*(1+Forutsetninger!$B$4))*Forutsetninger!B15</f>
        <v>632147.24969349918</v>
      </c>
      <c r="H31" s="14"/>
      <c r="J31" s="100">
        <v>2031</v>
      </c>
      <c r="K31" s="96">
        <f>K30-Fordelingsnøkler!$B$6</f>
        <v>222281.65569513573</v>
      </c>
      <c r="L31" s="102">
        <f>L30-K31</f>
        <v>5676717.7672194568</v>
      </c>
      <c r="M31" s="33">
        <f>M30+Investeringer!C11/Forutsetninger!$E$4</f>
        <v>130354.5</v>
      </c>
      <c r="N31" s="33">
        <f>N30+Investeringer!C11-M31</f>
        <v>4754755</v>
      </c>
      <c r="P31" s="33"/>
      <c r="Q31" s="34"/>
      <c r="S31" s="14"/>
      <c r="T31" s="14"/>
      <c r="U31" s="14"/>
      <c r="V31" s="14"/>
    </row>
    <row r="32" spans="1:22" ht="15.75" thickBot="1" x14ac:dyDescent="0.3">
      <c r="A32" s="106">
        <v>2032</v>
      </c>
      <c r="B32" s="107"/>
      <c r="C32" s="85">
        <f t="shared" si="6"/>
        <v>10937923.232139301</v>
      </c>
      <c r="D32" s="85">
        <f t="shared" si="8"/>
        <v>369629.53508015512</v>
      </c>
      <c r="E32" s="107"/>
      <c r="F32" s="107"/>
      <c r="G32" s="108">
        <f>(C32*(1+Forutsetninger!$B$4))*Forutsetninger!B15</f>
        <v>662838.14786764153</v>
      </c>
      <c r="H32" s="109"/>
      <c r="J32" s="103">
        <v>2032</v>
      </c>
      <c r="K32" s="111">
        <f>K31-Fordelingsnøkler!$B$6</f>
        <v>217373.03508015512</v>
      </c>
      <c r="L32" s="112">
        <f t="shared" si="9"/>
        <v>5459344.7321393015</v>
      </c>
      <c r="M32" s="84">
        <f>M31+Investeringer!C12/Forutsetninger!$E$4</f>
        <v>152256.5</v>
      </c>
      <c r="N32" s="84">
        <f>N31+Investeringer!C12-M32</f>
        <v>5478578.5</v>
      </c>
      <c r="P32" s="33"/>
      <c r="Q32" s="34"/>
      <c r="S32" s="14"/>
      <c r="T32" s="14"/>
      <c r="U32" s="14"/>
      <c r="V32" s="14"/>
    </row>
    <row r="33" spans="1:21" x14ac:dyDescent="0.25">
      <c r="A33" s="54" t="s">
        <v>47</v>
      </c>
      <c r="B33" s="67">
        <f t="shared" ref="B33:G33" si="11">(B30-B24)/B24</f>
        <v>-3.0180819442807282E-2</v>
      </c>
      <c r="C33" s="67">
        <f t="shared" si="11"/>
        <v>0.35064599846541722</v>
      </c>
      <c r="D33" s="67">
        <f t="shared" si="11"/>
        <v>0.30782481554116764</v>
      </c>
      <c r="E33" s="67">
        <f t="shared" si="11"/>
        <v>7.3295500400279046E-2</v>
      </c>
      <c r="F33" s="67">
        <f t="shared" si="11"/>
        <v>0.37557166135052489</v>
      </c>
      <c r="G33" s="105">
        <f t="shared" si="11"/>
        <v>7.6211950968459632E-2</v>
      </c>
      <c r="H33" s="67">
        <f>(H30-H24)/H24</f>
        <v>0.14764425082783031</v>
      </c>
      <c r="K33" s="31"/>
      <c r="L33" s="31"/>
      <c r="M33" s="31"/>
      <c r="N33" s="31"/>
      <c r="R33" s="14"/>
      <c r="S33" s="14"/>
      <c r="T33" s="14"/>
      <c r="U33" s="14"/>
    </row>
    <row r="35" spans="1:21" x14ac:dyDescent="0.25">
      <c r="B35" s="14"/>
      <c r="I35" s="30"/>
    </row>
    <row r="36" spans="1:21" x14ac:dyDescent="0.25">
      <c r="A36" s="34"/>
      <c r="B36" s="14"/>
      <c r="C36" s="34"/>
      <c r="D36" s="34"/>
      <c r="E36" s="34"/>
      <c r="F36" s="34"/>
      <c r="G36" s="34"/>
      <c r="H36" s="34"/>
      <c r="I36" s="34"/>
    </row>
    <row r="37" spans="1:21" x14ac:dyDescent="0.25">
      <c r="A37" s="34"/>
      <c r="B37" s="14"/>
      <c r="C37" s="34"/>
      <c r="D37" s="34"/>
      <c r="E37" s="34"/>
      <c r="F37" s="34"/>
      <c r="G37" s="34"/>
      <c r="H37" s="34"/>
      <c r="I37" s="34"/>
    </row>
    <row r="38" spans="1:21" x14ac:dyDescent="0.25">
      <c r="A38" s="34"/>
      <c r="B38" s="14"/>
      <c r="C38" s="34"/>
      <c r="D38" s="34"/>
      <c r="E38" s="34"/>
      <c r="F38" s="34"/>
      <c r="G38" s="34"/>
      <c r="H38" s="34"/>
      <c r="I38" s="34"/>
    </row>
    <row r="39" spans="1:21" x14ac:dyDescent="0.25">
      <c r="A39" s="34"/>
      <c r="B39" s="34"/>
      <c r="C39" s="34"/>
      <c r="D39" s="34"/>
      <c r="E39" s="34"/>
      <c r="F39" s="34"/>
      <c r="G39" s="34"/>
      <c r="H39" s="34"/>
      <c r="I39" s="34"/>
    </row>
    <row r="40" spans="1:21" x14ac:dyDescent="0.25">
      <c r="A40" s="34"/>
      <c r="B40" s="34"/>
      <c r="C40" s="34"/>
      <c r="D40" s="34"/>
      <c r="E40" s="34"/>
      <c r="F40" s="34"/>
      <c r="G40" s="34"/>
      <c r="H40" s="34"/>
      <c r="I40" s="34"/>
    </row>
    <row r="41" spans="1:21" x14ac:dyDescent="0.25">
      <c r="A41" s="34"/>
      <c r="B41" s="34"/>
      <c r="C41" s="34"/>
      <c r="D41" s="34"/>
      <c r="E41" s="34"/>
      <c r="F41" s="34"/>
      <c r="G41" s="34"/>
      <c r="H41" s="34"/>
      <c r="I41" s="34"/>
    </row>
    <row r="42" spans="1:21" x14ac:dyDescent="0.25">
      <c r="A42" s="34"/>
      <c r="B42" s="34"/>
      <c r="C42" s="34"/>
      <c r="D42" s="34"/>
      <c r="E42" s="34"/>
      <c r="F42" s="34"/>
      <c r="G42" s="34"/>
      <c r="H42" s="34"/>
      <c r="I42" s="34"/>
    </row>
    <row r="43" spans="1:21" x14ac:dyDescent="0.25">
      <c r="A43" s="34"/>
      <c r="B43" s="34"/>
      <c r="C43" s="34"/>
      <c r="D43" s="34"/>
      <c r="E43" s="34"/>
      <c r="F43" s="34"/>
      <c r="G43" s="34"/>
      <c r="H43" s="34"/>
      <c r="I43" s="34"/>
    </row>
    <row r="44" spans="1:21" x14ac:dyDescent="0.25">
      <c r="A44" s="34"/>
      <c r="B44" s="34"/>
      <c r="C44" s="34"/>
      <c r="D44" s="34"/>
      <c r="E44" s="34"/>
      <c r="F44" s="34"/>
      <c r="G44" s="34"/>
      <c r="H44" s="34"/>
      <c r="I44" s="34"/>
    </row>
    <row r="45" spans="1:21" x14ac:dyDescent="0.25">
      <c r="A45" s="34"/>
      <c r="B45" s="34"/>
      <c r="C45" s="34"/>
      <c r="E45" s="14"/>
      <c r="F45" s="34"/>
    </row>
    <row r="46" spans="1:21" x14ac:dyDescent="0.25">
      <c r="C46" s="35"/>
      <c r="E46" s="14"/>
      <c r="F46" s="34"/>
    </row>
  </sheetData>
  <mergeCells count="7">
    <mergeCell ref="A2:D2"/>
    <mergeCell ref="K6:L6"/>
    <mergeCell ref="K21:L21"/>
    <mergeCell ref="M6:N6"/>
    <mergeCell ref="M21:N21"/>
    <mergeCell ref="A5:N5"/>
    <mergeCell ref="A20:N20"/>
  </mergeCells>
  <hyperlinks>
    <hyperlink ref="A1" location="Introduksjon!A1" display="Tilbake til introduksjon" xr:uid="{1C6385B7-9BDB-459B-B849-A3F2E9A9E516}"/>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93B40-DE61-4200-9CF5-F8D704746565}">
  <sheetPr>
    <tabColor theme="8"/>
  </sheetPr>
  <dimension ref="A1:V46"/>
  <sheetViews>
    <sheetView workbookViewId="0"/>
  </sheetViews>
  <sheetFormatPr baseColWidth="10" defaultColWidth="11.42578125" defaultRowHeight="15" x14ac:dyDescent="0.25"/>
  <cols>
    <col min="1" max="1" width="21.85546875" style="9" bestFit="1" customWidth="1"/>
    <col min="2" max="2" width="12.85546875" style="9" customWidth="1"/>
    <col min="3" max="3" width="13.28515625" style="9" customWidth="1"/>
    <col min="4" max="6" width="11.42578125" style="9"/>
    <col min="7" max="8" width="12.28515625" style="9" customWidth="1"/>
    <col min="9" max="10" width="11.42578125" style="9"/>
    <col min="11" max="11" width="12.28515625" style="9" customWidth="1"/>
    <col min="12" max="12" width="11.42578125" style="9"/>
    <col min="13" max="13" width="8.140625" style="9" customWidth="1"/>
    <col min="14" max="14" width="10.5703125" style="9" customWidth="1"/>
    <col min="15" max="15" width="12.5703125" style="9" customWidth="1"/>
    <col min="16" max="16" width="13.28515625" style="9" customWidth="1"/>
    <col min="17" max="16384" width="11.42578125" style="9"/>
  </cols>
  <sheetData>
    <row r="1" spans="1:14" x14ac:dyDescent="0.25">
      <c r="A1" s="45" t="s">
        <v>170</v>
      </c>
    </row>
    <row r="2" spans="1:14" ht="18.75" x14ac:dyDescent="0.3">
      <c r="A2" s="175" t="s">
        <v>195</v>
      </c>
      <c r="B2" s="176"/>
      <c r="C2" s="176"/>
      <c r="D2" s="177"/>
    </row>
    <row r="5" spans="1:14" x14ac:dyDescent="0.25">
      <c r="A5" s="183" t="s">
        <v>10</v>
      </c>
      <c r="B5" s="183"/>
      <c r="C5" s="183"/>
      <c r="D5" s="183"/>
      <c r="E5" s="183"/>
      <c r="F5" s="183"/>
      <c r="G5" s="183"/>
      <c r="H5" s="183"/>
      <c r="I5" s="183"/>
      <c r="J5" s="183"/>
      <c r="K5" s="183"/>
      <c r="L5" s="183"/>
      <c r="M5" s="183"/>
      <c r="N5" s="183"/>
    </row>
    <row r="6" spans="1:14" ht="15.75" thickBot="1" x14ac:dyDescent="0.3">
      <c r="A6" s="16"/>
      <c r="B6" s="16"/>
      <c r="C6" s="16"/>
      <c r="D6" s="94"/>
      <c r="E6" s="16"/>
      <c r="F6" s="16"/>
      <c r="G6" s="29"/>
      <c r="H6" s="95"/>
      <c r="J6" s="99"/>
      <c r="K6" s="179" t="s">
        <v>66</v>
      </c>
      <c r="L6" s="184"/>
      <c r="M6" s="179" t="s">
        <v>67</v>
      </c>
      <c r="N6" s="179"/>
    </row>
    <row r="7" spans="1:14" ht="15.75" thickBot="1" x14ac:dyDescent="0.3">
      <c r="A7" s="99"/>
      <c r="B7" s="98" t="s">
        <v>62</v>
      </c>
      <c r="C7" s="98" t="s">
        <v>63</v>
      </c>
      <c r="D7" s="98" t="s">
        <v>64</v>
      </c>
      <c r="E7" s="98" t="s">
        <v>68</v>
      </c>
      <c r="F7" s="98" t="s">
        <v>69</v>
      </c>
      <c r="G7" s="63" t="s">
        <v>70</v>
      </c>
      <c r="H7" s="50" t="s">
        <v>71</v>
      </c>
      <c r="J7" s="99"/>
      <c r="K7" s="98" t="s">
        <v>64</v>
      </c>
      <c r="L7" s="158" t="s">
        <v>63</v>
      </c>
      <c r="M7" s="98" t="s">
        <v>64</v>
      </c>
      <c r="N7" s="98" t="s">
        <v>63</v>
      </c>
    </row>
    <row r="8" spans="1:14" x14ac:dyDescent="0.25">
      <c r="A8" s="100">
        <v>2023</v>
      </c>
      <c r="B8" s="33">
        <f>'IR 2023-2024'!$B$12</f>
        <v>1522765.1566770331</v>
      </c>
      <c r="C8" s="33">
        <f t="shared" ref="C8:C17" si="0">L8+N8</f>
        <v>16626654.34</v>
      </c>
      <c r="D8" s="33">
        <f t="shared" ref="D8:D17" si="1">K8+M8</f>
        <v>784011</v>
      </c>
      <c r="E8" s="33">
        <f>Nettap!F17</f>
        <v>915327</v>
      </c>
      <c r="F8" s="33">
        <f>E8*Nettap!I29</f>
        <v>837576.99146244291</v>
      </c>
      <c r="G8" s="101">
        <f>(C8+(C8*Forutsetninger!$B$4))*Forutsetninger!B8</f>
        <v>1403888.1858522398</v>
      </c>
      <c r="H8" s="33">
        <f t="shared" ref="H8:H15" si="2">B8+D8+F8+G8</f>
        <v>4548241.3339917157</v>
      </c>
      <c r="J8" s="100">
        <v>2023</v>
      </c>
      <c r="K8" s="33">
        <f>'IR 2023-2024'!$B$14</f>
        <v>784011</v>
      </c>
      <c r="L8" s="101">
        <f>'IR 2023-2024'!$B$13</f>
        <v>16626654.34</v>
      </c>
      <c r="M8" s="31"/>
      <c r="N8" s="31"/>
    </row>
    <row r="9" spans="1:14" x14ac:dyDescent="0.25">
      <c r="A9" s="103">
        <v>2024</v>
      </c>
      <c r="B9" s="84">
        <f>'IR 2023-2024'!$F$12</f>
        <v>1683209.4636174489</v>
      </c>
      <c r="C9" s="84">
        <f t="shared" si="0"/>
        <v>17637612.829999998</v>
      </c>
      <c r="D9" s="84">
        <f t="shared" si="1"/>
        <v>785812</v>
      </c>
      <c r="E9" s="84">
        <f>Nettap!F18</f>
        <v>785456</v>
      </c>
      <c r="F9" s="84">
        <f>E9*Nettap!I30</f>
        <v>524719.90194164938</v>
      </c>
      <c r="G9" s="104">
        <f>(C9+(C9*Forutsetninger!$B$4))*Forutsetninger!B9</f>
        <v>1341393.3685599901</v>
      </c>
      <c r="H9" s="84">
        <f t="shared" si="2"/>
        <v>4335134.7341190884</v>
      </c>
      <c r="J9" s="103">
        <v>2024</v>
      </c>
      <c r="K9" s="84">
        <f>'IR 2023-2024'!$F$14</f>
        <v>785812</v>
      </c>
      <c r="L9" s="104">
        <f>'IR 2023-2024'!$F$13</f>
        <v>17637612.829999998</v>
      </c>
      <c r="M9" s="110"/>
      <c r="N9" s="110"/>
    </row>
    <row r="10" spans="1:14" x14ac:dyDescent="0.25">
      <c r="A10" s="100">
        <v>2025</v>
      </c>
      <c r="B10" s="33">
        <f>AVERAGE(B8:B9)</f>
        <v>1602987.310147241</v>
      </c>
      <c r="C10" s="33">
        <f t="shared" si="0"/>
        <v>18419917.639725227</v>
      </c>
      <c r="D10" s="33">
        <f t="shared" si="1"/>
        <v>809689.84479350923</v>
      </c>
      <c r="E10" s="33">
        <f>Nettap!F19</f>
        <v>793468.71954031906</v>
      </c>
      <c r="F10" s="33">
        <f>E10*Nettap!I31</f>
        <v>564698.67480984458</v>
      </c>
      <c r="G10" s="101">
        <f>(C10+(C10*Forutsetninger!$B$4))*Forutsetninger!B10</f>
        <v>1259498.7084514918</v>
      </c>
      <c r="H10" s="33">
        <f t="shared" si="2"/>
        <v>4236874.5382020865</v>
      </c>
      <c r="J10" s="100">
        <v>2025</v>
      </c>
      <c r="K10" s="96">
        <f>K9-Fordelingsnøkler!$C$5</f>
        <v>769889.97843054088</v>
      </c>
      <c r="L10" s="102">
        <f t="shared" ref="L10:L17" si="3">L9-K10</f>
        <v>16867722.851569459</v>
      </c>
      <c r="M10" s="33">
        <f>Investeringer!B16/Forutsetninger!$E$4</f>
        <v>39799.866362968372</v>
      </c>
      <c r="N10" s="33">
        <f>Investeringer!B16-'Sørlandet IR 2023-2030'!M10</f>
        <v>1552194.7881557664</v>
      </c>
    </row>
    <row r="11" spans="1:14" x14ac:dyDescent="0.25">
      <c r="A11" s="103">
        <v>2026</v>
      </c>
      <c r="B11" s="84">
        <f>B10</f>
        <v>1602987.310147241</v>
      </c>
      <c r="C11" s="84">
        <f t="shared" si="0"/>
        <v>19041033.555250917</v>
      </c>
      <c r="D11" s="84">
        <f t="shared" si="1"/>
        <v>830046.89344840241</v>
      </c>
      <c r="E11" s="84">
        <f>Nettap!F20</f>
        <v>809166.76428391598</v>
      </c>
      <c r="F11" s="84">
        <f>E11*Nettap!I32</f>
        <v>550959.14138394909</v>
      </c>
      <c r="G11" s="104">
        <f>(C11+(C11*Forutsetninger!$B$4))*Forutsetninger!B11</f>
        <v>1153886.6334482057</v>
      </c>
      <c r="H11" s="84">
        <f t="shared" si="2"/>
        <v>4137879.9784277985</v>
      </c>
      <c r="J11" s="103">
        <v>2026</v>
      </c>
      <c r="K11" s="111">
        <f>K10-Fordelingsnøkler!$C$5</f>
        <v>753967.95686108177</v>
      </c>
      <c r="L11" s="112">
        <f t="shared" si="3"/>
        <v>16113754.894708376</v>
      </c>
      <c r="M11" s="84">
        <f>M10+Investeringer!B17/Forutsetninger!$E$4</f>
        <v>76078.936587320699</v>
      </c>
      <c r="N11" s="84">
        <f>N10+Investeringer!B17-'Sørlandet IR 2023-2030'!M11</f>
        <v>2927278.6605425393</v>
      </c>
    </row>
    <row r="12" spans="1:14" x14ac:dyDescent="0.25">
      <c r="A12" s="100">
        <v>2027</v>
      </c>
      <c r="B12" s="33">
        <f t="shared" ref="B12:B15" si="4">B11</f>
        <v>1602987.310147241</v>
      </c>
      <c r="C12" s="33">
        <f t="shared" si="0"/>
        <v>19594081.228614252</v>
      </c>
      <c r="D12" s="33">
        <f t="shared" si="1"/>
        <v>849180.57816720684</v>
      </c>
      <c r="E12" s="33">
        <f>Nettap!F21</f>
        <v>827151.70328760473</v>
      </c>
      <c r="F12" s="33">
        <f>E12*Nettap!I33</f>
        <v>550000.79438281816</v>
      </c>
      <c r="G12" s="101">
        <f>(C12+(C12*Forutsetninger!$B$4))*Forutsetninger!B12</f>
        <v>1187401.3224540236</v>
      </c>
      <c r="H12" s="33">
        <f t="shared" si="2"/>
        <v>4189570.0051512895</v>
      </c>
      <c r="J12" s="100">
        <v>2027</v>
      </c>
      <c r="K12" s="96">
        <f>K11-Fordelingsnøkler!$C$5</f>
        <v>738045.93529162265</v>
      </c>
      <c r="L12" s="102">
        <f t="shared" si="3"/>
        <v>15375708.959416755</v>
      </c>
      <c r="M12" s="33">
        <f>M11+Investeringer!B18/Forutsetninger!$E$4</f>
        <v>111134.64287558424</v>
      </c>
      <c r="N12" s="33">
        <f>N11+Investeringer!B18-'Sørlandet IR 2023-2030'!M12</f>
        <v>4218372.2691974975</v>
      </c>
    </row>
    <row r="13" spans="1:14" x14ac:dyDescent="0.25">
      <c r="A13" s="103">
        <v>2028</v>
      </c>
      <c r="B13" s="84">
        <f t="shared" si="4"/>
        <v>1602987.310147241</v>
      </c>
      <c r="C13" s="84">
        <f t="shared" si="0"/>
        <v>20140257.133175448</v>
      </c>
      <c r="D13" s="84">
        <f t="shared" si="1"/>
        <v>868628.67098643864</v>
      </c>
      <c r="E13" s="84">
        <f>Nettap!F22</f>
        <v>831011.09989252</v>
      </c>
      <c r="F13" s="84">
        <f>E13*Nettap!I34</f>
        <v>598568.09872974304</v>
      </c>
      <c r="G13" s="104">
        <f>(C13+(C13*Forutsetninger!$B$4))*Forutsetninger!B13</f>
        <v>1220499.582270432</v>
      </c>
      <c r="H13" s="84">
        <f t="shared" si="2"/>
        <v>4290683.6621338548</v>
      </c>
      <c r="J13" s="103">
        <v>2028</v>
      </c>
      <c r="K13" s="111">
        <f>K12-Fordelingsnøkler!$C$5</f>
        <v>722123.91372216353</v>
      </c>
      <c r="L13" s="112">
        <f t="shared" si="3"/>
        <v>14653585.045694591</v>
      </c>
      <c r="M13" s="84">
        <f>M12+Investeringer!B19/Forutsetninger!$E$4</f>
        <v>146504.75726427505</v>
      </c>
      <c r="N13" s="84">
        <f>N12+Investeringer!B19-'Sørlandet IR 2023-2030'!M13</f>
        <v>5486672.0874808542</v>
      </c>
    </row>
    <row r="14" spans="1:14" x14ac:dyDescent="0.25">
      <c r="A14" s="100">
        <v>2029</v>
      </c>
      <c r="B14" s="33">
        <f t="shared" si="4"/>
        <v>1602987.310147241</v>
      </c>
      <c r="C14" s="33">
        <f t="shared" si="0"/>
        <v>20701893.776793271</v>
      </c>
      <c r="D14" s="33">
        <f t="shared" si="1"/>
        <v>888971.8620588975</v>
      </c>
      <c r="E14" s="33">
        <f>Nettap!F23</f>
        <v>835853.09574025951</v>
      </c>
      <c r="F14" s="33">
        <f>E14*Nettap!I35</f>
        <v>648324.82865713607</v>
      </c>
      <c r="G14" s="101">
        <f>(C14+(C14*Forutsetninger!$B$4))*Forutsetninger!B14</f>
        <v>1254534.7628736722</v>
      </c>
      <c r="H14" s="33">
        <f t="shared" si="2"/>
        <v>4394818.7637369465</v>
      </c>
      <c r="J14" s="100">
        <v>2029</v>
      </c>
      <c r="K14" s="96">
        <f>K13-Fordelingsnøkler!$C$5</f>
        <v>706201.89215270441</v>
      </c>
      <c r="L14" s="102">
        <f t="shared" si="3"/>
        <v>13947383.153541887</v>
      </c>
      <c r="M14" s="33">
        <f>M13+Investeringer!B20/Forutsetninger!$E$4</f>
        <v>182769.96990619312</v>
      </c>
      <c r="N14" s="33">
        <f>N13+Investeringer!B20-'Sørlandet IR 2023-2030'!M14</f>
        <v>6754510.6232513832</v>
      </c>
    </row>
    <row r="15" spans="1:14" x14ac:dyDescent="0.25">
      <c r="A15" s="103">
        <v>2030</v>
      </c>
      <c r="B15" s="84">
        <f t="shared" si="4"/>
        <v>1602987.310147241</v>
      </c>
      <c r="C15" s="84">
        <f t="shared" si="0"/>
        <v>21226639.893483944</v>
      </c>
      <c r="D15" s="84">
        <f t="shared" si="1"/>
        <v>908890.76246841578</v>
      </c>
      <c r="E15" s="84">
        <f>Nettap!F24</f>
        <v>841677.69083082327</v>
      </c>
      <c r="F15" s="84">
        <f>E15*Nettap!I36</f>
        <v>699434.16108041408</v>
      </c>
      <c r="G15" s="104">
        <f>(C15+(C15*Forutsetninger!$B$4))*Forutsetninger!B15</f>
        <v>1286334.3775451272</v>
      </c>
      <c r="H15" s="84">
        <f t="shared" si="2"/>
        <v>4497646.6112411981</v>
      </c>
      <c r="J15" s="103">
        <v>2030</v>
      </c>
      <c r="K15" s="111">
        <f>K14-Fordelingsnøkler!$C$5</f>
        <v>690279.8705832453</v>
      </c>
      <c r="L15" s="112">
        <f t="shared" si="3"/>
        <v>13257103.282958642</v>
      </c>
      <c r="M15" s="84">
        <f>M14+Investeringer!B21/Forutsetninger!$E$4</f>
        <v>218610.89188517042</v>
      </c>
      <c r="N15" s="84">
        <f>N14+Investeringer!B21-'Sørlandet IR 2023-2030'!M15</f>
        <v>7969536.6105253045</v>
      </c>
    </row>
    <row r="16" spans="1:14" x14ac:dyDescent="0.25">
      <c r="A16" s="100">
        <v>2031</v>
      </c>
      <c r="B16" s="97"/>
      <c r="C16" s="33">
        <f t="shared" si="0"/>
        <v>21731467.109765105</v>
      </c>
      <c r="D16" s="33">
        <f t="shared" si="1"/>
        <v>928809.66287793382</v>
      </c>
      <c r="E16" s="97"/>
      <c r="F16" s="97"/>
      <c r="G16" s="101">
        <f>(C16+(C16*Forutsetninger!B4))*Forutsetninger!B15</f>
        <v>1316926.9068517652</v>
      </c>
      <c r="H16" s="14"/>
      <c r="J16" s="100">
        <v>2031</v>
      </c>
      <c r="K16" s="96">
        <f>K15-Fordelingsnøkler!$C$5</f>
        <v>674357.84901378618</v>
      </c>
      <c r="L16" s="102">
        <f t="shared" si="3"/>
        <v>12582745.433944855</v>
      </c>
      <c r="M16" s="33">
        <f>M15+Investeringer!B22/Forutsetninger!$E$4</f>
        <v>254451.8138641477</v>
      </c>
      <c r="N16" s="33">
        <f>N15+Investeringer!B22-'Sørlandet IR 2023-2030'!M16</f>
        <v>9148721.6758202482</v>
      </c>
    </row>
    <row r="17" spans="1:22" ht="15.75" thickBot="1" x14ac:dyDescent="0.3">
      <c r="A17" s="106">
        <v>2032</v>
      </c>
      <c r="B17" s="107"/>
      <c r="C17" s="85">
        <f t="shared" si="0"/>
        <v>22216375.425636742</v>
      </c>
      <c r="D17" s="85">
        <f t="shared" si="1"/>
        <v>948728.5632874521</v>
      </c>
      <c r="E17" s="107"/>
      <c r="F17" s="107"/>
      <c r="G17" s="108">
        <f>(C17+(C17*Forutsetninger!B4))*Forutsetninger!B15</f>
        <v>1346312.3507935866</v>
      </c>
      <c r="H17" s="109"/>
      <c r="J17" s="103">
        <v>2032</v>
      </c>
      <c r="K17" s="111">
        <f>K16-Fordelingsnøkler!$C$5</f>
        <v>658435.82744432706</v>
      </c>
      <c r="L17" s="112">
        <f t="shared" si="3"/>
        <v>11924309.606500529</v>
      </c>
      <c r="M17" s="84">
        <f>M16+Investeringer!B23/Forutsetninger!$E$4</f>
        <v>290292.73584312497</v>
      </c>
      <c r="N17" s="84">
        <f>N16+Investeringer!B23-'Sørlandet IR 2023-2030'!M17</f>
        <v>10292065.819136214</v>
      </c>
    </row>
    <row r="18" spans="1:22" x14ac:dyDescent="0.25">
      <c r="A18" s="54" t="s">
        <v>72</v>
      </c>
      <c r="B18" s="67">
        <f t="shared" ref="B18:G18" si="5">(B15-B9)/B9</f>
        <v>-4.7660231958177972E-2</v>
      </c>
      <c r="C18" s="67">
        <f t="shared" si="5"/>
        <v>0.20348712141925085</v>
      </c>
      <c r="D18" s="67">
        <f t="shared" si="5"/>
        <v>0.15662621908091984</v>
      </c>
      <c r="E18" s="67">
        <f t="shared" si="5"/>
        <v>7.1578409014411079E-2</v>
      </c>
      <c r="F18" s="67">
        <f t="shared" si="5"/>
        <v>0.33296670946205792</v>
      </c>
      <c r="G18" s="105">
        <f t="shared" si="5"/>
        <v>-4.1046118391035225E-2</v>
      </c>
      <c r="H18" s="67">
        <f>(H15-H9)/H9</f>
        <v>3.7487157167938087E-2</v>
      </c>
      <c r="K18" s="31"/>
      <c r="L18" s="31"/>
      <c r="M18" s="31"/>
      <c r="N18" s="31"/>
      <c r="O18" s="31"/>
      <c r="P18" s="31"/>
    </row>
    <row r="20" spans="1:22" x14ac:dyDescent="0.25">
      <c r="A20" s="183" t="s">
        <v>12</v>
      </c>
      <c r="B20" s="183"/>
      <c r="C20" s="183"/>
      <c r="D20" s="183"/>
      <c r="E20" s="183"/>
      <c r="F20" s="183"/>
      <c r="G20" s="183"/>
      <c r="H20" s="183"/>
      <c r="I20" s="183"/>
      <c r="J20" s="183"/>
      <c r="K20" s="183"/>
      <c r="L20" s="183"/>
      <c r="M20" s="183"/>
      <c r="N20" s="183"/>
    </row>
    <row r="21" spans="1:22" ht="15.75" thickBot="1" x14ac:dyDescent="0.3">
      <c r="A21" s="16"/>
      <c r="B21" s="16"/>
      <c r="C21" s="16"/>
      <c r="D21" s="94"/>
      <c r="E21" s="16"/>
      <c r="F21" s="16"/>
      <c r="G21" s="29"/>
      <c r="H21" s="95"/>
      <c r="J21" s="99"/>
      <c r="K21" s="179" t="s">
        <v>66</v>
      </c>
      <c r="L21" s="184"/>
      <c r="M21" s="179" t="s">
        <v>67</v>
      </c>
      <c r="N21" s="179"/>
      <c r="P21" s="16"/>
    </row>
    <row r="22" spans="1:22" ht="15.75" thickBot="1" x14ac:dyDescent="0.3">
      <c r="A22" s="99"/>
      <c r="B22" s="98" t="s">
        <v>62</v>
      </c>
      <c r="C22" s="98" t="s">
        <v>63</v>
      </c>
      <c r="D22" s="98" t="s">
        <v>64</v>
      </c>
      <c r="E22" s="98" t="s">
        <v>68</v>
      </c>
      <c r="F22" s="98" t="s">
        <v>69</v>
      </c>
      <c r="G22" s="63" t="s">
        <v>70</v>
      </c>
      <c r="H22" s="50" t="s">
        <v>71</v>
      </c>
      <c r="J22" s="160"/>
      <c r="K22" s="98" t="s">
        <v>64</v>
      </c>
      <c r="L22" s="158" t="s">
        <v>63</v>
      </c>
      <c r="M22" s="98" t="s">
        <v>64</v>
      </c>
      <c r="N22" s="98" t="s">
        <v>63</v>
      </c>
      <c r="P22" s="32"/>
      <c r="Q22" s="16"/>
      <c r="S22" s="14"/>
      <c r="T22" s="14"/>
      <c r="U22" s="14"/>
      <c r="V22" s="14"/>
    </row>
    <row r="23" spans="1:22" x14ac:dyDescent="0.25">
      <c r="A23" s="100">
        <v>2023</v>
      </c>
      <c r="B23" s="33">
        <f>'IR 2023-2024'!$C$12</f>
        <v>489454.85126190161</v>
      </c>
      <c r="C23" s="33">
        <f t="shared" ref="C23:C32" si="6">L23+N23</f>
        <v>7579985.3599999994</v>
      </c>
      <c r="D23" s="33">
        <f t="shared" ref="D23:D32" si="7">K23+M23</f>
        <v>300521</v>
      </c>
      <c r="E23" s="33">
        <f>Nettap!G17</f>
        <v>511547</v>
      </c>
      <c r="F23" s="33">
        <f>E23*Nettap!I29</f>
        <v>468095.00566643209</v>
      </c>
      <c r="G23" s="101">
        <f>(C23*(1+Forutsetninger!$B$4))*(Forutsetninger!B8)</f>
        <v>640023.64385695988</v>
      </c>
      <c r="H23" s="33">
        <f t="shared" ref="H23:H30" si="8">B23+D23+F23+G23</f>
        <v>1898094.5007852935</v>
      </c>
      <c r="J23" s="100">
        <v>2023</v>
      </c>
      <c r="K23" s="33">
        <f>'IR 2023-2024'!$C$14</f>
        <v>300521</v>
      </c>
      <c r="L23" s="101">
        <f>'IR 2023-2024'!$C$13</f>
        <v>7579985.3599999994</v>
      </c>
      <c r="M23" s="31"/>
      <c r="N23" s="31"/>
      <c r="P23" s="31"/>
      <c r="S23" s="14"/>
      <c r="T23" s="14"/>
      <c r="U23" s="14"/>
      <c r="V23" s="14"/>
    </row>
    <row r="24" spans="1:22" x14ac:dyDescent="0.25">
      <c r="A24" s="103">
        <v>2024</v>
      </c>
      <c r="B24" s="84">
        <f>'IR 2023-2024'!$G$12</f>
        <v>538794.37047788512</v>
      </c>
      <c r="C24" s="84">
        <f t="shared" si="6"/>
        <v>8215194.5599999996</v>
      </c>
      <c r="D24" s="84">
        <f t="shared" si="7"/>
        <v>317882</v>
      </c>
      <c r="E24" s="84">
        <f>Nettap!G18</f>
        <v>423519</v>
      </c>
      <c r="F24" s="84">
        <f>E24*Nettap!I30</f>
        <v>282929.72254387947</v>
      </c>
      <c r="G24" s="104">
        <f>(C24*(1+Forutsetninger!$B$4))*(Forutsetninger!B9)</f>
        <v>624790.19187168009</v>
      </c>
      <c r="H24" s="84">
        <f t="shared" si="8"/>
        <v>1764396.2848934447</v>
      </c>
      <c r="J24" s="103">
        <v>2024</v>
      </c>
      <c r="K24" s="84">
        <f>'IR 2023-2024'!$G$14</f>
        <v>317882</v>
      </c>
      <c r="L24" s="104">
        <f>'IR 2023-2024'!$G$13</f>
        <v>8215194.5599999996</v>
      </c>
      <c r="M24" s="110"/>
      <c r="N24" s="110"/>
      <c r="P24" s="31"/>
      <c r="S24" s="14"/>
      <c r="T24" s="14"/>
      <c r="U24" s="14"/>
      <c r="V24" s="14"/>
    </row>
    <row r="25" spans="1:22" x14ac:dyDescent="0.25">
      <c r="A25" s="100">
        <v>2025</v>
      </c>
      <c r="B25" s="33">
        <f>AVERAGE(B23:B24)</f>
        <v>514124.61086989334</v>
      </c>
      <c r="C25" s="33">
        <f t="shared" si="6"/>
        <v>8995212.9688475095</v>
      </c>
      <c r="D25" s="33">
        <f t="shared" si="7"/>
        <v>340461.59115249</v>
      </c>
      <c r="E25" s="33">
        <f>Nettap!G19</f>
        <v>427839.46985062992</v>
      </c>
      <c r="F25" s="33">
        <f>E25*Nettap!I31</f>
        <v>304486.33412538777</v>
      </c>
      <c r="G25" s="101">
        <f>(C25*(1+Forutsetninger!$B$4))*(Forutsetninger!B10)</f>
        <v>615065.67717088608</v>
      </c>
      <c r="H25" s="33">
        <f t="shared" si="8"/>
        <v>1774138.2133186571</v>
      </c>
      <c r="J25" s="100">
        <v>2025</v>
      </c>
      <c r="K25" s="96">
        <f>K24-Fordelingsnøkler!$C$6</f>
        <v>312449.59115249</v>
      </c>
      <c r="L25" s="102">
        <f>L24-K25</f>
        <v>7902744.9688475095</v>
      </c>
      <c r="M25" s="33">
        <f>Investeringer!C16/Forutsetninger!$E$5</f>
        <v>28012</v>
      </c>
      <c r="N25" s="33">
        <f>Investeringer!C16-'Sørlandet IR 2023-2030'!M25</f>
        <v>1092468</v>
      </c>
      <c r="P25" s="33"/>
      <c r="Q25" s="34"/>
      <c r="S25" s="14"/>
      <c r="T25" s="14"/>
      <c r="U25" s="14"/>
      <c r="V25" s="14"/>
    </row>
    <row r="26" spans="1:22" x14ac:dyDescent="0.25">
      <c r="A26" s="103">
        <v>2026</v>
      </c>
      <c r="B26" s="84">
        <f>B25</f>
        <v>514124.61086989334</v>
      </c>
      <c r="C26" s="84">
        <f t="shared" si="6"/>
        <v>10790129.786542529</v>
      </c>
      <c r="D26" s="84">
        <f t="shared" si="7"/>
        <v>389643.18230498</v>
      </c>
      <c r="E26" s="84">
        <f>Nettap!G20</f>
        <v>436303.87805651722</v>
      </c>
      <c r="F26" s="84">
        <f>E26*Nettap!I32</f>
        <v>297077.95802666055</v>
      </c>
      <c r="G26" s="104">
        <f>(C26*(1+Forutsetninger!$B$4))*(Forutsetninger!B11)</f>
        <v>653881.86506447732</v>
      </c>
      <c r="H26" s="84">
        <f t="shared" si="8"/>
        <v>1854727.6162660113</v>
      </c>
      <c r="J26" s="103">
        <v>2026</v>
      </c>
      <c r="K26" s="111">
        <f>K25-Fordelingsnøkler!$C$6</f>
        <v>307017.18230498</v>
      </c>
      <c r="L26" s="112">
        <f t="shared" ref="L26:L32" si="9">L25-K26</f>
        <v>7595727.7865425292</v>
      </c>
      <c r="M26" s="84">
        <f>M25+Investeringer!C17/Forutsetninger!$E$4</f>
        <v>82626</v>
      </c>
      <c r="N26" s="84">
        <f>N25+Investeringer!C17-M26</f>
        <v>3194402</v>
      </c>
      <c r="P26" s="33"/>
      <c r="Q26" s="34"/>
      <c r="S26" s="14"/>
      <c r="T26" s="14"/>
      <c r="U26" s="14"/>
      <c r="V26" s="14"/>
    </row>
    <row r="27" spans="1:22" x14ac:dyDescent="0.25">
      <c r="A27" s="100">
        <v>2027</v>
      </c>
      <c r="B27" s="33">
        <f t="shared" ref="B27:B30" si="10">B26</f>
        <v>514124.61086989334</v>
      </c>
      <c r="C27" s="33">
        <f t="shared" si="6"/>
        <v>12369062.01308506</v>
      </c>
      <c r="D27" s="33">
        <f t="shared" si="7"/>
        <v>434547.77345747</v>
      </c>
      <c r="E27" s="33">
        <f>Nettap!G21</f>
        <v>446001.38292235724</v>
      </c>
      <c r="F27" s="33">
        <f>E27*Nettap!I33</f>
        <v>296561.21595126489</v>
      </c>
      <c r="G27" s="101">
        <f>(C27*(1+Forutsetninger!$B$4))*(Forutsetninger!B12)</f>
        <v>749565.1579929546</v>
      </c>
      <c r="H27" s="33">
        <f t="shared" si="8"/>
        <v>1994798.7582715829</v>
      </c>
      <c r="J27" s="100">
        <v>2027</v>
      </c>
      <c r="K27" s="96">
        <f>K26-Fordelingsnøkler!$C$6</f>
        <v>301584.77345747</v>
      </c>
      <c r="L27" s="102">
        <f t="shared" si="9"/>
        <v>7294143.0130850589</v>
      </c>
      <c r="M27" s="33">
        <f>M26+Investeringer!C18/Forutsetninger!$E$4</f>
        <v>132963</v>
      </c>
      <c r="N27" s="33">
        <f>N26+Investeringer!C18-M27</f>
        <v>5074919</v>
      </c>
      <c r="P27" s="33"/>
      <c r="Q27" s="34"/>
      <c r="S27" s="14"/>
      <c r="T27" s="14"/>
      <c r="U27" s="14"/>
      <c r="V27" s="14"/>
    </row>
    <row r="28" spans="1:22" x14ac:dyDescent="0.25">
      <c r="A28" s="103">
        <v>2028</v>
      </c>
      <c r="B28" s="84">
        <f t="shared" si="10"/>
        <v>514124.61086989334</v>
      </c>
      <c r="C28" s="84">
        <f t="shared" si="6"/>
        <v>14219282.148475099</v>
      </c>
      <c r="D28" s="84">
        <f t="shared" si="7"/>
        <v>487559.86460996</v>
      </c>
      <c r="E28" s="84">
        <f>Nettap!G22</f>
        <v>448082.37509851618</v>
      </c>
      <c r="F28" s="84">
        <f>E28*Nettap!I34</f>
        <v>322748.77600517665</v>
      </c>
      <c r="G28" s="104">
        <f>(C28*(1+Forutsetninger!$B$4))*(Forutsetninger!B13)</f>
        <v>861688.49819759105</v>
      </c>
      <c r="H28" s="84">
        <f t="shared" si="8"/>
        <v>2186121.7496826211</v>
      </c>
      <c r="J28" s="103">
        <v>2028</v>
      </c>
      <c r="K28" s="111">
        <f>K27-Fordelingsnøkler!$C$6</f>
        <v>296152.36460996</v>
      </c>
      <c r="L28" s="112">
        <f t="shared" si="9"/>
        <v>6997990.6484750994</v>
      </c>
      <c r="M28" s="84">
        <f>M27+Investeringer!C19/Forutsetninger!$E$4</f>
        <v>191407.5</v>
      </c>
      <c r="N28" s="84">
        <f>N27+Investeringer!C19-M28</f>
        <v>7221291.5</v>
      </c>
      <c r="P28" s="33"/>
      <c r="Q28" s="34"/>
      <c r="S28" s="14"/>
      <c r="T28" s="14"/>
      <c r="U28" s="14"/>
      <c r="V28" s="14"/>
    </row>
    <row r="29" spans="1:22" x14ac:dyDescent="0.25">
      <c r="A29" s="100">
        <v>2029</v>
      </c>
      <c r="B29" s="33">
        <f t="shared" si="10"/>
        <v>514124.61086989334</v>
      </c>
      <c r="C29" s="33">
        <f t="shared" si="6"/>
        <v>16016490.19271265</v>
      </c>
      <c r="D29" s="33">
        <f t="shared" si="7"/>
        <v>540571.95576245</v>
      </c>
      <c r="E29" s="33">
        <f>Nettap!G23</f>
        <v>450693.18619352183</v>
      </c>
      <c r="F29" s="33">
        <f>E29*Nettap!I35</f>
        <v>349577.6760353751</v>
      </c>
      <c r="G29" s="101">
        <f>(C29*(1+Forutsetninger!$B$4))*(Forutsetninger!B14)</f>
        <v>970599.30567838659</v>
      </c>
      <c r="H29" s="33">
        <f t="shared" si="8"/>
        <v>2374873.548346105</v>
      </c>
      <c r="J29" s="100">
        <v>2029</v>
      </c>
      <c r="K29" s="96">
        <f>K28-Fordelingsnøkler!$C$6</f>
        <v>290719.95576245</v>
      </c>
      <c r="L29" s="102">
        <f t="shared" si="9"/>
        <v>6707270.6927126497</v>
      </c>
      <c r="M29" s="33">
        <f>M28+Investeringer!C20/Forutsetninger!$E$4</f>
        <v>249852</v>
      </c>
      <c r="N29" s="33">
        <f>N28+Investeringer!C20-M29</f>
        <v>9309219.5</v>
      </c>
      <c r="P29" s="33"/>
      <c r="Q29" s="34"/>
      <c r="S29" s="14"/>
      <c r="T29" s="14"/>
      <c r="U29" s="14"/>
      <c r="V29" s="14"/>
    </row>
    <row r="30" spans="1:22" x14ac:dyDescent="0.25">
      <c r="A30" s="103">
        <v>2030</v>
      </c>
      <c r="B30" s="84">
        <f t="shared" si="10"/>
        <v>514124.61086989334</v>
      </c>
      <c r="C30" s="84">
        <f t="shared" si="6"/>
        <v>17760686.145797711</v>
      </c>
      <c r="D30" s="84">
        <f t="shared" si="7"/>
        <v>593584.04691494</v>
      </c>
      <c r="E30" s="84">
        <f>Nettap!G24</f>
        <v>453833.81620737427</v>
      </c>
      <c r="F30" s="84">
        <f>E30*Nettap!I36</f>
        <v>377135.90126832802</v>
      </c>
      <c r="G30" s="104">
        <f>(C30*(1+Forutsetninger!$B$4))*(Forutsetninger!B15)</f>
        <v>1076297.5804353412</v>
      </c>
      <c r="H30" s="84">
        <f t="shared" si="8"/>
        <v>2561142.1394885024</v>
      </c>
      <c r="J30" s="103">
        <v>2030</v>
      </c>
      <c r="K30" s="111">
        <f>K29-Fordelingsnøkler!$C$6</f>
        <v>285287.54691494</v>
      </c>
      <c r="L30" s="112">
        <f t="shared" si="9"/>
        <v>6421983.1457977099</v>
      </c>
      <c r="M30" s="84">
        <f>M29+Investeringer!C21/Forutsetninger!$E$4</f>
        <v>308296.5</v>
      </c>
      <c r="N30" s="84">
        <f>N29+Investeringer!C21-M30</f>
        <v>11338703</v>
      </c>
      <c r="P30" s="33"/>
      <c r="Q30" s="34"/>
      <c r="S30" s="14"/>
      <c r="T30" s="14"/>
      <c r="U30" s="14"/>
      <c r="V30" s="14"/>
    </row>
    <row r="31" spans="1:22" x14ac:dyDescent="0.25">
      <c r="A31" s="100">
        <v>2031</v>
      </c>
      <c r="B31" s="97"/>
      <c r="C31" s="33">
        <f t="shared" si="6"/>
        <v>19451870.007730279</v>
      </c>
      <c r="D31" s="33">
        <f t="shared" si="7"/>
        <v>646596.13806743</v>
      </c>
      <c r="E31" s="97"/>
      <c r="F31" s="97"/>
      <c r="G31" s="101">
        <f>(C31*(1+Forutsetninger!$B$4))*(Forutsetninger!B15)</f>
        <v>1178783.3224684549</v>
      </c>
      <c r="H31" s="14"/>
      <c r="J31" s="100">
        <v>2031</v>
      </c>
      <c r="K31" s="96">
        <f>K30-Fordelingsnøkler!$C$6</f>
        <v>279855.13806743</v>
      </c>
      <c r="L31" s="102">
        <f>L30-K31</f>
        <v>6142128.00773028</v>
      </c>
      <c r="M31" s="33">
        <f>M30+Investeringer!C22/Forutsetninger!$E$4</f>
        <v>366741</v>
      </c>
      <c r="N31" s="33">
        <f>N30+Investeringer!C22-M31</f>
        <v>13309742</v>
      </c>
      <c r="P31" s="33"/>
      <c r="Q31" s="34"/>
      <c r="S31" s="14"/>
      <c r="T31" s="14"/>
      <c r="U31" s="14"/>
      <c r="V31" s="14"/>
    </row>
    <row r="32" spans="1:22" ht="15.75" thickBot="1" x14ac:dyDescent="0.3">
      <c r="A32" s="106">
        <v>2032</v>
      </c>
      <c r="B32" s="107"/>
      <c r="C32" s="85">
        <f t="shared" si="6"/>
        <v>21090041.778510362</v>
      </c>
      <c r="D32" s="85">
        <f t="shared" si="7"/>
        <v>699608.22921992</v>
      </c>
      <c r="E32" s="107"/>
      <c r="F32" s="107"/>
      <c r="G32" s="108">
        <f>(C32*(1+Forutsetninger!$B$4))*(Forutsetninger!B15)</f>
        <v>1278056.5317777279</v>
      </c>
      <c r="H32" s="109"/>
      <c r="J32" s="103">
        <v>2032</v>
      </c>
      <c r="K32" s="111">
        <f>K31-Fordelingsnøkler!$C$6</f>
        <v>274422.72921992</v>
      </c>
      <c r="L32" s="112">
        <f t="shared" si="9"/>
        <v>5867705.27851036</v>
      </c>
      <c r="M32" s="84">
        <f>M31+Investeringer!C23/Forutsetninger!$E$4</f>
        <v>425185.5</v>
      </c>
      <c r="N32" s="84">
        <f>N31+Investeringer!C23-M32</f>
        <v>15222336.5</v>
      </c>
      <c r="P32" s="33"/>
      <c r="Q32" s="34"/>
      <c r="S32" s="14"/>
      <c r="T32" s="14"/>
      <c r="U32" s="14"/>
      <c r="V32" s="14"/>
    </row>
    <row r="33" spans="1:21" x14ac:dyDescent="0.25">
      <c r="A33" s="54" t="s">
        <v>72</v>
      </c>
      <c r="B33" s="67">
        <f t="shared" ref="B33:G33" si="11">(B30-B24)/B24</f>
        <v>-4.5786966159484695E-2</v>
      </c>
      <c r="C33" s="67">
        <f t="shared" si="11"/>
        <v>1.1619312867250844</v>
      </c>
      <c r="D33" s="67">
        <f t="shared" si="11"/>
        <v>0.86730940070510443</v>
      </c>
      <c r="E33" s="67">
        <f t="shared" si="11"/>
        <v>7.1578409014410857E-2</v>
      </c>
      <c r="F33" s="67">
        <f t="shared" si="11"/>
        <v>0.33296670946205781</v>
      </c>
      <c r="G33" s="105">
        <f t="shared" si="11"/>
        <v>0.72265441173313438</v>
      </c>
      <c r="H33" s="67">
        <f>(H30-H24)/H24</f>
        <v>0.45156854013846137</v>
      </c>
      <c r="K33" s="31"/>
      <c r="L33" s="31"/>
      <c r="M33" s="31"/>
      <c r="N33" s="31"/>
      <c r="R33" s="14"/>
      <c r="S33" s="14"/>
      <c r="T33" s="14"/>
      <c r="U33" s="14"/>
    </row>
    <row r="35" spans="1:21" x14ac:dyDescent="0.25">
      <c r="B35" s="14"/>
      <c r="I35" s="30"/>
    </row>
    <row r="36" spans="1:21" x14ac:dyDescent="0.25">
      <c r="A36" s="34"/>
      <c r="B36" s="14"/>
      <c r="C36" s="34"/>
      <c r="D36" s="34"/>
      <c r="E36" s="34"/>
      <c r="F36" s="34"/>
      <c r="G36" s="34"/>
      <c r="H36" s="34"/>
      <c r="I36" s="34"/>
    </row>
    <row r="37" spans="1:21" x14ac:dyDescent="0.25">
      <c r="A37" s="34"/>
      <c r="B37" s="14"/>
      <c r="C37" s="34"/>
      <c r="D37" s="34"/>
      <c r="E37" s="34"/>
      <c r="F37" s="34"/>
      <c r="G37" s="34"/>
      <c r="H37" s="34"/>
      <c r="I37" s="34"/>
    </row>
    <row r="38" spans="1:21" x14ac:dyDescent="0.25">
      <c r="A38" s="34"/>
      <c r="B38" s="14"/>
      <c r="C38" s="34"/>
      <c r="D38" s="34"/>
      <c r="E38" s="34"/>
      <c r="F38" s="34"/>
      <c r="G38" s="34"/>
      <c r="H38" s="34"/>
      <c r="I38" s="34"/>
    </row>
    <row r="39" spans="1:21" x14ac:dyDescent="0.25">
      <c r="A39" s="34"/>
      <c r="B39" s="34"/>
      <c r="C39" s="34"/>
      <c r="D39" s="34"/>
      <c r="E39" s="34"/>
      <c r="F39" s="34"/>
      <c r="G39" s="34"/>
      <c r="H39" s="34"/>
      <c r="I39" s="34"/>
    </row>
    <row r="40" spans="1:21" x14ac:dyDescent="0.25">
      <c r="A40" s="34"/>
      <c r="B40" s="34"/>
      <c r="C40" s="34"/>
      <c r="D40" s="34"/>
      <c r="E40" s="34"/>
      <c r="F40" s="34"/>
      <c r="G40" s="34"/>
      <c r="H40" s="34"/>
      <c r="I40" s="34"/>
    </row>
    <row r="41" spans="1:21" x14ac:dyDescent="0.25">
      <c r="A41" s="34"/>
      <c r="B41" s="34"/>
      <c r="C41" s="34"/>
      <c r="D41" s="34"/>
      <c r="E41" s="34"/>
      <c r="F41" s="34"/>
      <c r="G41" s="34"/>
      <c r="H41" s="34"/>
      <c r="I41" s="34"/>
    </row>
    <row r="42" spans="1:21" x14ac:dyDescent="0.25">
      <c r="A42" s="34"/>
      <c r="B42" s="34"/>
      <c r="C42" s="34"/>
      <c r="D42" s="34"/>
      <c r="E42" s="34"/>
      <c r="F42" s="34"/>
      <c r="G42" s="34"/>
      <c r="H42" s="34"/>
      <c r="I42" s="34"/>
    </row>
    <row r="43" spans="1:21" x14ac:dyDescent="0.25">
      <c r="A43" s="34"/>
      <c r="B43" s="34"/>
      <c r="C43" s="34"/>
      <c r="D43" s="34"/>
      <c r="E43" s="34"/>
      <c r="F43" s="34"/>
      <c r="G43" s="34"/>
      <c r="H43" s="34"/>
      <c r="I43" s="34"/>
    </row>
    <row r="44" spans="1:21" x14ac:dyDescent="0.25">
      <c r="A44" s="34"/>
      <c r="B44" s="34"/>
      <c r="C44" s="34"/>
      <c r="D44" s="34"/>
      <c r="E44" s="34"/>
      <c r="F44" s="34"/>
      <c r="G44" s="34"/>
      <c r="H44" s="34"/>
      <c r="I44" s="34"/>
    </row>
    <row r="45" spans="1:21" x14ac:dyDescent="0.25">
      <c r="A45" s="34"/>
      <c r="B45" s="34"/>
      <c r="C45" s="34"/>
      <c r="E45" s="14"/>
      <c r="F45" s="34"/>
    </row>
    <row r="46" spans="1:21" x14ac:dyDescent="0.25">
      <c r="C46" s="35"/>
      <c r="E46" s="14"/>
      <c r="F46" s="34"/>
    </row>
  </sheetData>
  <mergeCells count="7">
    <mergeCell ref="A2:D2"/>
    <mergeCell ref="M6:N6"/>
    <mergeCell ref="M21:N21"/>
    <mergeCell ref="K6:L6"/>
    <mergeCell ref="K21:L21"/>
    <mergeCell ref="A5:N5"/>
    <mergeCell ref="A20:N20"/>
  </mergeCells>
  <hyperlinks>
    <hyperlink ref="A1" location="Introduksjon!A1" display="Tilbake til introduksjon" xr:uid="{CCD9A769-0A2B-4A6A-A29D-EF6B2F8D2C31}"/>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9B4D8-AACC-4EC2-9263-4DC174E69D47}">
  <sheetPr>
    <tabColor theme="8"/>
  </sheetPr>
  <dimension ref="A1:V46"/>
  <sheetViews>
    <sheetView workbookViewId="0"/>
  </sheetViews>
  <sheetFormatPr baseColWidth="10" defaultColWidth="11.42578125" defaultRowHeight="15" x14ac:dyDescent="0.25"/>
  <cols>
    <col min="1" max="1" width="21.85546875" style="9" bestFit="1" customWidth="1"/>
    <col min="2" max="2" width="12.85546875" style="9" customWidth="1"/>
    <col min="3" max="3" width="13.28515625" style="9" customWidth="1"/>
    <col min="4" max="6" width="11.42578125" style="9"/>
    <col min="7" max="8" width="12.28515625" style="9" customWidth="1"/>
    <col min="9" max="10" width="11.42578125" style="9"/>
    <col min="11" max="11" width="12.28515625" style="9" customWidth="1"/>
    <col min="12" max="12" width="11.42578125" style="9"/>
    <col min="13" max="13" width="8.140625" style="9" customWidth="1"/>
    <col min="14" max="14" width="10.5703125" style="9" customWidth="1"/>
    <col min="15" max="15" width="12.5703125" style="9" customWidth="1"/>
    <col min="16" max="16" width="13.28515625" style="9" customWidth="1"/>
    <col min="17" max="16384" width="11.42578125" style="9"/>
  </cols>
  <sheetData>
    <row r="1" spans="1:14" x14ac:dyDescent="0.25">
      <c r="A1" s="45" t="s">
        <v>170</v>
      </c>
    </row>
    <row r="2" spans="1:14" ht="18.75" x14ac:dyDescent="0.3">
      <c r="A2" s="175" t="s">
        <v>196</v>
      </c>
      <c r="B2" s="176"/>
      <c r="C2" s="176"/>
      <c r="D2" s="177"/>
    </row>
    <row r="5" spans="1:14" x14ac:dyDescent="0.25">
      <c r="A5" s="183" t="s">
        <v>10</v>
      </c>
      <c r="B5" s="183"/>
      <c r="C5" s="183"/>
      <c r="D5" s="183"/>
      <c r="E5" s="183"/>
      <c r="F5" s="183"/>
      <c r="G5" s="183"/>
      <c r="H5" s="183"/>
      <c r="I5" s="183"/>
      <c r="J5" s="183"/>
      <c r="K5" s="183"/>
      <c r="L5" s="183"/>
      <c r="M5" s="183"/>
      <c r="N5" s="183"/>
    </row>
    <row r="6" spans="1:14" ht="15.75" thickBot="1" x14ac:dyDescent="0.3">
      <c r="A6" s="16"/>
      <c r="B6" s="16"/>
      <c r="C6" s="16"/>
      <c r="D6" s="94"/>
      <c r="E6" s="16"/>
      <c r="F6" s="16"/>
      <c r="G6" s="29"/>
      <c r="H6" s="95"/>
      <c r="J6" s="99"/>
      <c r="K6" s="179" t="s">
        <v>66</v>
      </c>
      <c r="L6" s="184"/>
      <c r="M6" s="179" t="s">
        <v>67</v>
      </c>
      <c r="N6" s="179"/>
    </row>
    <row r="7" spans="1:14" ht="15.75" thickBot="1" x14ac:dyDescent="0.3">
      <c r="A7" s="99"/>
      <c r="B7" s="98" t="s">
        <v>62</v>
      </c>
      <c r="C7" s="98" t="s">
        <v>63</v>
      </c>
      <c r="D7" s="98" t="s">
        <v>64</v>
      </c>
      <c r="E7" s="98" t="s">
        <v>68</v>
      </c>
      <c r="F7" s="98" t="s">
        <v>69</v>
      </c>
      <c r="G7" s="63" t="s">
        <v>70</v>
      </c>
      <c r="H7" s="50" t="s">
        <v>71</v>
      </c>
      <c r="J7" s="99"/>
      <c r="K7" s="98" t="s">
        <v>64</v>
      </c>
      <c r="L7" s="158" t="s">
        <v>63</v>
      </c>
      <c r="M7" s="98" t="s">
        <v>64</v>
      </c>
      <c r="N7" s="98" t="s">
        <v>63</v>
      </c>
    </row>
    <row r="8" spans="1:14" x14ac:dyDescent="0.25">
      <c r="A8" s="100">
        <v>2023</v>
      </c>
      <c r="B8" s="33">
        <f>'IR 2023-2024'!$B$18</f>
        <v>1173334.912010682</v>
      </c>
      <c r="C8" s="33">
        <f t="shared" ref="C8:C17" si="0">L8+N8</f>
        <v>10498315.720000001</v>
      </c>
      <c r="D8" s="33">
        <f t="shared" ref="D8:D17" si="1">K8+M8</f>
        <v>468795</v>
      </c>
      <c r="E8" s="33">
        <f>Nettap!J17</f>
        <v>637245</v>
      </c>
      <c r="F8" s="33">
        <f>E8*Nettap!N29</f>
        <v>286468.58112356404</v>
      </c>
      <c r="G8" s="101">
        <f>(C8+(C8*Forutsetninger!$B$4))*Forutsetninger!B8</f>
        <v>886435.78613391996</v>
      </c>
      <c r="H8" s="33">
        <f t="shared" ref="H8:H15" si="2">B8+D8+F8+G8</f>
        <v>2815034.2792681661</v>
      </c>
      <c r="J8" s="100">
        <v>2023</v>
      </c>
      <c r="K8" s="33">
        <f>'IR 2023-2024'!$B$20</f>
        <v>468795</v>
      </c>
      <c r="L8" s="101">
        <f>'IR 2023-2024'!$B$19</f>
        <v>10498315.720000001</v>
      </c>
      <c r="M8" s="31"/>
      <c r="N8" s="31"/>
    </row>
    <row r="9" spans="1:14" x14ac:dyDescent="0.25">
      <c r="A9" s="103">
        <v>2024</v>
      </c>
      <c r="B9" s="84">
        <f>'IR 2023-2024'!$F$18</f>
        <v>1245893.0604554049</v>
      </c>
      <c r="C9" s="84">
        <f t="shared" si="0"/>
        <v>11150212.140000001</v>
      </c>
      <c r="D9" s="84">
        <f t="shared" si="1"/>
        <v>485243</v>
      </c>
      <c r="E9" s="84">
        <f>Nettap!J18</f>
        <v>582685</v>
      </c>
      <c r="F9" s="84">
        <f>E9*Nettap!N30</f>
        <v>259100.31837657597</v>
      </c>
      <c r="G9" s="104">
        <f>(C9+(C9*Forutsetninger!$B$4))*Forutsetninger!B9</f>
        <v>848007.0838834201</v>
      </c>
      <c r="H9" s="84">
        <f t="shared" si="2"/>
        <v>2838243.4627154013</v>
      </c>
      <c r="J9" s="103">
        <v>2024</v>
      </c>
      <c r="K9" s="84">
        <f>'IR 2023-2024'!$F$20</f>
        <v>485243</v>
      </c>
      <c r="L9" s="104">
        <f>'IR 2023-2024'!$F$19</f>
        <v>11150212.140000001</v>
      </c>
      <c r="M9" s="110"/>
      <c r="N9" s="110"/>
    </row>
    <row r="10" spans="1:14" x14ac:dyDescent="0.25">
      <c r="A10" s="100">
        <v>2025</v>
      </c>
      <c r="B10" s="33">
        <f>AVERAGE(B8:B9)</f>
        <v>1209613.9862330435</v>
      </c>
      <c r="C10" s="33">
        <f t="shared" si="0"/>
        <v>11704219.451219348</v>
      </c>
      <c r="D10" s="33">
        <f t="shared" si="1"/>
        <v>501572.80048453948</v>
      </c>
      <c r="E10" s="33">
        <f>Nettap!J19</f>
        <v>588525.04645945458</v>
      </c>
      <c r="F10" s="33">
        <f>E10*Nettap!N31</f>
        <v>224234.57532906788</v>
      </c>
      <c r="G10" s="101">
        <f>(C10+(C10*Forutsetninger!$B$4))*Forutsetninger!B10</f>
        <v>800299.41341602535</v>
      </c>
      <c r="H10" s="33">
        <f t="shared" si="2"/>
        <v>2735720.7754626763</v>
      </c>
      <c r="J10" s="100">
        <v>2025</v>
      </c>
      <c r="K10" s="96">
        <f>K9-Fordelingsnøkler!$D$5</f>
        <v>475183.29769194225</v>
      </c>
      <c r="L10" s="102">
        <f t="shared" ref="L10:L17" si="3">L9-K10</f>
        <v>10675028.842308057</v>
      </c>
      <c r="M10" s="33">
        <f>Investeringer!B27/Forutsetninger!$E$4</f>
        <v>26389.502792597206</v>
      </c>
      <c r="N10" s="33">
        <f>Investeringer!B27-'Midt-Norge IR 2023-2030'!M10</f>
        <v>1029190.6089112911</v>
      </c>
    </row>
    <row r="11" spans="1:14" x14ac:dyDescent="0.25">
      <c r="A11" s="103">
        <v>2026</v>
      </c>
      <c r="B11" s="84">
        <f>B10</f>
        <v>1209613.9862330435</v>
      </c>
      <c r="C11" s="84">
        <f t="shared" si="0"/>
        <v>12139662.536835697</v>
      </c>
      <c r="D11" s="84">
        <f t="shared" si="1"/>
        <v>515281.20545322093</v>
      </c>
      <c r="E11" s="84">
        <f>Nettap!J20</f>
        <v>599709.4120799813</v>
      </c>
      <c r="F11" s="84">
        <f>E11*Nettap!N32</f>
        <v>242514.27022619895</v>
      </c>
      <c r="G11" s="104">
        <f>(C11+(C11*Forutsetninger!$B$4))*Forutsetninger!B11</f>
        <v>735663.54973224318</v>
      </c>
      <c r="H11" s="84">
        <f t="shared" si="2"/>
        <v>2703073.0116447066</v>
      </c>
      <c r="J11" s="103">
        <v>2026</v>
      </c>
      <c r="K11" s="111">
        <f>K10-Fordelingsnøkler!$D$5</f>
        <v>465123.5953838845</v>
      </c>
      <c r="L11" s="112">
        <f t="shared" si="3"/>
        <v>10209905.246924173</v>
      </c>
      <c r="M11" s="84">
        <f>M10+Investeringer!B28/Forutsetninger!$E$4</f>
        <v>50157.610069336442</v>
      </c>
      <c r="N11" s="84">
        <f>N10+Investeringer!B28-'Midt-Norge IR 2023-2030'!M11</f>
        <v>1929757.2899115244</v>
      </c>
    </row>
    <row r="12" spans="1:14" x14ac:dyDescent="0.25">
      <c r="A12" s="100">
        <v>2027</v>
      </c>
      <c r="B12" s="33">
        <f>B11</f>
        <v>1209613.9862330435</v>
      </c>
      <c r="C12" s="33">
        <f t="shared" si="0"/>
        <v>12541894.972596906</v>
      </c>
      <c r="D12" s="33">
        <f t="shared" si="1"/>
        <v>528489.55286071124</v>
      </c>
      <c r="E12" s="33">
        <f>Nettap!J21</f>
        <v>612484.06730963616</v>
      </c>
      <c r="F12" s="33">
        <f>E12*Nettap!N33</f>
        <v>250473.64437088725</v>
      </c>
      <c r="G12" s="101">
        <f>(C12+(C12*Forutsetninger!$B$4))*Forutsetninger!B12</f>
        <v>760038.83533937251</v>
      </c>
      <c r="H12" s="33">
        <f t="shared" si="2"/>
        <v>2748616.0188040147</v>
      </c>
      <c r="J12" s="100">
        <v>2027</v>
      </c>
      <c r="K12" s="96">
        <f>K11-Fordelingsnøkler!$D$5</f>
        <v>455063.89307582675</v>
      </c>
      <c r="L12" s="102">
        <f t="shared" si="3"/>
        <v>9754841.3538483456</v>
      </c>
      <c r="M12" s="33">
        <f>M11+Investeringer!B29/Forutsetninger!$E$4</f>
        <v>73425.659784884425</v>
      </c>
      <c r="N12" s="33">
        <f>N11+Investeringer!B29-'Midt-Norge IR 2023-2030'!M12</f>
        <v>2787053.6187485596</v>
      </c>
    </row>
    <row r="13" spans="1:14" x14ac:dyDescent="0.25">
      <c r="A13" s="103">
        <v>2028</v>
      </c>
      <c r="B13" s="84">
        <f>B12</f>
        <v>1209613.9862330435</v>
      </c>
      <c r="C13" s="84">
        <f t="shared" si="0"/>
        <v>12937953.626054037</v>
      </c>
      <c r="D13" s="84">
        <f t="shared" si="1"/>
        <v>541878.27373239154</v>
      </c>
      <c r="E13" s="84">
        <f>Nettap!J22</f>
        <v>615435.92325552192</v>
      </c>
      <c r="F13" s="84">
        <f>E13*Nettap!N34</f>
        <v>336211.49606076803</v>
      </c>
      <c r="G13" s="104">
        <f>(C13+(C13*Forutsetninger!$B$4))*Forutsetninger!B13</f>
        <v>784039.9897388746</v>
      </c>
      <c r="H13" s="84">
        <f t="shared" si="2"/>
        <v>2871743.7457650779</v>
      </c>
      <c r="J13" s="103">
        <v>2028</v>
      </c>
      <c r="K13" s="111">
        <f>K12-Fordelingsnøkler!$D$5</f>
        <v>445004.190767769</v>
      </c>
      <c r="L13" s="112">
        <f t="shared" si="3"/>
        <v>9309837.1630805768</v>
      </c>
      <c r="M13" s="84">
        <f>M12+Investeringer!B30/Forutsetninger!$E$4</f>
        <v>96874.082964622503</v>
      </c>
      <c r="N13" s="84">
        <f>N12+Investeringer!B30-'Midt-Norge IR 2023-2030'!M13</f>
        <v>3628116.4629734606</v>
      </c>
    </row>
    <row r="14" spans="1:14" x14ac:dyDescent="0.25">
      <c r="A14" s="100">
        <v>2029</v>
      </c>
      <c r="B14" s="33">
        <f>B13</f>
        <v>1209613.9862330435</v>
      </c>
      <c r="C14" s="33">
        <f t="shared" si="0"/>
        <v>13345128.105405446</v>
      </c>
      <c r="D14" s="33">
        <f t="shared" si="1"/>
        <v>555895.31631601951</v>
      </c>
      <c r="E14" s="33">
        <f>Nettap!J23</f>
        <v>619071.07155692705</v>
      </c>
      <c r="F14" s="33">
        <f>E14*Nettap!N35</f>
        <v>423227.36027022649</v>
      </c>
      <c r="G14" s="101">
        <f>(C14+(C14*Forutsetninger!$B$4))*Forutsetninger!B14</f>
        <v>808714.76318757003</v>
      </c>
      <c r="H14" s="33">
        <f t="shared" si="2"/>
        <v>2997451.4260068596</v>
      </c>
      <c r="J14" s="100">
        <v>2029</v>
      </c>
      <c r="K14" s="96">
        <f>K13-Fordelingsnøkler!$D$5</f>
        <v>434944.48845971125</v>
      </c>
      <c r="L14" s="102">
        <f t="shared" si="3"/>
        <v>8874892.6746208649</v>
      </c>
      <c r="M14" s="33">
        <f>M13+Investeringer!B31/Forutsetninger!$E$4</f>
        <v>120950.82785630823</v>
      </c>
      <c r="N14" s="33">
        <f>N13+Investeringer!B31-'Midt-Norge IR 2023-2030'!M14</f>
        <v>4470235.4307845812</v>
      </c>
    </row>
    <row r="15" spans="1:14" x14ac:dyDescent="0.25">
      <c r="A15" s="103">
        <v>2030</v>
      </c>
      <c r="B15" s="84">
        <f>B14</f>
        <v>1209613.9862330435</v>
      </c>
      <c r="C15" s="84">
        <f t="shared" si="0"/>
        <v>13741308.486154832</v>
      </c>
      <c r="D15" s="84">
        <f t="shared" si="1"/>
        <v>569989.8702837911</v>
      </c>
      <c r="E15" s="84">
        <f>Nettap!J24</f>
        <v>623389.51221385179</v>
      </c>
      <c r="F15" s="84">
        <f>E15*Nettap!N36</f>
        <v>511802.78952757228</v>
      </c>
      <c r="G15" s="104">
        <f>(C15+(C15*Forutsetninger!$B$4))*Forutsetninger!B15</f>
        <v>832723.29426098277</v>
      </c>
      <c r="H15" s="84">
        <f t="shared" si="2"/>
        <v>3124129.9403053899</v>
      </c>
      <c r="J15" s="103">
        <v>2030</v>
      </c>
      <c r="K15" s="111">
        <f>K14-Fordelingsnøkler!$D$5</f>
        <v>424884.7861516535</v>
      </c>
      <c r="L15" s="112">
        <f t="shared" si="3"/>
        <v>8450007.8884692118</v>
      </c>
      <c r="M15" s="84">
        <f>M14+Investeringer!B32/Forutsetninger!$E$4</f>
        <v>145105.08413213762</v>
      </c>
      <c r="N15" s="84">
        <f>N14+Investeringer!B32-'Midt-Norge IR 2023-2030'!M15</f>
        <v>5291300.5976856193</v>
      </c>
    </row>
    <row r="16" spans="1:14" x14ac:dyDescent="0.25">
      <c r="A16" s="100">
        <v>2031</v>
      </c>
      <c r="B16" s="97"/>
      <c r="C16" s="33">
        <f t="shared" si="0"/>
        <v>14123394.312936444</v>
      </c>
      <c r="D16" s="33">
        <f t="shared" si="1"/>
        <v>584084.4242515628</v>
      </c>
      <c r="E16" s="97"/>
      <c r="F16" s="97"/>
      <c r="G16" s="101">
        <f>(C16+(C16*Forutsetninger!B4))*Forutsetninger!B15</f>
        <v>855877.69536394847</v>
      </c>
      <c r="H16" s="14"/>
      <c r="J16" s="100">
        <v>2031</v>
      </c>
      <c r="K16" s="96">
        <f>K15-Fordelingsnøkler!$D$5</f>
        <v>414825.08384359576</v>
      </c>
      <c r="L16" s="102">
        <f t="shared" si="3"/>
        <v>8035182.8046256164</v>
      </c>
      <c r="M16" s="33">
        <f>M15+Investeringer!B33/Forutsetninger!$E$4</f>
        <v>169259.34040796701</v>
      </c>
      <c r="N16" s="33">
        <f>N15+Investeringer!B33-'Midt-Norge IR 2023-2030'!M16</f>
        <v>6088211.5083108284</v>
      </c>
    </row>
    <row r="17" spans="1:22" ht="15.75" thickBot="1" x14ac:dyDescent="0.3">
      <c r="A17" s="106">
        <v>2032</v>
      </c>
      <c r="B17" s="107"/>
      <c r="C17" s="85">
        <f t="shared" si="0"/>
        <v>14491385.585750286</v>
      </c>
      <c r="D17" s="85">
        <f t="shared" si="1"/>
        <v>598178.97821933439</v>
      </c>
      <c r="E17" s="107"/>
      <c r="F17" s="107"/>
      <c r="G17" s="108">
        <f>(C17+(C17*Forutsetninger!B4))*Forutsetninger!B15</f>
        <v>878177.96649646724</v>
      </c>
      <c r="H17" s="109"/>
      <c r="J17" s="103">
        <v>2032</v>
      </c>
      <c r="K17" s="111">
        <f>K16-Fordelingsnøkler!$D$5</f>
        <v>404765.38153553801</v>
      </c>
      <c r="L17" s="112">
        <f t="shared" si="3"/>
        <v>7630417.4230900779</v>
      </c>
      <c r="M17" s="84">
        <f>M16+Investeringer!B34/Forutsetninger!$E$4</f>
        <v>193413.59668379641</v>
      </c>
      <c r="N17" s="84">
        <f>N16+Investeringer!B34-'Midt-Norge IR 2023-2030'!M17</f>
        <v>6860968.1626602076</v>
      </c>
    </row>
    <row r="18" spans="1:22" x14ac:dyDescent="0.25">
      <c r="A18" s="54" t="s">
        <v>72</v>
      </c>
      <c r="B18" s="67">
        <f>(B15-B9)/B9</f>
        <v>-2.9118931129691446E-2</v>
      </c>
      <c r="C18" s="67">
        <f t="shared" ref="C18:G18" si="4">(C15-C9)/C9</f>
        <v>0.23238090124398578</v>
      </c>
      <c r="D18" s="67">
        <f t="shared" si="4"/>
        <v>0.17464831081291454</v>
      </c>
      <c r="E18" s="67">
        <f t="shared" si="4"/>
        <v>6.9856804643764286E-2</v>
      </c>
      <c r="F18" s="67">
        <f t="shared" si="4"/>
        <v>0.97530745131589902</v>
      </c>
      <c r="G18" s="105">
        <f t="shared" si="4"/>
        <v>-1.8023186259772409E-2</v>
      </c>
      <c r="H18" s="67">
        <f>(H15-H9)/H9</f>
        <v>0.10072655194860401</v>
      </c>
      <c r="K18" s="31"/>
      <c r="L18" s="31"/>
      <c r="M18" s="31"/>
      <c r="N18" s="31"/>
      <c r="O18" s="31"/>
      <c r="P18" s="31"/>
    </row>
    <row r="20" spans="1:22" x14ac:dyDescent="0.25">
      <c r="A20" s="183" t="s">
        <v>12</v>
      </c>
      <c r="B20" s="183"/>
      <c r="C20" s="183"/>
      <c r="D20" s="183"/>
      <c r="E20" s="183"/>
      <c r="F20" s="183"/>
      <c r="G20" s="183"/>
      <c r="H20" s="183"/>
      <c r="I20" s="183"/>
      <c r="J20" s="183"/>
      <c r="K20" s="183"/>
      <c r="L20" s="183"/>
      <c r="M20" s="183"/>
      <c r="N20" s="183"/>
    </row>
    <row r="21" spans="1:22" ht="15.75" thickBot="1" x14ac:dyDescent="0.3">
      <c r="A21" s="16"/>
      <c r="B21" s="16"/>
      <c r="C21" s="16"/>
      <c r="D21" s="94"/>
      <c r="E21" s="16"/>
      <c r="F21" s="16"/>
      <c r="G21" s="29"/>
      <c r="H21" s="95"/>
      <c r="J21" s="99"/>
      <c r="K21" s="179" t="s">
        <v>66</v>
      </c>
      <c r="L21" s="184"/>
      <c r="M21" s="179" t="s">
        <v>67</v>
      </c>
      <c r="N21" s="179"/>
      <c r="P21" s="16"/>
    </row>
    <row r="22" spans="1:22" ht="15.75" thickBot="1" x14ac:dyDescent="0.3">
      <c r="A22" s="99"/>
      <c r="B22" s="98" t="s">
        <v>62</v>
      </c>
      <c r="C22" s="98" t="s">
        <v>63</v>
      </c>
      <c r="D22" s="98" t="s">
        <v>64</v>
      </c>
      <c r="E22" s="98" t="s">
        <v>68</v>
      </c>
      <c r="F22" s="98" t="s">
        <v>69</v>
      </c>
      <c r="G22" s="63" t="s">
        <v>70</v>
      </c>
      <c r="H22" s="50" t="s">
        <v>71</v>
      </c>
      <c r="J22" s="160"/>
      <c r="K22" s="98" t="s">
        <v>64</v>
      </c>
      <c r="L22" s="158" t="s">
        <v>63</v>
      </c>
      <c r="M22" s="98" t="s">
        <v>64</v>
      </c>
      <c r="N22" s="98" t="s">
        <v>63</v>
      </c>
      <c r="P22" s="32"/>
      <c r="Q22" s="16"/>
      <c r="S22" s="14"/>
      <c r="T22" s="14"/>
      <c r="U22" s="14"/>
      <c r="V22" s="14"/>
    </row>
    <row r="23" spans="1:22" x14ac:dyDescent="0.25">
      <c r="A23" s="100">
        <v>2023</v>
      </c>
      <c r="B23" s="33">
        <f>'IR 2023-2024'!$C$18</f>
        <v>219292.02548562511</v>
      </c>
      <c r="C23" s="33">
        <f t="shared" ref="C23:C32" si="5">L23+N23</f>
        <v>4776641.4800000004</v>
      </c>
      <c r="D23" s="33">
        <f t="shared" ref="D23:D32" si="6">K23+M23</f>
        <v>159260</v>
      </c>
      <c r="E23" s="33">
        <f>Nettap!K17</f>
        <v>351939</v>
      </c>
      <c r="F23" s="33">
        <f>E23*Nettap!N29</f>
        <v>158211.46650353633</v>
      </c>
      <c r="G23" s="101">
        <f>(C23*(1+Forutsetninger!$B$4))*(Forutsetninger!B8)</f>
        <v>403320.50000528002</v>
      </c>
      <c r="H23" s="33">
        <f t="shared" ref="H23:H30" si="7">B23+D23+F23+G23</f>
        <v>940083.99199444149</v>
      </c>
      <c r="J23" s="100">
        <v>2023</v>
      </c>
      <c r="K23" s="33">
        <f>'IR 2023-2024'!$C$20</f>
        <v>159260</v>
      </c>
      <c r="L23" s="101">
        <f>'IR 2023-2024'!$C$19</f>
        <v>4776641.4800000004</v>
      </c>
      <c r="M23" s="31"/>
      <c r="N23" s="31"/>
      <c r="P23" s="31"/>
      <c r="S23" s="14"/>
      <c r="T23" s="14"/>
      <c r="U23" s="14"/>
      <c r="V23" s="14"/>
    </row>
    <row r="24" spans="1:22" x14ac:dyDescent="0.25">
      <c r="A24" s="103">
        <v>2024</v>
      </c>
      <c r="B24" s="84">
        <f>'IR 2023-2024'!$G$18</f>
        <v>255983.23766923399</v>
      </c>
      <c r="C24" s="84">
        <f t="shared" si="5"/>
        <v>5055077.2699999996</v>
      </c>
      <c r="D24" s="84">
        <f t="shared" si="6"/>
        <v>178592</v>
      </c>
      <c r="E24" s="84">
        <f>Nettap!K18</f>
        <v>411509</v>
      </c>
      <c r="F24" s="84">
        <f>E24*Nettap!N30</f>
        <v>182984.13879682228</v>
      </c>
      <c r="G24" s="104">
        <f>(C24*(1+Forutsetninger!$B$4))*(Forutsetninger!B9)</f>
        <v>384453.79161530995</v>
      </c>
      <c r="H24" s="84">
        <f t="shared" si="7"/>
        <v>1002013.1680813662</v>
      </c>
      <c r="J24" s="103">
        <v>2024</v>
      </c>
      <c r="K24" s="84">
        <f>'IR 2023-2024'!$G$20</f>
        <v>178592</v>
      </c>
      <c r="L24" s="104">
        <f>'IR 2023-2024'!$G$19</f>
        <v>5055077.2699999996</v>
      </c>
      <c r="M24" s="110"/>
      <c r="N24" s="110"/>
      <c r="P24" s="31"/>
      <c r="S24" s="14"/>
      <c r="T24" s="14"/>
      <c r="U24" s="14"/>
      <c r="V24" s="14"/>
    </row>
    <row r="25" spans="1:22" x14ac:dyDescent="0.25">
      <c r="A25" s="100">
        <v>2025</v>
      </c>
      <c r="B25" s="33">
        <f>AVERAGE(B23:B24)</f>
        <v>237637.63157742954</v>
      </c>
      <c r="C25" s="33">
        <f t="shared" si="5"/>
        <v>5324369.1759855114</v>
      </c>
      <c r="D25" s="33">
        <f t="shared" si="6"/>
        <v>186608.09401448781</v>
      </c>
      <c r="E25" s="33">
        <f>Nettap!K19</f>
        <v>415633.40972134809</v>
      </c>
      <c r="F25" s="33">
        <f>E25*Nettap!N31</f>
        <v>158360.94263468153</v>
      </c>
      <c r="G25" s="101">
        <f>(C25*(1+Forutsetninger!$B$4))*(Forutsetninger!B10)</f>
        <v>364064.3911463613</v>
      </c>
      <c r="H25" s="33">
        <f t="shared" si="7"/>
        <v>946671.05937296012</v>
      </c>
      <c r="J25" s="100">
        <v>2025</v>
      </c>
      <c r="K25" s="96">
        <f>K24-Fordelingsnøkler!$D$6</f>
        <v>175210.59401448781</v>
      </c>
      <c r="L25" s="102">
        <f>L24-K25</f>
        <v>4879866.6759855114</v>
      </c>
      <c r="M25" s="33">
        <f>Investeringer!C27/Forutsetninger!$E$5</f>
        <v>11397.5</v>
      </c>
      <c r="N25" s="33">
        <f>Investeringer!C27-'Midt-Norge IR 2023-2030'!M25</f>
        <v>444502.5</v>
      </c>
      <c r="P25" s="33"/>
      <c r="Q25" s="34"/>
      <c r="S25" s="14"/>
      <c r="T25" s="14"/>
      <c r="U25" s="14"/>
      <c r="V25" s="14"/>
    </row>
    <row r="26" spans="1:22" x14ac:dyDescent="0.25">
      <c r="A26" s="103">
        <v>2026</v>
      </c>
      <c r="B26" s="84">
        <f>B25</f>
        <v>237637.63157742954</v>
      </c>
      <c r="C26" s="84">
        <f t="shared" si="5"/>
        <v>5865177.487956536</v>
      </c>
      <c r="D26" s="84">
        <f t="shared" si="6"/>
        <v>201791.68802897562</v>
      </c>
      <c r="E26" s="84">
        <f>Nettap!K20</f>
        <v>423532.13220800442</v>
      </c>
      <c r="F26" s="84">
        <f>E26*Nettap!N32</f>
        <v>171270.59187470574</v>
      </c>
      <c r="G26" s="104">
        <f>(C26*(1+Forutsetninger!$B$4))*(Forutsetninger!B11)</f>
        <v>355429.75577016606</v>
      </c>
      <c r="H26" s="84">
        <f t="shared" si="7"/>
        <v>966129.6672512769</v>
      </c>
      <c r="J26" s="103">
        <v>2026</v>
      </c>
      <c r="K26" s="111">
        <f>K25-Fordelingsnøkler!$D$6</f>
        <v>171829.18802897562</v>
      </c>
      <c r="L26" s="112">
        <f t="shared" ref="L26:L32" si="8">L25-K26</f>
        <v>4708037.487956536</v>
      </c>
      <c r="M26" s="84">
        <f>M25+Investeringer!C28/Forutsetninger!$E$4</f>
        <v>29962.499999999996</v>
      </c>
      <c r="N26" s="84">
        <f>N25+Investeringer!C28-M26</f>
        <v>1157140</v>
      </c>
      <c r="P26" s="33"/>
      <c r="Q26" s="34"/>
      <c r="S26" s="14"/>
      <c r="T26" s="14"/>
      <c r="U26" s="14"/>
      <c r="V26" s="14"/>
    </row>
    <row r="27" spans="1:22" x14ac:dyDescent="0.25">
      <c r="A27" s="100">
        <v>2027</v>
      </c>
      <c r="B27" s="33">
        <f>B26</f>
        <v>237637.63157742954</v>
      </c>
      <c r="C27" s="33">
        <f t="shared" si="5"/>
        <v>6546607.2059130725</v>
      </c>
      <c r="D27" s="33">
        <f t="shared" si="6"/>
        <v>220970.28204346343</v>
      </c>
      <c r="E27" s="33">
        <f>Nettap!K21</f>
        <v>432553.96321257809</v>
      </c>
      <c r="F27" s="33">
        <f>E27*Nettap!N33</f>
        <v>176891.73210468682</v>
      </c>
      <c r="G27" s="101">
        <f>(C27*(1+Forutsetninger!$B$4))*(Forutsetninger!B12)</f>
        <v>396724.39667833218</v>
      </c>
      <c r="H27" s="33">
        <f t="shared" si="7"/>
        <v>1032224.0424039119</v>
      </c>
      <c r="J27" s="100">
        <v>2027</v>
      </c>
      <c r="K27" s="96">
        <f>K26-Fordelingsnøkler!$D$6</f>
        <v>168447.78204346343</v>
      </c>
      <c r="L27" s="102">
        <f t="shared" si="8"/>
        <v>4539589.7059130725</v>
      </c>
      <c r="M27" s="33">
        <f>M26+Investeringer!C29/Forutsetninger!$E$4</f>
        <v>52522.5</v>
      </c>
      <c r="N27" s="33">
        <f>N26+Investeringer!C29-M27</f>
        <v>2007017.5</v>
      </c>
      <c r="P27" s="33"/>
      <c r="Q27" s="34"/>
      <c r="S27" s="14"/>
      <c r="T27" s="14"/>
      <c r="U27" s="14"/>
      <c r="V27" s="14"/>
    </row>
    <row r="28" spans="1:22" x14ac:dyDescent="0.25">
      <c r="A28" s="103">
        <v>2028</v>
      </c>
      <c r="B28" s="84">
        <f>B27</f>
        <v>237637.63157742954</v>
      </c>
      <c r="C28" s="84">
        <f t="shared" si="5"/>
        <v>7578207.8298551217</v>
      </c>
      <c r="D28" s="84">
        <f t="shared" si="6"/>
        <v>249619.37605795125</v>
      </c>
      <c r="E28" s="84">
        <f>Nettap!K22</f>
        <v>434638.64925810101</v>
      </c>
      <c r="F28" s="84">
        <f>E28*Nettap!N34</f>
        <v>237442.2827642218</v>
      </c>
      <c r="G28" s="104">
        <f>(C28*(1+Forutsetninger!$B$4))*(Forutsetninger!B13)</f>
        <v>459239.39448922034</v>
      </c>
      <c r="H28" s="84">
        <f t="shared" si="7"/>
        <v>1183938.684888823</v>
      </c>
      <c r="J28" s="103">
        <v>2028</v>
      </c>
      <c r="K28" s="111">
        <f>K27-Fordelingsnøkler!$D$6</f>
        <v>165066.37605795125</v>
      </c>
      <c r="L28" s="112">
        <f t="shared" si="8"/>
        <v>4374523.3298551217</v>
      </c>
      <c r="M28" s="84">
        <f>M27+Investeringer!C30/Forutsetninger!$E$4</f>
        <v>84553</v>
      </c>
      <c r="N28" s="84">
        <f>N27+Investeringer!C30-M28</f>
        <v>3203684.5</v>
      </c>
      <c r="P28" s="33"/>
      <c r="Q28" s="34"/>
      <c r="S28" s="14"/>
      <c r="T28" s="14"/>
      <c r="U28" s="14"/>
      <c r="V28" s="14"/>
    </row>
    <row r="29" spans="1:22" x14ac:dyDescent="0.25">
      <c r="A29" s="100">
        <v>2029</v>
      </c>
      <c r="B29" s="33">
        <f>B28</f>
        <v>237637.63157742954</v>
      </c>
      <c r="C29" s="33">
        <f t="shared" si="5"/>
        <v>8581159.3597826827</v>
      </c>
      <c r="D29" s="33">
        <f t="shared" si="6"/>
        <v>278268.47007243906</v>
      </c>
      <c r="E29" s="33">
        <f>Nettap!K23</f>
        <v>437205.89612795855</v>
      </c>
      <c r="F29" s="33">
        <f>E29*Nettap!N35</f>
        <v>298895.40282904252</v>
      </c>
      <c r="G29" s="101">
        <f>(C29*(1+Forutsetninger!$B$4))*(Forutsetninger!B14)</f>
        <v>520018.25720283057</v>
      </c>
      <c r="H29" s="33">
        <f t="shared" si="7"/>
        <v>1334819.7616817418</v>
      </c>
      <c r="J29" s="100">
        <v>2029</v>
      </c>
      <c r="K29" s="96">
        <f>K28-Fordelingsnøkler!$D$6</f>
        <v>161684.97007243906</v>
      </c>
      <c r="L29" s="102">
        <f t="shared" si="8"/>
        <v>4212838.3597826827</v>
      </c>
      <c r="M29" s="33">
        <f>M28+Investeringer!C31/Forutsetninger!$E$4</f>
        <v>116583.5</v>
      </c>
      <c r="N29" s="33">
        <f>N28+Investeringer!C31-M29</f>
        <v>4368321</v>
      </c>
      <c r="P29" s="33"/>
      <c r="Q29" s="34"/>
      <c r="S29" s="14"/>
      <c r="T29" s="14"/>
      <c r="U29" s="14"/>
      <c r="V29" s="14"/>
    </row>
    <row r="30" spans="1:22" x14ac:dyDescent="0.25">
      <c r="A30" s="103">
        <v>2030</v>
      </c>
      <c r="B30" s="84">
        <f>B29</f>
        <v>237637.63157742954</v>
      </c>
      <c r="C30" s="84">
        <f t="shared" si="5"/>
        <v>9555461.7956957556</v>
      </c>
      <c r="D30" s="84">
        <f t="shared" si="6"/>
        <v>306917.56408692687</v>
      </c>
      <c r="E30" s="84">
        <f>Nettap!K24</f>
        <v>440255.70382215083</v>
      </c>
      <c r="F30" s="84">
        <f>E30*Nettap!N36</f>
        <v>361449.93283798581</v>
      </c>
      <c r="G30" s="104">
        <f>(C30*(1+Forutsetninger!$B$4))*(Forutsetninger!B15)</f>
        <v>579060.98481916275</v>
      </c>
      <c r="H30" s="84">
        <f t="shared" si="7"/>
        <v>1485066.113321505</v>
      </c>
      <c r="J30" s="103">
        <v>2030</v>
      </c>
      <c r="K30" s="111">
        <f>K29-Fordelingsnøkler!$D$6</f>
        <v>158303.56408692687</v>
      </c>
      <c r="L30" s="112">
        <f t="shared" si="8"/>
        <v>4054534.7956957556</v>
      </c>
      <c r="M30" s="84">
        <f>M29+Investeringer!C32/Forutsetninger!$E$4</f>
        <v>148614</v>
      </c>
      <c r="N30" s="84">
        <f>N29+Investeringer!C32-M30</f>
        <v>5500927</v>
      </c>
      <c r="P30" s="33"/>
      <c r="Q30" s="34"/>
      <c r="S30" s="14"/>
      <c r="T30" s="14"/>
      <c r="U30" s="14"/>
      <c r="V30" s="14"/>
    </row>
    <row r="31" spans="1:22" x14ac:dyDescent="0.25">
      <c r="A31" s="100">
        <v>2031</v>
      </c>
      <c r="B31" s="97"/>
      <c r="C31" s="33">
        <f t="shared" si="5"/>
        <v>10501115.13759434</v>
      </c>
      <c r="D31" s="33">
        <f t="shared" si="6"/>
        <v>335566.65810141468</v>
      </c>
      <c r="E31" s="97"/>
      <c r="F31" s="97"/>
      <c r="G31" s="101">
        <f>(C31*(1+Forutsetninger!$B$4))*(Forutsetninger!B15)</f>
        <v>636367.57733821706</v>
      </c>
      <c r="H31" s="14"/>
      <c r="J31" s="100">
        <v>2031</v>
      </c>
      <c r="K31" s="96">
        <f>K30-Fordelingsnøkler!$D$6</f>
        <v>154922.15810141468</v>
      </c>
      <c r="L31" s="102">
        <f>L30-K31</f>
        <v>3899612.6375943408</v>
      </c>
      <c r="M31" s="33">
        <f>M30+Investeringer!C33/Forutsetninger!$E$4</f>
        <v>180644.5</v>
      </c>
      <c r="N31" s="33">
        <f>N30+Investeringer!C33-M31</f>
        <v>6601502.5</v>
      </c>
      <c r="P31" s="33"/>
      <c r="Q31" s="34"/>
      <c r="S31" s="14"/>
      <c r="T31" s="14"/>
      <c r="U31" s="14"/>
      <c r="V31" s="14"/>
    </row>
    <row r="32" spans="1:22" ht="15.75" thickBot="1" x14ac:dyDescent="0.3">
      <c r="A32" s="106">
        <v>2032</v>
      </c>
      <c r="B32" s="107"/>
      <c r="C32" s="85">
        <f t="shared" si="5"/>
        <v>11418119.385478439</v>
      </c>
      <c r="D32" s="85">
        <f t="shared" si="6"/>
        <v>364215.75211590249</v>
      </c>
      <c r="E32" s="107"/>
      <c r="F32" s="107"/>
      <c r="G32" s="108">
        <f>(C32*(1+Forutsetninger!$B$4))*(Forutsetninger!B15)</f>
        <v>691938.03475999343</v>
      </c>
      <c r="H32" s="109"/>
      <c r="J32" s="103">
        <v>2032</v>
      </c>
      <c r="K32" s="111">
        <f>K31-Fordelingsnøkler!$D$6</f>
        <v>151540.75211590249</v>
      </c>
      <c r="L32" s="112">
        <f t="shared" si="8"/>
        <v>3748071.8854784383</v>
      </c>
      <c r="M32" s="84">
        <f>M31+Investeringer!C34/Forutsetninger!$E$4</f>
        <v>212675</v>
      </c>
      <c r="N32" s="84">
        <f>N31+Investeringer!C34-M32</f>
        <v>7670047.5</v>
      </c>
      <c r="P32" s="33"/>
      <c r="Q32" s="34"/>
      <c r="S32" s="14"/>
      <c r="T32" s="14"/>
      <c r="U32" s="14"/>
      <c r="V32" s="14"/>
    </row>
    <row r="33" spans="1:21" x14ac:dyDescent="0.25">
      <c r="A33" s="54" t="s">
        <v>72</v>
      </c>
      <c r="B33" s="67">
        <f t="shared" ref="B33:G33" si="9">(B30-B24)/B24</f>
        <v>-7.1667216411683693E-2</v>
      </c>
      <c r="C33" s="67">
        <f t="shared" si="9"/>
        <v>0.89027017497909711</v>
      </c>
      <c r="D33" s="67">
        <f t="shared" si="9"/>
        <v>0.71854038303466483</v>
      </c>
      <c r="E33" s="67">
        <f t="shared" si="9"/>
        <v>6.9856804643764356E-2</v>
      </c>
      <c r="F33" s="67">
        <f t="shared" si="9"/>
        <v>0.97530745131589935</v>
      </c>
      <c r="G33" s="105">
        <f t="shared" si="9"/>
        <v>0.50619137448533624</v>
      </c>
      <c r="H33" s="67">
        <f>(H30-H24)/H24</f>
        <v>0.48208243227489556</v>
      </c>
      <c r="K33" s="31"/>
      <c r="L33" s="31"/>
      <c r="M33" s="31"/>
      <c r="N33" s="31"/>
      <c r="R33" s="14"/>
      <c r="S33" s="14"/>
      <c r="T33" s="14"/>
      <c r="U33" s="14"/>
    </row>
    <row r="35" spans="1:21" x14ac:dyDescent="0.25">
      <c r="B35" s="14"/>
      <c r="I35" s="30"/>
    </row>
    <row r="36" spans="1:21" x14ac:dyDescent="0.25">
      <c r="A36" s="34"/>
      <c r="B36" s="14"/>
      <c r="C36" s="34"/>
      <c r="D36" s="34"/>
      <c r="E36" s="34"/>
      <c r="F36" s="34"/>
      <c r="G36" s="34"/>
      <c r="H36" s="34"/>
      <c r="I36" s="34"/>
    </row>
    <row r="37" spans="1:21" x14ac:dyDescent="0.25">
      <c r="A37" s="34"/>
      <c r="B37" s="14"/>
      <c r="C37" s="34"/>
      <c r="D37" s="34"/>
      <c r="E37" s="34"/>
      <c r="F37" s="34"/>
      <c r="G37" s="34"/>
      <c r="H37" s="34"/>
      <c r="I37" s="34"/>
    </row>
    <row r="38" spans="1:21" x14ac:dyDescent="0.25">
      <c r="A38" s="34"/>
      <c r="B38" s="14"/>
      <c r="C38" s="34"/>
      <c r="D38" s="34"/>
      <c r="E38" s="34"/>
      <c r="F38" s="34"/>
      <c r="G38" s="34"/>
      <c r="H38" s="34"/>
      <c r="I38" s="34"/>
    </row>
    <row r="39" spans="1:21" x14ac:dyDescent="0.25">
      <c r="A39" s="34"/>
      <c r="B39" s="34"/>
      <c r="C39" s="34"/>
      <c r="D39" s="34"/>
      <c r="E39" s="34"/>
      <c r="F39" s="34"/>
      <c r="G39" s="34"/>
      <c r="H39" s="34"/>
      <c r="I39" s="34"/>
    </row>
    <row r="40" spans="1:21" x14ac:dyDescent="0.25">
      <c r="A40" s="34"/>
      <c r="B40" s="34"/>
      <c r="C40" s="34"/>
      <c r="D40" s="34"/>
      <c r="E40" s="34"/>
      <c r="F40" s="34"/>
      <c r="G40" s="34"/>
      <c r="H40" s="34"/>
      <c r="I40" s="34"/>
    </row>
    <row r="41" spans="1:21" x14ac:dyDescent="0.25">
      <c r="A41" s="34"/>
      <c r="B41" s="34"/>
      <c r="C41" s="34"/>
      <c r="D41" s="34"/>
      <c r="E41" s="34"/>
      <c r="F41" s="34"/>
      <c r="G41" s="34"/>
      <c r="H41" s="34"/>
      <c r="I41" s="34"/>
    </row>
    <row r="42" spans="1:21" x14ac:dyDescent="0.25">
      <c r="A42" s="34"/>
      <c r="B42" s="34"/>
      <c r="C42" s="34"/>
      <c r="D42" s="34"/>
      <c r="E42" s="34"/>
      <c r="F42" s="34"/>
      <c r="G42" s="34"/>
      <c r="H42" s="34"/>
      <c r="I42" s="34"/>
    </row>
    <row r="43" spans="1:21" x14ac:dyDescent="0.25">
      <c r="A43" s="34"/>
      <c r="B43" s="34"/>
      <c r="C43" s="34"/>
      <c r="D43" s="34"/>
      <c r="E43" s="34"/>
      <c r="F43" s="34"/>
      <c r="G43" s="34"/>
      <c r="H43" s="34"/>
      <c r="I43" s="34"/>
    </row>
    <row r="44" spans="1:21" x14ac:dyDescent="0.25">
      <c r="A44" s="34"/>
      <c r="B44" s="34"/>
      <c r="C44" s="34"/>
      <c r="D44" s="34"/>
      <c r="E44" s="34"/>
      <c r="F44" s="34"/>
      <c r="G44" s="34"/>
      <c r="H44" s="34"/>
      <c r="I44" s="34"/>
    </row>
    <row r="45" spans="1:21" x14ac:dyDescent="0.25">
      <c r="A45" s="34"/>
      <c r="B45" s="34"/>
      <c r="C45" s="34"/>
      <c r="E45" s="14"/>
      <c r="F45" s="34"/>
    </row>
    <row r="46" spans="1:21" x14ac:dyDescent="0.25">
      <c r="C46" s="35"/>
      <c r="E46" s="14"/>
      <c r="F46" s="34"/>
    </row>
  </sheetData>
  <mergeCells count="7">
    <mergeCell ref="A2:D2"/>
    <mergeCell ref="M21:N21"/>
    <mergeCell ref="K21:L21"/>
    <mergeCell ref="K6:L6"/>
    <mergeCell ref="M6:N6"/>
    <mergeCell ref="A5:N5"/>
    <mergeCell ref="A20:N20"/>
  </mergeCells>
  <hyperlinks>
    <hyperlink ref="A1" location="Introduksjon!A1" display="Tilbake til introduksjon" xr:uid="{CF598A4B-7FE5-4337-A4B7-DDBABE13B913}"/>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Vedtattdato xmlns="caf9241f-7654-46e4-b38c-0683f7584438">2021-03-02T00:00:00Z</Vedtattdato>
    <TaxCatchAllLabel xmlns="08670d86-fc33-4f61-bf51-96e019343c8b" xsi:nil="true"/>
    <fb87f3f3a1014cb4ad0ec65499e03bb4 xmlns="caf9241f-7654-46e4-b38c-0683f7584438">
      <Terms xmlns="http://schemas.microsoft.com/office/infopath/2007/PartnerControls"/>
    </fb87f3f3a1014cb4ad0ec65499e03bb4>
    <TaxCatchAll xmlns="08670d86-fc33-4f61-bf51-96e019343c8b" xsi:nil="true"/>
    <lcf76f155ced4ddcb4097134ff3c332f xmlns="caf9241f-7654-46e4-b38c-0683f7584438">
      <Terms xmlns="http://schemas.microsoft.com/office/infopath/2007/PartnerControls"/>
    </lcf76f155ced4ddcb4097134ff3c332f>
    <Slette_x003f_ xmlns="caf9241f-7654-46e4-b38c-0683f7584438" xsi:nil="true"/>
    <h5401ff79c16481cab8da1bb26f238ab xmlns="caf9241f-7654-46e4-b38c-0683f7584438">
      <Terms xmlns="http://schemas.microsoft.com/office/infopath/2007/PartnerControls"/>
    </h5401ff79c16481cab8da1bb26f238ab>
    <g98ade60b1a5493f9b7127fdb0eec544 xmlns="08670d86-fc33-4f61-bf51-96e019343c8b">
      <Terms xmlns="http://schemas.microsoft.com/office/infopath/2007/PartnerControls"/>
    </g98ade60b1a5493f9b7127fdb0eec544>
    <n3e020d9d98c48dbb65f924b9bc22a2a xmlns="08670d86-fc33-4f61-bf51-96e019343c8b">
      <Terms xmlns="http://schemas.microsoft.com/office/infopath/2007/PartnerControls"/>
    </n3e020d9d98c48dbb65f924b9bc22a2a>
    <Prosess xmlns="caf9241f-7654-46e4-b38c-0683f7584438" xsi:nil="true"/>
    <SharedWithUsers xmlns="286bd567-8383-458b-8b10-610e1dbf4dce">
      <UserInfo>
        <DisplayName>Peder Undeli</DisplayName>
        <AccountId>428</AccountId>
        <AccountType/>
      </UserInfo>
      <UserInfo>
        <DisplayName>Brita Engen Finne</DisplayName>
        <AccountId>563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Word-dokument" ma:contentTypeID="0x010100098B676CC530A34A9FB1F4ACAD0C0A17" ma:contentTypeVersion="35" ma:contentTypeDescription="Opprett et nytt dokument." ma:contentTypeScope="" ma:versionID="67633277bdff90f1df8a4a86ef33b9c9">
  <xsd:schema xmlns:xsd="http://www.w3.org/2001/XMLSchema" xmlns:xs="http://www.w3.org/2001/XMLSchema" xmlns:p="http://schemas.microsoft.com/office/2006/metadata/properties" xmlns:ns2="caf9241f-7654-46e4-b38c-0683f7584438" xmlns:ns3="08670d86-fc33-4f61-bf51-96e019343c8b" xmlns:ns4="286bd567-8383-458b-8b10-610e1dbf4dce" targetNamespace="http://schemas.microsoft.com/office/2006/metadata/properties" ma:root="true" ma:fieldsID="81dd52e6224159ee61a19c088dba3be8" ns2:_="" ns3:_="" ns4:_="">
    <xsd:import namespace="caf9241f-7654-46e4-b38c-0683f7584438"/>
    <xsd:import namespace="08670d86-fc33-4f61-bf51-96e019343c8b"/>
    <xsd:import namespace="286bd567-8383-458b-8b10-610e1dbf4dce"/>
    <xsd:element name="properties">
      <xsd:complexType>
        <xsd:sequence>
          <xsd:element name="documentManagement">
            <xsd:complexType>
              <xsd:all>
                <xsd:element ref="ns2:Prosess" minOccurs="0"/>
                <xsd:element ref="ns2:Vedtattdato" minOccurs="0"/>
                <xsd:element ref="ns2:Slette_x003f_" minOccurs="0"/>
                <xsd:element ref="ns3:TaxCatchAllLabel" minOccurs="0"/>
                <xsd:element ref="ns3:n3e020d9d98c48dbb65f924b9bc22a2a" minOccurs="0"/>
                <xsd:element ref="ns3:g98ade60b1a5493f9b7127fdb0eec544" minOccurs="0"/>
                <xsd:element ref="ns3:TaxCatchAll"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LengthInSeconds" minOccurs="0"/>
                <xsd:element ref="ns2:lcf76f155ced4ddcb4097134ff3c332f" minOccurs="0"/>
                <xsd:element ref="ns2:MediaServiceMetadata" minOccurs="0"/>
                <xsd:element ref="ns2:MediaServiceLocation"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ObjectDetectorVersions" minOccurs="0"/>
                <xsd:element ref="ns2:fb87f3f3a1014cb4ad0ec65499e03bb4" minOccurs="0"/>
                <xsd:element ref="ns2:MediaServiceSearchProperties" minOccurs="0"/>
                <xsd:element ref="ns2:h5401ff79c16481cab8da1bb26f238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9241f-7654-46e4-b38c-0683f7584438" elementFormDefault="qualified">
    <xsd:import namespace="http://schemas.microsoft.com/office/2006/documentManagement/types"/>
    <xsd:import namespace="http://schemas.microsoft.com/office/infopath/2007/PartnerControls"/>
    <xsd:element name="Prosess" ma:index="3" nillable="true" ma:displayName="Prosess" ma:format="Dropdown" ma:indexed="true" ma:internalName="Prosess" ma:readOnly="false">
      <xsd:simpleType>
        <xsd:restriction base="dms:Choice">
          <xsd:enumeration value="Tidligere relevante arbeider"/>
        </xsd:restriction>
      </xsd:simpleType>
    </xsd:element>
    <xsd:element name="Vedtattdato" ma:index="4" nillable="true" ma:displayName="Vedtatt dato" ma:default="2021-03-02T00:00:00Z" ma:description="Dato for KT-møte dokumentet ble besluttet ferdig." ma:format="DateOnly" ma:internalName="Vedtattdato" ma:readOnly="false">
      <xsd:simpleType>
        <xsd:restriction base="dms:DateTime"/>
      </xsd:simpleType>
    </xsd:element>
    <xsd:element name="Slette_x003f_" ma:index="5" nillable="true" ma:displayName="Slette?" ma:format="Dropdown" ma:internalName="Slette_x003f_" ma:readOnly="false">
      <xsd:complexType>
        <xsd:complexContent>
          <xsd:extension base="dms:MultiChoice">
            <xsd:sequence>
              <xsd:element name="Value" maxOccurs="unbounded" minOccurs="0" nillable="true">
                <xsd:simpleType>
                  <xsd:restriction base="dms:Choice">
                    <xsd:enumeration value="Ja"/>
                    <xsd:enumeration value="Nei"/>
                    <xsd:enumeration value="Usikker"/>
                  </xsd:restriction>
                </xsd:simpleType>
              </xsd:element>
            </xsd:sequence>
          </xsd:extension>
        </xsd:complexContent>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1" nillable="true" ma:displayName="Length (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emerkelapper" ma:readOnly="false" ma:fieldId="{5cf76f15-5ced-4ddc-b409-7134ff3c332f}" ma:taxonomyMulti="true" ma:sspId="64152832-9f03-4628-8f8a-984f7e09cd82" ma:termSetId="09814cd3-568e-fe90-9814-8d621ff8fb84" ma:anchorId="fba54fb3-c3e1-fe81-a776-ca4b69148c4d" ma:open="true" ma:isKeyword="false">
      <xsd:complexType>
        <xsd:sequence>
          <xsd:element ref="pc:Terms" minOccurs="0" maxOccurs="1"/>
        </xsd:sequence>
      </xsd:complexType>
    </xsd:element>
    <xsd:element name="MediaServiceMetadata" ma:index="24" nillable="true" ma:displayName="MediaServiceMetadata" ma:hidden="true" ma:internalName="MediaServiceMetadata" ma:readOnly="true">
      <xsd:simpleType>
        <xsd:restriction base="dms:Note"/>
      </xsd:simpleType>
    </xsd:element>
    <xsd:element name="MediaServiceLocation" ma:index="25" nillable="true" ma:displayName="Location" ma:description="" ma:hidden="true" ma:indexed="true" ma:internalName="MediaServiceLocation" ma:readOnly="true">
      <xsd:simpleType>
        <xsd:restriction base="dms:Text"/>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hidden="true" ma:internalName="MediaServiceKeyPoints" ma:readOnly="true">
      <xsd:simpleType>
        <xsd:restriction base="dms:Note"/>
      </xsd:simpleType>
    </xsd:element>
    <xsd:element name="MediaServiceAutoTags" ma:index="29" nillable="true" ma:displayName="Tags" ma:hidden="true" ma:internalName="MediaServiceAutoTags" ma:readOnly="true">
      <xsd:simpleType>
        <xsd:restriction base="dms:Text"/>
      </xsd:simpleType>
    </xsd:element>
    <xsd:element name="MediaServiceOCR" ma:index="30" nillable="true" ma:displayName="Extracted Text" ma:hidden="true" ma:internalName="MediaServiceOCR"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fb87f3f3a1014cb4ad0ec65499e03bb4" ma:index="34" nillable="true" ma:taxonomy="true" ma:internalName="fb87f3f3a1014cb4ad0ec65499e03bb4" ma:taxonomyFieldName="Fagtema0" ma:displayName="Fagtema" ma:readOnly="false" ma:default="" ma:fieldId="{fb87f3f3-a101-4cb4-ad0e-c65499e03bb4}" ma:taxonomyMulti="true" ma:sspId="64152832-9f03-4628-8f8a-984f7e09cd82" ma:termSetId="eaf1a95a-330f-4713-ba0b-64ad2524e953" ma:anchorId="00000000-0000-0000-0000-000000000000" ma:open="false" ma:isKeyword="false">
      <xsd:complexType>
        <xsd:sequence>
          <xsd:element ref="pc:Terms" minOccurs="0" maxOccurs="1"/>
        </xsd:sequence>
      </xsd:complexType>
    </xsd:element>
    <xsd:element name="MediaServiceSearchProperties" ma:index="35" nillable="true" ma:displayName="MediaServiceSearchProperties" ma:hidden="true" ma:internalName="MediaServiceSearchProperties" ma:readOnly="true">
      <xsd:simpleType>
        <xsd:restriction base="dms:Note"/>
      </xsd:simpleType>
    </xsd:element>
    <xsd:element name="h5401ff79c16481cab8da1bb26f238ab" ma:index="37" nillable="true" ma:taxonomy="true" ma:internalName="h5401ff79c16481cab8da1bb26f238ab" ma:taxonomyFieldName="Dokumenttype_termsett" ma:displayName="Dokumenttype Termsett" ma:readOnly="false" ma:default="" ma:fieldId="{15401ff7-9c16-481c-ab8d-a1bb26f238ab}" ma:taxonomyMulti="true" ma:sspId="64152832-9f03-4628-8f8a-984f7e09cd82" ma:termSetId="65749bcf-2538-4e87-b139-ae273a75523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670d86-fc33-4f61-bf51-96e019343c8b" elementFormDefault="qualified">
    <xsd:import namespace="http://schemas.microsoft.com/office/2006/documentManagement/types"/>
    <xsd:import namespace="http://schemas.microsoft.com/office/infopath/2007/PartnerControls"/>
    <xsd:element name="TaxCatchAllLabel" ma:index="9" nillable="true" ma:displayName="Taxonomy Catch All Column1" ma:hidden="true" ma:list="{9a588cb2-5654-4e11-92e8-3f1cc2e35934}" ma:internalName="TaxCatchAllLabel" ma:readOnly="false" ma:showField="CatchAllDataLabel" ma:web="286bd567-8383-458b-8b10-610e1dbf4dce">
      <xsd:complexType>
        <xsd:complexContent>
          <xsd:extension base="dms:MultiChoiceLookup">
            <xsd:sequence>
              <xsd:element name="Value" type="dms:Lookup" maxOccurs="unbounded" minOccurs="0" nillable="true"/>
            </xsd:sequence>
          </xsd:extension>
        </xsd:complexContent>
      </xsd:complexType>
    </xsd:element>
    <xsd:element name="n3e020d9d98c48dbb65f924b9bc22a2a" ma:index="10" nillable="true" ma:taxonomy="true" ma:internalName="n3e020d9d98c48dbb65f924b9bc22a2a" ma:taxonomyFieldName="NVE_Tema" ma:displayName="NVE tema" ma:readOnly="false" ma:default="" ma:fieldId="{73e020d9-d98c-48db-b65f-924b9bc22a2a}" ma:taxonomyMulti="true" ma:sspId="64152832-9f03-4628-8f8a-984f7e09cd82" ma:termSetId="8e6ad744-58b5-4dbb-88a2-80de7c4ff1df" ma:anchorId="00000000-0000-0000-0000-000000000000" ma:open="false" ma:isKeyword="false">
      <xsd:complexType>
        <xsd:sequence>
          <xsd:element ref="pc:Terms" minOccurs="0" maxOccurs="1"/>
        </xsd:sequence>
      </xsd:complexType>
    </xsd:element>
    <xsd:element name="g98ade60b1a5493f9b7127fdb0eec544" ma:index="12" nillable="true" ma:taxonomy="true" ma:internalName="g98ade60b1a5493f9b7127fdb0eec544" ma:taxonomyFieldName="NVE_Dokumenttype" ma:displayName="Dokumenttype NVE" ma:readOnly="false" ma:default="" ma:fieldId="{098ade60-b1a5-493f-9b71-27fdb0eec544}" ma:sspId="64152832-9f03-4628-8f8a-984f7e09cd82" ma:termSetId="7a928a34-8131-48a8-82d2-76c63c72cabe"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9a588cb2-5654-4e11-92e8-3f1cc2e35934}" ma:internalName="TaxCatchAll" ma:readOnly="false" ma:showField="CatchAllData" ma:web="286bd567-8383-458b-8b10-610e1dbf4dc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6bd567-8383-458b-8b10-610e1dbf4dce" elementFormDefault="qualified">
    <xsd:import namespace="http://schemas.microsoft.com/office/2006/documentManagement/types"/>
    <xsd:import namespace="http://schemas.microsoft.com/office/infopath/2007/PartnerControls"/>
    <xsd:element name="SharedWithUsers" ma:index="17"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nholdstype"/>
        <xsd:element ref="dc:title" minOccurs="0" maxOccurs="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64152832-9f03-4628-8f8a-984f7e09cd82"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B28D55-8E60-4E49-AFFB-7EF8064F0E2C}">
  <ds:schemaRefs>
    <ds:schemaRef ds:uri="http://schemas.microsoft.com/office/2006/metadata/properties"/>
    <ds:schemaRef ds:uri="http://schemas.microsoft.com/office/infopath/2007/PartnerControls"/>
    <ds:schemaRef ds:uri="caf9241f-7654-46e4-b38c-0683f7584438"/>
    <ds:schemaRef ds:uri="08670d86-fc33-4f61-bf51-96e019343c8b"/>
    <ds:schemaRef ds:uri="286bd567-8383-458b-8b10-610e1dbf4dce"/>
  </ds:schemaRefs>
</ds:datastoreItem>
</file>

<file path=customXml/itemProps2.xml><?xml version="1.0" encoding="utf-8"?>
<ds:datastoreItem xmlns:ds="http://schemas.openxmlformats.org/officeDocument/2006/customXml" ds:itemID="{83AA2845-5658-41B6-825C-18E83F463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f9241f-7654-46e4-b38c-0683f7584438"/>
    <ds:schemaRef ds:uri="08670d86-fc33-4f61-bf51-96e019343c8b"/>
    <ds:schemaRef ds:uri="286bd567-8383-458b-8b10-610e1dbf4d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D73271-1436-4E17-B893-A9796B65CEE1}">
  <ds:schemaRefs>
    <ds:schemaRef ds:uri="Microsoft.SharePoint.Taxonomy.ContentTypeSync"/>
  </ds:schemaRefs>
</ds:datastoreItem>
</file>

<file path=customXml/itemProps4.xml><?xml version="1.0" encoding="utf-8"?>
<ds:datastoreItem xmlns:ds="http://schemas.openxmlformats.org/officeDocument/2006/customXml" ds:itemID="{D0F87933-977E-437E-9BBF-35946DF327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22</vt:i4>
      </vt:variant>
    </vt:vector>
  </HeadingPairs>
  <TitlesOfParts>
    <vt:vector size="22" baseType="lpstr">
      <vt:lpstr>Introduksjon</vt:lpstr>
      <vt:lpstr>Forutsetninger</vt:lpstr>
      <vt:lpstr>Nettleie 2024-2030</vt:lpstr>
      <vt:lpstr>Investeringer</vt:lpstr>
      <vt:lpstr>Nettap</vt:lpstr>
      <vt:lpstr>IR 2023-2024</vt:lpstr>
      <vt:lpstr>Østlandet IR 2023-2030</vt:lpstr>
      <vt:lpstr>Sørlandet IR 2023-2030</vt:lpstr>
      <vt:lpstr>Midt-Norge IR 2023-2030</vt:lpstr>
      <vt:lpstr>Nord-Norge IR 2023-2030</vt:lpstr>
      <vt:lpstr>Vestlandet IR 2023-2030</vt:lpstr>
      <vt:lpstr>IR T-nett 2024-2030</vt:lpstr>
      <vt:lpstr>Tidsetterslep</vt:lpstr>
      <vt:lpstr>FoU</vt:lpstr>
      <vt:lpstr>Skatt</vt:lpstr>
      <vt:lpstr>KON</vt:lpstr>
      <vt:lpstr>Elhub&amp;Elbits</vt:lpstr>
      <vt:lpstr>TI 2024-2030</vt:lpstr>
      <vt:lpstr>TI T-nett 2024-2030</vt:lpstr>
      <vt:lpstr>Forbruk MWh</vt:lpstr>
      <vt:lpstr>Fordelingsnøkler</vt:lpstr>
      <vt:lpstr>Skaleringsfaktor</vt:lpstr>
    </vt:vector>
  </TitlesOfParts>
  <Manager/>
  <Company>NVE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Heien Mona Helen</dc:creator>
  <cp:keywords/>
  <dc:description/>
  <cp:lastModifiedBy>Sigrid Hendriks Moe</cp:lastModifiedBy>
  <cp:revision/>
  <dcterms:created xsi:type="dcterms:W3CDTF">2017-11-21T09:35:58Z</dcterms:created>
  <dcterms:modified xsi:type="dcterms:W3CDTF">2024-09-11T07:27:14Z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0x010100098B676CC530A34A9FB1F4ACAD0C0A17</vt:lpwstr>
  </property>
  <property fmtid="{D5CDD505-2E9C-101B-9397-08002B2CF9AE}" pid="3" name="NVE_Tema">
    <vt:lpwstr/>
  </property>
  <property fmtid="{D5CDD505-2E9C-101B-9397-08002B2CF9AE}" pid="4" name="Dokumenttype_termsett">
    <vt:lpwstr/>
  </property>
  <property fmtid="{D5CDD505-2E9C-101B-9397-08002B2CF9AE}" pid="5" name="MediaServiceImageTags">
    <vt:lpwstr/>
  </property>
  <property fmtid="{D5CDD505-2E9C-101B-9397-08002B2CF9AE}" pid="6" name="Fagtema0">
    <vt:lpwstr/>
  </property>
  <property fmtid="{D5CDD505-2E9C-101B-9397-08002B2CF9AE}" pid="7" name="NVE_Dokumenttype">
    <vt:lpwstr/>
  </property>
</Properties>
</file>