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Felles\Prosjekt\2016_Kostnadsrapport\Fase3\Regneark - MÅ IKKE FLYTTES\"/>
    </mc:Choice>
  </mc:AlternateContent>
  <bookViews>
    <workbookView xWindow="0" yWindow="0" windowWidth="28800" windowHeight="13365"/>
  </bookViews>
  <sheets>
    <sheet name="Kostnad 2016" sheetId="2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2" l="1"/>
  <c r="I13" i="2"/>
  <c r="I22" i="2" s="1"/>
  <c r="I10" i="2"/>
  <c r="I9" i="2"/>
  <c r="I26" i="2"/>
  <c r="I14" i="2" l="1"/>
  <c r="C11" i="2"/>
  <c r="C8" i="2"/>
  <c r="C7" i="2"/>
  <c r="C6" i="2"/>
  <c r="I29" i="2" s="1"/>
  <c r="I24" i="2" s="1"/>
  <c r="C5" i="2"/>
  <c r="I23" i="2" l="1"/>
  <c r="I15" i="2" s="1"/>
  <c r="I17" i="2" s="1"/>
  <c r="K13" i="2"/>
  <c r="J26" i="2"/>
  <c r="K26" i="2"/>
  <c r="H26" i="2"/>
  <c r="K22" i="2"/>
  <c r="Q23" i="2"/>
  <c r="H13" i="2" l="1"/>
  <c r="M35" i="2"/>
  <c r="N35" i="2" s="1"/>
  <c r="J13" i="2"/>
  <c r="J22" i="2" s="1"/>
  <c r="K14" i="2" l="1"/>
  <c r="J14" i="2"/>
  <c r="H29" i="2" l="1"/>
  <c r="H24" i="2" s="1"/>
  <c r="J29" i="2"/>
  <c r="J24" i="2" s="1"/>
  <c r="K29" i="2"/>
  <c r="K24" i="2" s="1"/>
  <c r="J23" i="2"/>
  <c r="K23" i="2"/>
  <c r="K15" i="2" l="1"/>
  <c r="K17" i="2" s="1"/>
  <c r="J15" i="2"/>
  <c r="J17" i="2" s="1"/>
  <c r="F23" i="2"/>
  <c r="F22" i="2"/>
  <c r="H22" i="2" l="1"/>
  <c r="H14" i="2"/>
  <c r="M24" i="2" s="1"/>
  <c r="H23" i="2" l="1"/>
  <c r="M32" i="2" s="1"/>
  <c r="M31" i="2"/>
  <c r="H15" i="2" l="1"/>
  <c r="H17" i="2" s="1"/>
</calcChain>
</file>

<file path=xl/sharedStrings.xml><?xml version="1.0" encoding="utf-8"?>
<sst xmlns="http://schemas.openxmlformats.org/spreadsheetml/2006/main" count="61" uniqueCount="52">
  <si>
    <t>Faste driftskostnader</t>
  </si>
  <si>
    <t>øre/kWh</t>
  </si>
  <si>
    <t>kWh</t>
  </si>
  <si>
    <t>Ytelse</t>
  </si>
  <si>
    <t xml:space="preserve">Fullasttimer </t>
  </si>
  <si>
    <t>timer/år</t>
  </si>
  <si>
    <t>Investeringskostnader</t>
  </si>
  <si>
    <t xml:space="preserve">   Byggetidsrenter     </t>
  </si>
  <si>
    <t xml:space="preserve">Sum investeringskostnader </t>
  </si>
  <si>
    <t>Elproduksjon</t>
  </si>
  <si>
    <t>GWh/år</t>
  </si>
  <si>
    <t>Nåverdier</t>
  </si>
  <si>
    <t>Mwel/Mwkjel</t>
  </si>
  <si>
    <t>øre</t>
  </si>
  <si>
    <t>Produsert elektrisitet</t>
  </si>
  <si>
    <t>Produsert elektrisitet med degradering</t>
  </si>
  <si>
    <t>Merknad</t>
  </si>
  <si>
    <t>Kilde</t>
  </si>
  <si>
    <t>Faktor for teknologiforbedring 2016 - 2035</t>
  </si>
  <si>
    <t>LCOE 2016</t>
  </si>
  <si>
    <t>LCOE 2035</t>
  </si>
  <si>
    <t>år</t>
  </si>
  <si>
    <t>Byggetid</t>
  </si>
  <si>
    <t>Levetid</t>
  </si>
  <si>
    <t>Degraderingsrate</t>
  </si>
  <si>
    <t>prosent/år</t>
  </si>
  <si>
    <t>GWh</t>
  </si>
  <si>
    <t>enhet</t>
  </si>
  <si>
    <t>Diskonteringsrente</t>
  </si>
  <si>
    <t>prosent</t>
  </si>
  <si>
    <t>faktor</t>
  </si>
  <si>
    <t>Solstrøm Oslo (PV)</t>
  </si>
  <si>
    <t>Modul</t>
  </si>
  <si>
    <t>Annet utstyr</t>
  </si>
  <si>
    <t>Installasjon</t>
  </si>
  <si>
    <t>NVE rapport 2-2015</t>
  </si>
  <si>
    <t>Enebolig</t>
  </si>
  <si>
    <t>Næring</t>
  </si>
  <si>
    <t>Industri</t>
  </si>
  <si>
    <t>Type anlegg</t>
  </si>
  <si>
    <t>kr/kWp</t>
  </si>
  <si>
    <t>MWp</t>
  </si>
  <si>
    <r>
      <t>kr/kW</t>
    </r>
    <r>
      <rPr>
        <sz val="10"/>
        <rFont val="Calibri"/>
        <family val="2"/>
        <scheme val="minor"/>
      </rPr>
      <t>/år</t>
    </r>
  </si>
  <si>
    <t>,5% av investeringskostnaden for enebolig, 1% for næringsbygg og industri.  Det antas at drifts- og vedlikeholdskostnaden dekker bytte av vekselretter ca. halvveis i levetiden.</t>
  </si>
  <si>
    <t>Noe redusert ift NVE rapport 2-2015</t>
  </si>
  <si>
    <t>Noe redusert ift NVE rapport 2-2016</t>
  </si>
  <si>
    <t>Noe redusert ift NVE rapport 2-2017</t>
  </si>
  <si>
    <t>Inflasjon 2013-2016</t>
  </si>
  <si>
    <t>Multiconsult</t>
  </si>
  <si>
    <t>Multiconsult/NVE</t>
  </si>
  <si>
    <t>Enebolig, inkl. mva.</t>
  </si>
  <si>
    <t>Mva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</si>
</sst>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General_)"/>
    <numFmt numFmtId="165" formatCode="0.0"/>
    <numFmt numFmtId="166" formatCode="0.0\ %"/>
    <numFmt numFmtId="167" formatCode="0.0000"/>
  </numFmts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Helv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sz val="10"/>
      <color theme="1" tint="0.499984740745262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3" fillId="0" borderId="0"/>
    <xf numFmtId="43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71">
    <xf numFmtId="0" fontId="0" fillId="0" borderId="0" xfId="0"/>
    <xf numFmtId="164" fontId="7" fillId="0" borderId="1" xfId="1" applyFont="1" applyFill="1" applyBorder="1"/>
    <xf numFmtId="164" fontId="4" fillId="0" borderId="12" xfId="1" applyFont="1" applyFill="1" applyBorder="1" applyAlignment="1">
      <alignment horizontal="right"/>
    </xf>
    <xf numFmtId="164" fontId="7" fillId="0" borderId="15" xfId="1" applyFont="1" applyFill="1" applyBorder="1"/>
    <xf numFmtId="164" fontId="7" fillId="0" borderId="2" xfId="1" applyFont="1" applyFill="1" applyBorder="1"/>
    <xf numFmtId="164" fontId="7" fillId="0" borderId="18" xfId="1" applyFont="1" applyFill="1" applyBorder="1" applyAlignment="1">
      <alignment horizontal="right"/>
    </xf>
    <xf numFmtId="164" fontId="4" fillId="0" borderId="2" xfId="1" applyFont="1" applyFill="1" applyBorder="1" applyAlignment="1">
      <alignment horizontal="left" indent="1"/>
    </xf>
    <xf numFmtId="164" fontId="4" fillId="0" borderId="18" xfId="1" applyFont="1" applyFill="1" applyBorder="1" applyAlignment="1">
      <alignment horizontal="right"/>
    </xf>
    <xf numFmtId="3" fontId="4" fillId="0" borderId="9" xfId="1" applyNumberFormat="1" applyFont="1" applyFill="1" applyBorder="1"/>
    <xf numFmtId="164" fontId="4" fillId="0" borderId="2" xfId="1" applyFont="1" applyFill="1" applyBorder="1"/>
    <xf numFmtId="164" fontId="4" fillId="0" borderId="16" xfId="1" applyFont="1" applyFill="1" applyBorder="1" applyAlignment="1">
      <alignment horizontal="right"/>
    </xf>
    <xf numFmtId="3" fontId="4" fillId="0" borderId="3" xfId="2" applyNumberFormat="1" applyFont="1" applyFill="1" applyBorder="1"/>
    <xf numFmtId="164" fontId="4" fillId="0" borderId="20" xfId="1" applyFont="1" applyFill="1" applyBorder="1" applyAlignment="1">
      <alignment horizontal="right"/>
    </xf>
    <xf numFmtId="164" fontId="7" fillId="0" borderId="21" xfId="1" applyFont="1" applyFill="1" applyBorder="1"/>
    <xf numFmtId="164" fontId="7" fillId="0" borderId="22" xfId="1" applyFont="1" applyFill="1" applyBorder="1" applyAlignment="1">
      <alignment horizontal="right"/>
    </xf>
    <xf numFmtId="165" fontId="7" fillId="0" borderId="22" xfId="0" applyNumberFormat="1" applyFont="1" applyFill="1" applyBorder="1"/>
    <xf numFmtId="0" fontId="4" fillId="0" borderId="0" xfId="0" applyFont="1"/>
    <xf numFmtId="164" fontId="9" fillId="0" borderId="0" xfId="1" applyFont="1" applyFill="1" applyBorder="1"/>
    <xf numFmtId="164" fontId="9" fillId="0" borderId="0" xfId="1" applyFont="1" applyFill="1" applyBorder="1" applyAlignment="1">
      <alignment horizontal="right"/>
    </xf>
    <xf numFmtId="165" fontId="9" fillId="0" borderId="0" xfId="1" applyNumberFormat="1" applyFont="1" applyFill="1" applyBorder="1"/>
    <xf numFmtId="164" fontId="7" fillId="0" borderId="23" xfId="1" applyFont="1" applyFill="1" applyBorder="1"/>
    <xf numFmtId="0" fontId="7" fillId="0" borderId="4" xfId="0" applyFont="1" applyBorder="1" applyAlignment="1">
      <alignment horizontal="right"/>
    </xf>
    <xf numFmtId="0" fontId="7" fillId="0" borderId="24" xfId="0" applyFont="1" applyBorder="1"/>
    <xf numFmtId="164" fontId="4" fillId="0" borderId="23" xfId="0" applyNumberFormat="1" applyFont="1" applyBorder="1"/>
    <xf numFmtId="0" fontId="4" fillId="0" borderId="8" xfId="0" applyFont="1" applyBorder="1" applyAlignment="1">
      <alignment horizontal="right"/>
    </xf>
    <xf numFmtId="164" fontId="4" fillId="0" borderId="4" xfId="0" applyNumberFormat="1" applyFont="1" applyBorder="1"/>
    <xf numFmtId="164" fontId="4" fillId="0" borderId="19" xfId="0" applyNumberFormat="1" applyFont="1" applyBorder="1"/>
    <xf numFmtId="0" fontId="4" fillId="0" borderId="18" xfId="0" applyFont="1" applyBorder="1" applyAlignment="1">
      <alignment horizontal="right"/>
    </xf>
    <xf numFmtId="40" fontId="4" fillId="0" borderId="0" xfId="0" applyNumberFormat="1" applyFont="1" applyBorder="1"/>
    <xf numFmtId="0" fontId="4" fillId="0" borderId="0" xfId="0" applyFont="1" applyBorder="1"/>
    <xf numFmtId="0" fontId="5" fillId="2" borderId="27" xfId="0" applyFont="1" applyFill="1" applyBorder="1"/>
    <xf numFmtId="0" fontId="5" fillId="2" borderId="28" xfId="0" applyFont="1" applyFill="1" applyBorder="1"/>
    <xf numFmtId="2" fontId="4" fillId="0" borderId="0" xfId="0" applyNumberFormat="1" applyFont="1"/>
    <xf numFmtId="0" fontId="2" fillId="0" borderId="0" xfId="0" applyFont="1" applyBorder="1"/>
    <xf numFmtId="164" fontId="7" fillId="3" borderId="18" xfId="1" applyFont="1" applyFill="1" applyBorder="1" applyAlignment="1">
      <alignment horizontal="right"/>
    </xf>
    <xf numFmtId="164" fontId="7" fillId="3" borderId="9" xfId="1" applyFont="1" applyFill="1" applyBorder="1"/>
    <xf numFmtId="164" fontId="4" fillId="3" borderId="10" xfId="1" applyFont="1" applyFill="1" applyBorder="1"/>
    <xf numFmtId="3" fontId="4" fillId="4" borderId="13" xfId="1" applyNumberFormat="1" applyFont="1" applyFill="1" applyBorder="1"/>
    <xf numFmtId="3" fontId="4" fillId="4" borderId="14" xfId="1" applyNumberFormat="1" applyFont="1" applyFill="1" applyBorder="1"/>
    <xf numFmtId="3" fontId="4" fillId="4" borderId="9" xfId="1" applyNumberFormat="1" applyFont="1" applyFill="1" applyBorder="1"/>
    <xf numFmtId="3" fontId="4" fillId="4" borderId="10" xfId="1" applyNumberFormat="1" applyFont="1" applyFill="1" applyBorder="1"/>
    <xf numFmtId="0" fontId="0" fillId="5" borderId="0" xfId="0" applyFill="1"/>
    <xf numFmtId="164" fontId="5" fillId="5" borderId="2" xfId="1" applyFont="1" applyFill="1" applyBorder="1"/>
    <xf numFmtId="164" fontId="5" fillId="5" borderId="8" xfId="1" applyFont="1" applyFill="1" applyBorder="1" applyAlignment="1">
      <alignment horizontal="right"/>
    </xf>
    <xf numFmtId="0" fontId="6" fillId="5" borderId="9" xfId="0" applyFont="1" applyFill="1" applyBorder="1" applyAlignment="1">
      <alignment horizontal="center"/>
    </xf>
    <xf numFmtId="0" fontId="6" fillId="5" borderId="10" xfId="0" applyFont="1" applyFill="1" applyBorder="1" applyAlignment="1">
      <alignment horizontal="center"/>
    </xf>
    <xf numFmtId="164" fontId="5" fillId="5" borderId="11" xfId="1" applyFont="1" applyFill="1" applyBorder="1" applyAlignment="1">
      <alignment horizontal="right"/>
    </xf>
    <xf numFmtId="164" fontId="5" fillId="5" borderId="9" xfId="1" applyFont="1" applyFill="1" applyBorder="1" applyAlignment="1">
      <alignment horizontal="right"/>
    </xf>
    <xf numFmtId="164" fontId="5" fillId="5" borderId="10" xfId="1" applyFont="1" applyFill="1" applyBorder="1" applyAlignment="1">
      <alignment horizontal="right"/>
    </xf>
    <xf numFmtId="0" fontId="0" fillId="0" borderId="25" xfId="0" applyBorder="1"/>
    <xf numFmtId="40" fontId="0" fillId="0" borderId="26" xfId="0" applyNumberFormat="1" applyBorder="1"/>
    <xf numFmtId="0" fontId="4" fillId="0" borderId="18" xfId="0" applyFont="1" applyFill="1" applyBorder="1" applyAlignment="1">
      <alignment horizontal="right"/>
    </xf>
    <xf numFmtId="40" fontId="0" fillId="0" borderId="0" xfId="0" applyNumberFormat="1"/>
    <xf numFmtId="0" fontId="0" fillId="0" borderId="0" xfId="0" applyBorder="1"/>
    <xf numFmtId="2" fontId="7" fillId="0" borderId="0" xfId="0" applyNumberFormat="1" applyFont="1" applyBorder="1"/>
    <xf numFmtId="2" fontId="4" fillId="0" borderId="0" xfId="0" applyNumberFormat="1" applyFont="1" applyBorder="1"/>
    <xf numFmtId="0" fontId="5" fillId="0" borderId="0" xfId="0" applyFont="1" applyFill="1" applyBorder="1"/>
    <xf numFmtId="166" fontId="2" fillId="0" borderId="0" xfId="3" applyNumberFormat="1" applyFont="1" applyBorder="1"/>
    <xf numFmtId="166" fontId="0" fillId="0" borderId="0" xfId="3" applyNumberFormat="1" applyFont="1" applyBorder="1"/>
    <xf numFmtId="164" fontId="5" fillId="5" borderId="0" xfId="1" applyFont="1" applyFill="1" applyBorder="1"/>
    <xf numFmtId="3" fontId="4" fillId="0" borderId="10" xfId="1" applyNumberFormat="1" applyFont="1" applyFill="1" applyBorder="1"/>
    <xf numFmtId="3" fontId="4" fillId="0" borderId="17" xfId="2" applyNumberFormat="1" applyFont="1" applyFill="1" applyBorder="1"/>
    <xf numFmtId="165" fontId="7" fillId="0" borderId="29" xfId="0" applyNumberFormat="1" applyFont="1" applyFill="1" applyBorder="1"/>
    <xf numFmtId="2" fontId="0" fillId="0" borderId="0" xfId="0" applyNumberFormat="1"/>
    <xf numFmtId="167" fontId="9" fillId="0" borderId="0" xfId="2" applyNumberFormat="1" applyFont="1" applyFill="1" applyBorder="1"/>
    <xf numFmtId="4" fontId="4" fillId="4" borderId="9" xfId="1" applyNumberFormat="1" applyFont="1" applyFill="1" applyBorder="1"/>
    <xf numFmtId="4" fontId="4" fillId="4" borderId="10" xfId="1" applyNumberFormat="1" applyFont="1" applyFill="1" applyBorder="1"/>
    <xf numFmtId="49" fontId="6" fillId="5" borderId="9" xfId="0" applyNumberFormat="1" applyFont="1" applyFill="1" applyBorder="1" applyAlignment="1">
      <alignment horizontal="center" wrapText="1"/>
    </xf>
    <xf numFmtId="0" fontId="1" fillId="5" borderId="5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</cellXfs>
  <cellStyles count="5">
    <cellStyle name="Comma 2" xfId="4"/>
    <cellStyle name="Normal" xfId="0" builtinId="0"/>
    <cellStyle name="Normal_Ark1" xfId="1"/>
    <cellStyle name="Prosent" xfId="3" builtinId="5"/>
    <cellStyle name="Tusenskille_Ark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utsetning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ennverdier og priser"/>
      <sheetName val="CO2-avgift, grunnavgift"/>
      <sheetName val="CO2-kvoter"/>
      <sheetName val="byggetid levetid rente"/>
      <sheetName val="NOX avgift"/>
    </sheetNames>
    <sheetDataSet>
      <sheetData sheetId="0">
        <row r="6">
          <cell r="D6">
            <v>9.7595833333333335</v>
          </cell>
        </row>
      </sheetData>
      <sheetData sheetId="1">
        <row r="8">
          <cell r="L8">
            <v>16.32</v>
          </cell>
        </row>
      </sheetData>
      <sheetData sheetId="2"/>
      <sheetData sheetId="3">
        <row r="1">
          <cell r="C1">
            <v>1.07973174366617</v>
          </cell>
        </row>
        <row r="25">
          <cell r="C25">
            <v>0</v>
          </cell>
        </row>
        <row r="50">
          <cell r="C50">
            <v>25</v>
          </cell>
          <cell r="D50">
            <v>0.06</v>
          </cell>
          <cell r="E50">
            <v>4.0000000000000001E-3</v>
          </cell>
        </row>
      </sheetData>
      <sheetData sheetId="4">
        <row r="11">
          <cell r="H11">
            <v>0.45719999999999994</v>
          </cell>
        </row>
      </sheetData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35"/>
  <sheetViews>
    <sheetView tabSelected="1" topLeftCell="A2" workbookViewId="0">
      <selection activeCell="I11" sqref="I11"/>
    </sheetView>
  </sheetViews>
  <sheetFormatPr baseColWidth="10" defaultRowHeight="15" x14ac:dyDescent="0.25"/>
  <cols>
    <col min="1" max="1" width="16.85546875" customWidth="1"/>
    <col min="6" max="6" width="43.5703125" customWidth="1"/>
    <col min="8" max="9" width="13.42578125" customWidth="1"/>
    <col min="10" max="10" width="12.28515625" customWidth="1"/>
    <col min="11" max="11" width="12.85546875" customWidth="1"/>
    <col min="12" max="12" width="24.42578125" customWidth="1"/>
    <col min="13" max="13" width="20.140625" customWidth="1"/>
  </cols>
  <sheetData>
    <row r="3" spans="1:13" ht="15.75" thickBot="1" x14ac:dyDescent="0.3"/>
    <row r="4" spans="1:13" x14ac:dyDescent="0.25">
      <c r="A4" s="30"/>
      <c r="B4" s="30" t="s">
        <v>27</v>
      </c>
      <c r="C4" s="31"/>
      <c r="D4" s="56"/>
      <c r="F4" s="68" t="s">
        <v>31</v>
      </c>
      <c r="G4" s="69"/>
      <c r="H4" s="69"/>
      <c r="I4" s="69"/>
      <c r="J4" s="69"/>
      <c r="K4" s="70"/>
      <c r="L4" s="41"/>
      <c r="M4" s="41"/>
    </row>
    <row r="5" spans="1:13" ht="26.25" x14ac:dyDescent="0.25">
      <c r="A5" s="30" t="s">
        <v>22</v>
      </c>
      <c r="B5" t="s">
        <v>21</v>
      </c>
      <c r="C5">
        <f>'[1]byggetid levetid rente'!$C$25</f>
        <v>0</v>
      </c>
      <c r="E5" s="33"/>
      <c r="F5" s="42"/>
      <c r="G5" s="43" t="s">
        <v>39</v>
      </c>
      <c r="H5" s="44" t="s">
        <v>36</v>
      </c>
      <c r="I5" s="67" t="s">
        <v>50</v>
      </c>
      <c r="J5" s="44" t="s">
        <v>37</v>
      </c>
      <c r="K5" s="45" t="s">
        <v>38</v>
      </c>
      <c r="L5" s="41"/>
      <c r="M5" s="41"/>
    </row>
    <row r="6" spans="1:13" ht="15.75" thickBot="1" x14ac:dyDescent="0.3">
      <c r="A6" s="30" t="s">
        <v>23</v>
      </c>
      <c r="B6" t="s">
        <v>21</v>
      </c>
      <c r="C6" s="53">
        <f>'[1]byggetid levetid rente'!$C$50</f>
        <v>25</v>
      </c>
      <c r="E6" s="33"/>
      <c r="F6" s="42" t="s">
        <v>3</v>
      </c>
      <c r="G6" s="46" t="s">
        <v>41</v>
      </c>
      <c r="H6" s="47">
        <v>0.01</v>
      </c>
      <c r="I6" s="47">
        <v>0.01</v>
      </c>
      <c r="J6" s="47">
        <v>0.1</v>
      </c>
      <c r="K6" s="48">
        <v>0.5</v>
      </c>
      <c r="L6" s="59" t="s">
        <v>17</v>
      </c>
      <c r="M6" s="42" t="s">
        <v>16</v>
      </c>
    </row>
    <row r="7" spans="1:13" x14ac:dyDescent="0.25">
      <c r="A7" s="30" t="s">
        <v>28</v>
      </c>
      <c r="B7" t="s">
        <v>25</v>
      </c>
      <c r="C7" s="57">
        <f>'[1]byggetid levetid rente'!$D$50</f>
        <v>0.06</v>
      </c>
      <c r="E7" s="33"/>
      <c r="F7" s="1" t="s">
        <v>4</v>
      </c>
      <c r="G7" s="2" t="s">
        <v>5</v>
      </c>
      <c r="H7" s="37">
        <v>920</v>
      </c>
      <c r="I7" s="37">
        <v>920</v>
      </c>
      <c r="J7" s="37">
        <v>920</v>
      </c>
      <c r="K7" s="38">
        <v>920</v>
      </c>
      <c r="L7" t="s">
        <v>35</v>
      </c>
    </row>
    <row r="8" spans="1:13" x14ac:dyDescent="0.25">
      <c r="A8" s="30" t="s">
        <v>24</v>
      </c>
      <c r="B8" s="16" t="s">
        <v>29</v>
      </c>
      <c r="C8" s="58">
        <f>'[1]byggetid levetid rente'!$E$50</f>
        <v>4.0000000000000001E-3</v>
      </c>
      <c r="E8" s="16"/>
      <c r="F8" s="4" t="s">
        <v>6</v>
      </c>
      <c r="G8" s="34"/>
      <c r="H8" s="35"/>
      <c r="I8" s="35"/>
      <c r="J8" s="35"/>
      <c r="K8" s="36"/>
    </row>
    <row r="9" spans="1:13" x14ac:dyDescent="0.25">
      <c r="A9" s="30" t="s">
        <v>51</v>
      </c>
      <c r="B9" s="16"/>
      <c r="C9" s="54">
        <v>0.25</v>
      </c>
      <c r="D9" s="16"/>
      <c r="E9" s="16"/>
      <c r="F9" s="6" t="s">
        <v>32</v>
      </c>
      <c r="G9" s="7" t="s">
        <v>40</v>
      </c>
      <c r="H9" s="39">
        <v>7163.3818163389415</v>
      </c>
      <c r="I9" s="39">
        <f>7163.38181633894*(1+C9)</f>
        <v>8954.2272704236748</v>
      </c>
      <c r="J9" s="39">
        <v>6895.5601793170281</v>
      </c>
      <c r="K9" s="40">
        <v>6560.3593372668947</v>
      </c>
      <c r="L9" t="s">
        <v>48</v>
      </c>
      <c r="M9" t="s">
        <v>44</v>
      </c>
    </row>
    <row r="10" spans="1:13" x14ac:dyDescent="0.25">
      <c r="A10" s="30"/>
      <c r="B10" s="16"/>
      <c r="C10" s="55"/>
      <c r="E10" s="16"/>
      <c r="F10" s="6" t="s">
        <v>33</v>
      </c>
      <c r="G10" s="7" t="s">
        <v>40</v>
      </c>
      <c r="H10" s="39">
        <v>5937.2111291303472</v>
      </c>
      <c r="I10" s="39">
        <f>5937.21112913035*(1+C9)</f>
        <v>7421.5139114129379</v>
      </c>
      <c r="J10" s="39">
        <v>4462.4150333408716</v>
      </c>
      <c r="K10" s="40">
        <v>4245.4920803312452</v>
      </c>
      <c r="L10" t="s">
        <v>48</v>
      </c>
      <c r="M10" t="s">
        <v>45</v>
      </c>
    </row>
    <row r="11" spans="1:13" x14ac:dyDescent="0.25">
      <c r="A11" s="30" t="s">
        <v>47</v>
      </c>
      <c r="B11" s="16" t="s">
        <v>30</v>
      </c>
      <c r="C11" s="63">
        <f>'[1]byggetid levetid rente'!$C$1</f>
        <v>1.07973174366617</v>
      </c>
      <c r="E11" s="16"/>
      <c r="F11" s="6" t="s">
        <v>34</v>
      </c>
      <c r="G11" s="7" t="s">
        <v>40</v>
      </c>
      <c r="H11" s="39">
        <v>4399.4070545307104</v>
      </c>
      <c r="I11" s="39">
        <f>4399.40705453071*(1+C9)</f>
        <v>5499.2588181633882</v>
      </c>
      <c r="J11" s="39">
        <v>3096.0862954732534</v>
      </c>
      <c r="K11" s="40">
        <v>2945.5821005544144</v>
      </c>
      <c r="L11" t="s">
        <v>48</v>
      </c>
      <c r="M11" t="s">
        <v>46</v>
      </c>
    </row>
    <row r="12" spans="1:13" x14ac:dyDescent="0.25">
      <c r="B12" s="16"/>
      <c r="C12" s="16"/>
      <c r="D12" s="16"/>
      <c r="E12" s="16"/>
      <c r="F12" s="9" t="s">
        <v>7</v>
      </c>
      <c r="G12" s="7" t="s">
        <v>40</v>
      </c>
      <c r="H12" s="8">
        <v>0</v>
      </c>
      <c r="I12" s="8">
        <v>0</v>
      </c>
      <c r="J12" s="8">
        <v>0</v>
      </c>
      <c r="K12" s="60">
        <v>0</v>
      </c>
    </row>
    <row r="13" spans="1:13" x14ac:dyDescent="0.25">
      <c r="E13" s="32"/>
      <c r="F13" s="3" t="s">
        <v>8</v>
      </c>
      <c r="G13" s="10" t="s">
        <v>40</v>
      </c>
      <c r="H13" s="11">
        <f>SUM(H9:H12)</f>
        <v>17500</v>
      </c>
      <c r="I13" s="11">
        <f>SUM(I9:I12)</f>
        <v>21875</v>
      </c>
      <c r="J13" s="11">
        <f>SUM(J9:J12)</f>
        <v>14454.061508131153</v>
      </c>
      <c r="K13" s="61">
        <f>SUM(K9:K12)</f>
        <v>13751.433518152555</v>
      </c>
    </row>
    <row r="14" spans="1:13" x14ac:dyDescent="0.25">
      <c r="B14" s="16"/>
      <c r="C14" s="16"/>
      <c r="D14" s="32"/>
      <c r="E14" s="32"/>
      <c r="F14" s="3" t="s">
        <v>0</v>
      </c>
      <c r="G14" s="10" t="s">
        <v>42</v>
      </c>
      <c r="H14" s="39">
        <f>0.005*H13</f>
        <v>87.5</v>
      </c>
      <c r="I14" s="39">
        <f>0.005*I13</f>
        <v>109.375</v>
      </c>
      <c r="J14" s="39">
        <f>0.01*J13</f>
        <v>144.54061508131153</v>
      </c>
      <c r="K14" s="39">
        <f>0.01*K13</f>
        <v>137.51433518152555</v>
      </c>
    </row>
    <row r="15" spans="1:13" ht="15.75" thickBot="1" x14ac:dyDescent="0.3">
      <c r="B15" s="16"/>
      <c r="C15" s="16"/>
      <c r="D15" s="32"/>
      <c r="E15" s="32"/>
      <c r="F15" s="13" t="s">
        <v>19</v>
      </c>
      <c r="G15" s="14" t="s">
        <v>1</v>
      </c>
      <c r="H15" s="15">
        <f>(H22+H23)/H24</f>
        <v>158.46374749213223</v>
      </c>
      <c r="I15" s="15">
        <f>(I22+I23)/I24</f>
        <v>198.07968436516529</v>
      </c>
      <c r="J15" s="15">
        <f>(J22+J23)/J24</f>
        <v>138.74557055008381</v>
      </c>
      <c r="K15" s="62">
        <f>(K22+K23)/K24</f>
        <v>132.00099420389915</v>
      </c>
      <c r="L15" t="s">
        <v>49</v>
      </c>
      <c r="M15" t="s">
        <v>43</v>
      </c>
    </row>
    <row r="16" spans="1:13" x14ac:dyDescent="0.25">
      <c r="F16" s="4" t="s">
        <v>18</v>
      </c>
      <c r="G16" s="5"/>
      <c r="H16" s="65">
        <v>0.48275862068965514</v>
      </c>
      <c r="I16" s="65">
        <v>0.48275862068965514</v>
      </c>
      <c r="J16" s="65">
        <v>0.48275862068965514</v>
      </c>
      <c r="K16" s="66">
        <v>0.48275862068965514</v>
      </c>
    </row>
    <row r="17" spans="6:17" ht="15.75" thickBot="1" x14ac:dyDescent="0.3">
      <c r="F17" s="13" t="s">
        <v>20</v>
      </c>
      <c r="G17" s="14" t="s">
        <v>1</v>
      </c>
      <c r="H17" s="15">
        <f>H15*H16</f>
        <v>76.49974016861556</v>
      </c>
      <c r="I17" s="15">
        <f>I15*I16</f>
        <v>95.624675210769439</v>
      </c>
      <c r="J17" s="15">
        <f>J15*J16</f>
        <v>66.980620265557704</v>
      </c>
      <c r="K17" s="62">
        <f>K15*K16</f>
        <v>63.72461789153752</v>
      </c>
    </row>
    <row r="18" spans="6:17" x14ac:dyDescent="0.25">
      <c r="J18" s="19"/>
      <c r="K18" s="19"/>
    </row>
    <row r="19" spans="6:17" x14ac:dyDescent="0.25">
      <c r="F19" s="17"/>
      <c r="G19" s="18"/>
      <c r="H19" s="19"/>
      <c r="I19" s="19"/>
      <c r="J19" s="19"/>
      <c r="K19" s="19"/>
    </row>
    <row r="20" spans="6:17" x14ac:dyDescent="0.25">
      <c r="F20" s="16"/>
      <c r="G20" s="16"/>
      <c r="H20" s="16"/>
      <c r="I20" s="16"/>
      <c r="J20" s="16"/>
      <c r="K20" s="16"/>
    </row>
    <row r="21" spans="6:17" x14ac:dyDescent="0.25">
      <c r="F21" s="20" t="s">
        <v>11</v>
      </c>
      <c r="G21" s="21" t="s">
        <v>12</v>
      </c>
      <c r="H21" s="22">
        <v>0.01</v>
      </c>
      <c r="I21" s="22">
        <v>0.01</v>
      </c>
      <c r="J21" s="22"/>
      <c r="K21" s="22"/>
    </row>
    <row r="22" spans="6:17" x14ac:dyDescent="0.25">
      <c r="F22" s="23" t="str">
        <f>F8</f>
        <v>Investeringskostnader</v>
      </c>
      <c r="G22" s="24" t="s">
        <v>13</v>
      </c>
      <c r="H22" s="25">
        <f>H13*100*1000*H6</f>
        <v>17500000</v>
      </c>
      <c r="I22" s="25">
        <f>I13*100*1000*I6</f>
        <v>21875000</v>
      </c>
      <c r="J22" s="25">
        <f>J13*100*1000*J6</f>
        <v>144540615.08131155</v>
      </c>
      <c r="K22" s="25">
        <f>K13*100*1000*K6</f>
        <v>687571675.90762782</v>
      </c>
    </row>
    <row r="23" spans="6:17" x14ac:dyDescent="0.25">
      <c r="F23" s="26" t="str">
        <f>F14</f>
        <v>Faste driftskostnader</v>
      </c>
      <c r="G23" s="27" t="s">
        <v>13</v>
      </c>
      <c r="H23" s="28">
        <f>-PV($C$7,$C$6,H14*100*1000*H6)</f>
        <v>1118543.663848486</v>
      </c>
      <c r="I23" s="28">
        <f>-PV($C$7,$C$6,I14*100*1000*I6)</f>
        <v>1398179.5798106077</v>
      </c>
      <c r="J23" s="28">
        <f>-PV($C$7,$C$6,J14*100*1000*J6)</f>
        <v>18477141.619195882</v>
      </c>
      <c r="K23" s="28">
        <f>-PV($C$7,$C$6,K14*100*1000*K6)</f>
        <v>87894736.174647063</v>
      </c>
      <c r="Q23">
        <f>0.58/1.19</f>
        <v>0.48739495798319327</v>
      </c>
    </row>
    <row r="24" spans="6:17" x14ac:dyDescent="0.25">
      <c r="F24" s="26" t="s">
        <v>14</v>
      </c>
      <c r="G24" s="27" t="s">
        <v>2</v>
      </c>
      <c r="H24" s="28">
        <f>-PV($C$7,$C$6,H29*1000000)</f>
        <v>117494.02597444506</v>
      </c>
      <c r="I24" s="28">
        <f>-PV($C$7,$C$6,I29*1000000)</f>
        <v>117494.02597444506</v>
      </c>
      <c r="J24" s="28">
        <f t="shared" ref="J24:K24" si="0">-PV($C$7,$C$6,J29*1000000)</f>
        <v>1174940.2597444502</v>
      </c>
      <c r="K24" s="28">
        <f t="shared" si="0"/>
        <v>5874701.2987222522</v>
      </c>
      <c r="M24">
        <f>25*H14*10</f>
        <v>21875</v>
      </c>
    </row>
    <row r="25" spans="6:17" x14ac:dyDescent="0.25">
      <c r="F25" s="49"/>
      <c r="G25" s="12"/>
      <c r="H25" s="50"/>
      <c r="I25" s="50"/>
      <c r="J25" s="50"/>
      <c r="K25" s="50"/>
    </row>
    <row r="26" spans="6:17" x14ac:dyDescent="0.25">
      <c r="F26" s="17" t="s">
        <v>9</v>
      </c>
      <c r="G26" s="27" t="s">
        <v>10</v>
      </c>
      <c r="H26" s="64">
        <f>H7*H6/1000</f>
        <v>9.2000000000000016E-3</v>
      </c>
      <c r="I26" s="64">
        <f>I7*I6/1000</f>
        <v>9.2000000000000016E-3</v>
      </c>
      <c r="J26" s="64">
        <f t="shared" ref="J26:K26" si="1">J7*J6/1000</f>
        <v>9.1999999999999998E-2</v>
      </c>
      <c r="K26" s="64">
        <f t="shared" si="1"/>
        <v>0.46</v>
      </c>
    </row>
    <row r="27" spans="6:17" x14ac:dyDescent="0.25">
      <c r="F27" s="17"/>
      <c r="G27" s="27"/>
      <c r="H27" s="19"/>
      <c r="I27" s="19"/>
      <c r="J27" s="19"/>
      <c r="K27" s="19"/>
    </row>
    <row r="28" spans="6:17" x14ac:dyDescent="0.25">
      <c r="F28" s="29"/>
      <c r="G28" s="27"/>
      <c r="H28" s="28"/>
      <c r="I28" s="28"/>
      <c r="J28" s="28"/>
      <c r="K28" s="28"/>
    </row>
    <row r="29" spans="6:17" x14ac:dyDescent="0.25">
      <c r="F29" s="29" t="s">
        <v>15</v>
      </c>
      <c r="G29" s="27" t="s">
        <v>26</v>
      </c>
      <c r="H29" s="28">
        <f>($C$6*H26*(1-$C$8/100)^($C$6-1))/25</f>
        <v>9.1911720615285106E-3</v>
      </c>
      <c r="I29" s="28">
        <f>($C$6*I26*(1-$C$8/100)^($C$6-1))/25</f>
        <v>9.1911720615285106E-3</v>
      </c>
      <c r="J29" s="28">
        <f t="shared" ref="J29:K29" si="2">($C$6*J26*(1-$C$8/100)^($C$6-1))/25</f>
        <v>9.1911720615285089E-2</v>
      </c>
      <c r="K29" s="28">
        <f t="shared" si="2"/>
        <v>0.45955860307642543</v>
      </c>
    </row>
    <row r="30" spans="6:17" x14ac:dyDescent="0.25">
      <c r="G30" s="51"/>
      <c r="H30" s="52"/>
      <c r="I30" s="52"/>
      <c r="J30" s="52"/>
      <c r="K30" s="52"/>
    </row>
    <row r="31" spans="6:17" x14ac:dyDescent="0.25">
      <c r="M31">
        <f>H22/100</f>
        <v>175000</v>
      </c>
    </row>
    <row r="32" spans="6:17" x14ac:dyDescent="0.25">
      <c r="M32">
        <f>H23/100</f>
        <v>11185.43663848486</v>
      </c>
    </row>
    <row r="35" spans="13:14" x14ac:dyDescent="0.25">
      <c r="M35">
        <f>10*0.92/1000</f>
        <v>9.2000000000000016E-3</v>
      </c>
      <c r="N35">
        <f>M35*25</f>
        <v>0.23000000000000004</v>
      </c>
    </row>
  </sheetData>
  <mergeCells count="1">
    <mergeCell ref="F4:K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Kostnad 2016</vt:lpstr>
    </vt:vector>
  </TitlesOfParts>
  <Company>NVE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Olav Karstad Isachsen</dc:creator>
  <cp:lastModifiedBy>Olav Karstad Isachsen</cp:lastModifiedBy>
  <dcterms:created xsi:type="dcterms:W3CDTF">2016-11-15T12:54:30Z</dcterms:created>
  <dcterms:modified xsi:type="dcterms:W3CDTF">2017-03-17T14:08:20Z</dcterms:modified>
</cp:coreProperties>
</file>