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elles\Prosjekt\2016_Kostnadsrapport\Fase3\Regneark - MÅ IKKE FLYTTES\"/>
    </mc:Choice>
  </mc:AlternateContent>
  <bookViews>
    <workbookView xWindow="0" yWindow="0" windowWidth="28800" windowHeight="13365"/>
  </bookViews>
  <sheets>
    <sheet name="Kostnad 2016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32" i="2" s="1"/>
  <c r="K18" i="2"/>
  <c r="I18" i="2"/>
  <c r="I15" i="2"/>
  <c r="I32" i="2" s="1"/>
  <c r="C14" i="2" l="1"/>
  <c r="C13" i="2"/>
  <c r="I21" i="2" l="1"/>
  <c r="K21" i="2"/>
  <c r="I20" i="2"/>
  <c r="K20" i="2"/>
  <c r="C11" i="2"/>
  <c r="C6" i="2"/>
  <c r="C5" i="2"/>
  <c r="C4" i="2"/>
  <c r="C3" i="2"/>
  <c r="I36" i="2" l="1"/>
  <c r="I14" i="2"/>
  <c r="K14" i="2"/>
  <c r="K36" i="2"/>
  <c r="I16" i="2"/>
  <c r="I33" i="2" s="1"/>
  <c r="I24" i="2"/>
  <c r="I34" i="2" s="1"/>
  <c r="K24" i="2"/>
  <c r="K34" i="2" s="1"/>
  <c r="K16" i="2"/>
  <c r="K33" i="2" s="1"/>
  <c r="L26" i="2"/>
  <c r="J32" i="2" l="1"/>
  <c r="H32" i="2" l="1"/>
  <c r="J21" i="2"/>
  <c r="J20" i="2"/>
  <c r="C12" i="2"/>
  <c r="N22" i="2" s="1"/>
  <c r="H21" i="2" l="1"/>
  <c r="L21" i="2"/>
  <c r="M21" i="2"/>
  <c r="N21" i="2"/>
  <c r="H20" i="2"/>
  <c r="N20" i="2"/>
  <c r="M20" i="2"/>
  <c r="L20" i="2"/>
  <c r="J18" i="2"/>
  <c r="L18" i="2"/>
  <c r="M18" i="2"/>
  <c r="N18" i="2"/>
  <c r="C10" i="2"/>
  <c r="M19" i="2" s="1"/>
  <c r="M23" i="2" s="1"/>
  <c r="H18" i="2"/>
  <c r="C8" i="2"/>
  <c r="L19" i="2" l="1"/>
  <c r="L23" i="2" s="1"/>
  <c r="N19" i="2"/>
  <c r="N23" i="2" s="1"/>
  <c r="C9" i="2" l="1"/>
  <c r="C7" i="2"/>
  <c r="K7" i="2" l="1"/>
  <c r="I7" i="2"/>
  <c r="I19" i="2"/>
  <c r="I23" i="2" s="1"/>
  <c r="I35" i="2" s="1"/>
  <c r="I25" i="2" s="1"/>
  <c r="I27" i="2" s="1"/>
  <c r="K19" i="2"/>
  <c r="K23" i="2" s="1"/>
  <c r="K35" i="2" s="1"/>
  <c r="K25" i="2" s="1"/>
  <c r="K27" i="2" s="1"/>
  <c r="J36" i="2"/>
  <c r="N11" i="2"/>
  <c r="N10" i="2"/>
  <c r="M11" i="2"/>
  <c r="M16" i="2"/>
  <c r="M33" i="2" s="1"/>
  <c r="N24" i="2"/>
  <c r="N34" i="2" s="1"/>
  <c r="L13" i="2"/>
  <c r="L12" i="2"/>
  <c r="L10" i="2"/>
  <c r="N13" i="2"/>
  <c r="L24" i="2"/>
  <c r="L34" i="2" s="1"/>
  <c r="N12" i="2"/>
  <c r="N9" i="2"/>
  <c r="L11" i="2"/>
  <c r="H24" i="2"/>
  <c r="H34" i="2" s="1"/>
  <c r="H16" i="2"/>
  <c r="H33" i="2" s="1"/>
  <c r="M13" i="2"/>
  <c r="M12" i="2"/>
  <c r="M10" i="2"/>
  <c r="M9" i="2"/>
  <c r="M24" i="2"/>
  <c r="M34" i="2" s="1"/>
  <c r="J24" i="2"/>
  <c r="J34" i="2" s="1"/>
  <c r="L9" i="2"/>
  <c r="J16" i="2"/>
  <c r="J33" i="2" s="1"/>
  <c r="L16" i="2"/>
  <c r="L33" i="2" s="1"/>
  <c r="N16" i="2"/>
  <c r="N33" i="2" s="1"/>
  <c r="L35" i="2"/>
  <c r="N36" i="2"/>
  <c r="M35" i="2"/>
  <c r="N35" i="2"/>
  <c r="L36" i="2"/>
  <c r="M36" i="2"/>
  <c r="H36" i="2"/>
  <c r="M7" i="2"/>
  <c r="N7" i="2"/>
  <c r="J7" i="2"/>
  <c r="L7" i="2"/>
  <c r="H7" i="2"/>
  <c r="J19" i="2"/>
  <c r="J23" i="2" s="1"/>
  <c r="J35" i="2" s="1"/>
  <c r="H19" i="2"/>
  <c r="H23" i="2" s="1"/>
  <c r="H35" i="2" s="1"/>
  <c r="J14" i="2"/>
  <c r="H14" i="2" l="1"/>
  <c r="L14" i="2"/>
  <c r="N14" i="2"/>
  <c r="N15" i="2" s="1"/>
  <c r="J25" i="2"/>
  <c r="J27" i="2" s="1"/>
  <c r="H25" i="2"/>
  <c r="M14" i="2"/>
  <c r="M15" i="2" s="1"/>
  <c r="L15" i="2"/>
  <c r="F34" i="2"/>
  <c r="F33" i="2"/>
  <c r="F32" i="2"/>
  <c r="L32" i="2" l="1"/>
  <c r="N32" i="2"/>
  <c r="M32" i="2"/>
  <c r="H27" i="2"/>
  <c r="L25" i="2" l="1"/>
  <c r="L27" i="2" s="1"/>
  <c r="M25" i="2"/>
  <c r="M27" i="2" s="1"/>
  <c r="N25" i="2"/>
  <c r="N27" i="2" s="1"/>
</calcChain>
</file>

<file path=xl/comments1.xml><?xml version="1.0" encoding="utf-8"?>
<comments xmlns="http://schemas.openxmlformats.org/spreadsheetml/2006/main">
  <authors>
    <author>Maria Sidelnikova</author>
  </authors>
  <commentList>
    <comment ref="H15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Basert på anslag fra leverandører i Norge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Basert på anslag fra leverandører i Norge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Basert på anslag fra leverandører i Norge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Basert på anslag fra leverandører i Norge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H24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J24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</rPr>
          <t>Maria Sidelnikova:</t>
        </r>
        <r>
          <rPr>
            <sz val="8"/>
            <color indexed="81"/>
            <rFont val="Tahoma"/>
            <family val="2"/>
          </rPr>
          <t xml:space="preserve">
Antatt lik gasskjel</t>
        </r>
      </text>
    </comment>
  </commentList>
</comments>
</file>

<file path=xl/sharedStrings.xml><?xml version="1.0" encoding="utf-8"?>
<sst xmlns="http://schemas.openxmlformats.org/spreadsheetml/2006/main" count="96" uniqueCount="64">
  <si>
    <t>Faste driftskostnader</t>
  </si>
  <si>
    <t>%</t>
  </si>
  <si>
    <t>øre/kWh</t>
  </si>
  <si>
    <t>Enhet</t>
  </si>
  <si>
    <t>Ytelse</t>
  </si>
  <si>
    <t xml:space="preserve">Fullasttimer </t>
  </si>
  <si>
    <t>timer/år</t>
  </si>
  <si>
    <t>Investeringskostnader</t>
  </si>
  <si>
    <t>Prosjektering og administrasjon</t>
  </si>
  <si>
    <t xml:space="preserve">   Byggetidsrenter     </t>
  </si>
  <si>
    <t xml:space="preserve">Sum investeringskostnader </t>
  </si>
  <si>
    <t xml:space="preserve">Spesifikt brenselforbruk  </t>
  </si>
  <si>
    <t>CO2-avgift</t>
  </si>
  <si>
    <t>NOx-avgift</t>
  </si>
  <si>
    <t>Brensels- og utslippskostnader</t>
  </si>
  <si>
    <t>Variable kostnader eks brensel</t>
  </si>
  <si>
    <t>Nåverdier</t>
  </si>
  <si>
    <t>øre</t>
  </si>
  <si>
    <t>Produsert varme</t>
  </si>
  <si>
    <t>kWhv</t>
  </si>
  <si>
    <t>Merknad</t>
  </si>
  <si>
    <t>Kilde</t>
  </si>
  <si>
    <t>Faktor for teknologiforbedring 2016 - 2035</t>
  </si>
  <si>
    <t>LCOE 2016</t>
  </si>
  <si>
    <t>LCOE 2035</t>
  </si>
  <si>
    <t>år</t>
  </si>
  <si>
    <t>Byggetid</t>
  </si>
  <si>
    <t>Levetid</t>
  </si>
  <si>
    <t>Brenselskostnad</t>
  </si>
  <si>
    <t>Degraderingsrate</t>
  </si>
  <si>
    <t>prosent/år</t>
  </si>
  <si>
    <t>enhet</t>
  </si>
  <si>
    <t>Diskonteringsrente</t>
  </si>
  <si>
    <t>prosent</t>
  </si>
  <si>
    <t>MW</t>
  </si>
  <si>
    <t>kr/kW</t>
  </si>
  <si>
    <r>
      <t>kr/kW</t>
    </r>
    <r>
      <rPr>
        <sz val="10"/>
        <rFont val="Calibri"/>
        <family val="2"/>
        <scheme val="minor"/>
      </rPr>
      <t xml:space="preserve"> /år</t>
    </r>
  </si>
  <si>
    <t>Oljekjel</t>
  </si>
  <si>
    <t>kWh/liter</t>
  </si>
  <si>
    <t>faktor</t>
  </si>
  <si>
    <t>Inflasjon 2013-2016</t>
  </si>
  <si>
    <t>Kjel</t>
  </si>
  <si>
    <t>Installasjon</t>
  </si>
  <si>
    <t>Oljetank</t>
  </si>
  <si>
    <t>Øvrige kostnader (skorstein, etc)</t>
  </si>
  <si>
    <t>Energiinhold (øvre brennverdi)</t>
  </si>
  <si>
    <t>Energiinhold nedre brennverdi)</t>
  </si>
  <si>
    <t>øre/kWhbrensel</t>
  </si>
  <si>
    <t>kWhbrensel/kWh</t>
  </si>
  <si>
    <t>Brenselpris husholdninger</t>
  </si>
  <si>
    <t>Brenselpris industri</t>
  </si>
  <si>
    <t>Virkningsgrad (nedre bennverdi)</t>
  </si>
  <si>
    <t>Virkningsgrad (øvre bennverdi)</t>
  </si>
  <si>
    <t>NOx avgift</t>
  </si>
  <si>
    <t>Grunnavgift</t>
  </si>
  <si>
    <t>Norconsult</t>
  </si>
  <si>
    <t>Norconsult, basert på prisanslag fra to leverandører i Norge</t>
  </si>
  <si>
    <t>Dette er momentan virkningsgrad, årsvirkningsgrad ligger 5-15 % lavere.</t>
  </si>
  <si>
    <r>
      <t xml:space="preserve">Justert opp fra </t>
    </r>
    <r>
      <rPr>
        <i/>
        <sz val="11"/>
        <color theme="1"/>
        <rFont val="Calibri"/>
        <family val="2"/>
        <scheme val="minor"/>
      </rPr>
      <t xml:space="preserve">Kostnader i energisektoren 2015 </t>
    </r>
    <r>
      <rPr>
        <sz val="11"/>
        <color theme="1"/>
        <rFont val="Calibri"/>
        <family val="2"/>
        <scheme val="minor"/>
      </rPr>
      <t>vha infasjonsindeks</t>
    </r>
  </si>
  <si>
    <t>Justert opp fra Kostnader i energisektoren 2015 vha infasjonsindeks</t>
  </si>
  <si>
    <t>Dette er moden teknologi med lite potensiale for reduksjon i investeringskostnader. Kostnadsutvikling er sterkt avhengig av brenselspris og utslippskostnader som er antatt konstante her.</t>
  </si>
  <si>
    <t>Sum brensels- og utslippskostnader</t>
  </si>
  <si>
    <t>inkl. mva.</t>
  </si>
  <si>
    <t xml:space="preserve">Mva.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</si>
</sst>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General_)"/>
    <numFmt numFmtId="165" formatCode="0.0"/>
    <numFmt numFmtId="166" formatCode="0.0\ %"/>
    <numFmt numFmtId="167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Helv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1">
    <xf numFmtId="0" fontId="0" fillId="0" borderId="0" xfId="0"/>
    <xf numFmtId="164" fontId="7" fillId="0" borderId="1" xfId="1" applyFont="1" applyFill="1" applyBorder="1"/>
    <xf numFmtId="164" fontId="7" fillId="0" borderId="14" xfId="1" applyFont="1" applyFill="1" applyBorder="1"/>
    <xf numFmtId="164" fontId="7" fillId="0" borderId="2" xfId="1" applyFont="1" applyFill="1" applyBorder="1"/>
    <xf numFmtId="164" fontId="7" fillId="0" borderId="17" xfId="1" applyFont="1" applyFill="1" applyBorder="1" applyAlignment="1">
      <alignment horizontal="right"/>
    </xf>
    <xf numFmtId="164" fontId="4" fillId="0" borderId="2" xfId="1" applyFont="1" applyFill="1" applyBorder="1" applyAlignment="1">
      <alignment horizontal="left" indent="1"/>
    </xf>
    <xf numFmtId="164" fontId="4" fillId="0" borderId="17" xfId="1" applyFont="1" applyFill="1" applyBorder="1" applyAlignment="1">
      <alignment horizontal="right"/>
    </xf>
    <xf numFmtId="164" fontId="4" fillId="0" borderId="2" xfId="1" applyFont="1" applyFill="1" applyBorder="1"/>
    <xf numFmtId="164" fontId="4" fillId="0" borderId="15" xfId="1" applyFont="1" applyFill="1" applyBorder="1" applyAlignment="1">
      <alignment horizontal="right"/>
    </xf>
    <xf numFmtId="165" fontId="4" fillId="0" borderId="9" xfId="2" applyNumberFormat="1" applyFont="1" applyFill="1" applyBorder="1"/>
    <xf numFmtId="165" fontId="4" fillId="0" borderId="9" xfId="1" applyNumberFormat="1" applyFont="1" applyFill="1" applyBorder="1"/>
    <xf numFmtId="164" fontId="4" fillId="0" borderId="18" xfId="1" applyFont="1" applyFill="1" applyBorder="1"/>
    <xf numFmtId="164" fontId="4" fillId="0" borderId="20" xfId="1" applyFont="1" applyFill="1" applyBorder="1" applyAlignment="1">
      <alignment horizontal="right"/>
    </xf>
    <xf numFmtId="164" fontId="7" fillId="0" borderId="22" xfId="1" applyFont="1" applyFill="1" applyBorder="1"/>
    <xf numFmtId="164" fontId="7" fillId="0" borderId="23" xfId="1" applyFont="1" applyFill="1" applyBorder="1" applyAlignment="1">
      <alignment horizontal="right"/>
    </xf>
    <xf numFmtId="165" fontId="7" fillId="0" borderId="23" xfId="0" applyNumberFormat="1" applyFont="1" applyFill="1" applyBorder="1"/>
    <xf numFmtId="0" fontId="4" fillId="0" borderId="0" xfId="0" applyFont="1"/>
    <xf numFmtId="164" fontId="9" fillId="0" borderId="0" xfId="1" applyFont="1" applyFill="1" applyBorder="1"/>
    <xf numFmtId="164" fontId="9" fillId="0" borderId="0" xfId="1" applyFont="1" applyFill="1" applyBorder="1" applyAlignment="1">
      <alignment horizontal="right"/>
    </xf>
    <xf numFmtId="165" fontId="9" fillId="0" borderId="0" xfId="1" applyNumberFormat="1" applyFont="1" applyFill="1" applyBorder="1"/>
    <xf numFmtId="164" fontId="4" fillId="0" borderId="24" xfId="0" applyNumberFormat="1" applyFont="1" applyBorder="1"/>
    <xf numFmtId="0" fontId="4" fillId="0" borderId="8" xfId="0" applyFont="1" applyBorder="1" applyAlignment="1">
      <alignment horizontal="right"/>
    </xf>
    <xf numFmtId="164" fontId="4" fillId="0" borderId="4" xfId="0" applyNumberFormat="1" applyFont="1" applyBorder="1"/>
    <xf numFmtId="164" fontId="4" fillId="0" borderId="19" xfId="0" applyNumberFormat="1" applyFont="1" applyBorder="1"/>
    <xf numFmtId="0" fontId="4" fillId="0" borderId="17" xfId="0" applyFont="1" applyBorder="1" applyAlignment="1">
      <alignment horizontal="right"/>
    </xf>
    <xf numFmtId="40" fontId="4" fillId="0" borderId="0" xfId="0" applyNumberFormat="1" applyFont="1" applyBorder="1"/>
    <xf numFmtId="0" fontId="5" fillId="2" borderId="26" xfId="0" applyFont="1" applyFill="1" applyBorder="1"/>
    <xf numFmtId="0" fontId="5" fillId="2" borderId="27" xfId="0" applyFont="1" applyFill="1" applyBorder="1"/>
    <xf numFmtId="2" fontId="4" fillId="0" borderId="0" xfId="0" applyNumberFormat="1" applyFont="1"/>
    <xf numFmtId="0" fontId="2" fillId="0" borderId="0" xfId="0" applyFont="1" applyBorder="1"/>
    <xf numFmtId="0" fontId="0" fillId="3" borderId="0" xfId="0" applyFill="1"/>
    <xf numFmtId="164" fontId="5" fillId="3" borderId="2" xfId="1" applyFont="1" applyFill="1" applyBorder="1"/>
    <xf numFmtId="164" fontId="5" fillId="3" borderId="8" xfId="1" applyFont="1" applyFill="1" applyBorder="1" applyAlignment="1">
      <alignment horizontal="righ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64" fontId="5" fillId="3" borderId="9" xfId="1" applyFont="1" applyFill="1" applyBorder="1" applyAlignment="1">
      <alignment horizontal="right"/>
    </xf>
    <xf numFmtId="164" fontId="5" fillId="3" borderId="10" xfId="1" applyFont="1" applyFill="1" applyBorder="1" applyAlignment="1">
      <alignment horizontal="right"/>
    </xf>
    <xf numFmtId="40" fontId="0" fillId="0" borderId="0" xfId="0" applyNumberFormat="1"/>
    <xf numFmtId="0" fontId="0" fillId="0" borderId="0" xfId="0" applyBorder="1"/>
    <xf numFmtId="0" fontId="5" fillId="0" borderId="0" xfId="0" applyFont="1" applyFill="1" applyBorder="1"/>
    <xf numFmtId="166" fontId="2" fillId="0" borderId="0" xfId="3" applyNumberFormat="1" applyFont="1" applyBorder="1"/>
    <xf numFmtId="166" fontId="0" fillId="0" borderId="0" xfId="3" applyNumberFormat="1" applyFont="1" applyBorder="1"/>
    <xf numFmtId="164" fontId="5" fillId="3" borderId="0" xfId="1" applyFont="1" applyFill="1" applyBorder="1"/>
    <xf numFmtId="2" fontId="0" fillId="0" borderId="0" xfId="0" applyNumberFormat="1"/>
    <xf numFmtId="0" fontId="7" fillId="0" borderId="0" xfId="0" applyFont="1" applyBorder="1"/>
    <xf numFmtId="40" fontId="0" fillId="0" borderId="0" xfId="0" applyNumberFormat="1" applyBorder="1"/>
    <xf numFmtId="165" fontId="0" fillId="0" borderId="0" xfId="0" applyNumberFormat="1"/>
    <xf numFmtId="165" fontId="4" fillId="0" borderId="0" xfId="0" applyNumberFormat="1" applyFont="1" applyBorder="1"/>
    <xf numFmtId="0" fontId="5" fillId="2" borderId="29" xfId="0" applyFont="1" applyFill="1" applyBorder="1"/>
    <xf numFmtId="4" fontId="4" fillId="0" borderId="0" xfId="0" applyNumberFormat="1" applyFont="1"/>
    <xf numFmtId="0" fontId="0" fillId="0" borderId="0" xfId="0" applyAlignment="1">
      <alignment wrapText="1"/>
    </xf>
    <xf numFmtId="3" fontId="4" fillId="0" borderId="9" xfId="1" applyNumberFormat="1" applyFont="1" applyFill="1" applyBorder="1"/>
    <xf numFmtId="3" fontId="4" fillId="0" borderId="17" xfId="1" applyNumberFormat="1" applyFont="1" applyFill="1" applyBorder="1"/>
    <xf numFmtId="3" fontId="4" fillId="0" borderId="10" xfId="1" applyNumberFormat="1" applyFont="1" applyFill="1" applyBorder="1"/>
    <xf numFmtId="3" fontId="4" fillId="0" borderId="28" xfId="1" applyNumberFormat="1" applyFont="1" applyFill="1" applyBorder="1"/>
    <xf numFmtId="3" fontId="4" fillId="0" borderId="3" xfId="1" applyNumberFormat="1" applyFont="1" applyFill="1" applyBorder="1"/>
    <xf numFmtId="4" fontId="4" fillId="0" borderId="9" xfId="1" applyNumberFormat="1" applyFont="1" applyFill="1" applyBorder="1"/>
    <xf numFmtId="4" fontId="4" fillId="0" borderId="10" xfId="1" applyNumberFormat="1" applyFont="1" applyFill="1" applyBorder="1"/>
    <xf numFmtId="167" fontId="9" fillId="0" borderId="0" xfId="4" applyNumberFormat="1" applyFont="1" applyFill="1" applyBorder="1"/>
    <xf numFmtId="164" fontId="7" fillId="0" borderId="0" xfId="1" applyFont="1" applyFill="1" applyBorder="1"/>
    <xf numFmtId="0" fontId="7" fillId="0" borderId="0" xfId="0" applyFont="1" applyBorder="1" applyAlignment="1">
      <alignment horizontal="right"/>
    </xf>
    <xf numFmtId="164" fontId="4" fillId="0" borderId="30" xfId="0" applyNumberFormat="1" applyFont="1" applyBorder="1"/>
    <xf numFmtId="40" fontId="4" fillId="0" borderId="9" xfId="0" applyNumberFormat="1" applyFont="1" applyBorder="1"/>
    <xf numFmtId="164" fontId="4" fillId="0" borderId="31" xfId="0" applyNumberFormat="1" applyFont="1" applyBorder="1"/>
    <xf numFmtId="0" fontId="4" fillId="0" borderId="20" xfId="0" applyFont="1" applyBorder="1" applyAlignment="1">
      <alignment horizontal="right"/>
    </xf>
    <xf numFmtId="40" fontId="9" fillId="0" borderId="32" xfId="0" applyNumberFormat="1" applyFont="1" applyBorder="1"/>
    <xf numFmtId="40" fontId="9" fillId="0" borderId="21" xfId="0" applyNumberFormat="1" applyFont="1" applyBorder="1"/>
    <xf numFmtId="164" fontId="5" fillId="3" borderId="17" xfId="1" applyFont="1" applyFill="1" applyBorder="1" applyAlignment="1">
      <alignment horizontal="right"/>
    </xf>
    <xf numFmtId="9" fontId="4" fillId="0" borderId="3" xfId="1" applyNumberFormat="1" applyFont="1" applyFill="1" applyBorder="1"/>
    <xf numFmtId="9" fontId="4" fillId="0" borderId="25" xfId="1" applyNumberFormat="1" applyFont="1" applyFill="1" applyBorder="1"/>
    <xf numFmtId="164" fontId="7" fillId="0" borderId="9" xfId="1" applyFont="1" applyFill="1" applyBorder="1"/>
    <xf numFmtId="164" fontId="4" fillId="0" borderId="17" xfId="1" applyFont="1" applyFill="1" applyBorder="1"/>
    <xf numFmtId="164" fontId="4" fillId="0" borderId="10" xfId="1" applyFont="1" applyFill="1" applyBorder="1"/>
    <xf numFmtId="164" fontId="7" fillId="0" borderId="34" xfId="1" applyFont="1" applyFill="1" applyBorder="1"/>
    <xf numFmtId="3" fontId="4" fillId="0" borderId="21" xfId="2" applyNumberFormat="1" applyFont="1" applyFill="1" applyBorder="1"/>
    <xf numFmtId="3" fontId="4" fillId="0" borderId="35" xfId="2" applyNumberFormat="1" applyFont="1" applyFill="1" applyBorder="1"/>
    <xf numFmtId="164" fontId="4" fillId="0" borderId="33" xfId="1" applyFont="1" applyFill="1" applyBorder="1" applyAlignment="1">
      <alignment horizontal="right"/>
    </xf>
    <xf numFmtId="165" fontId="7" fillId="0" borderId="11" xfId="0" applyNumberFormat="1" applyFont="1" applyFill="1" applyBorder="1"/>
    <xf numFmtId="2" fontId="0" fillId="0" borderId="15" xfId="0" applyNumberFormat="1" applyFill="1" applyBorder="1"/>
    <xf numFmtId="0" fontId="6" fillId="3" borderId="8" xfId="0" applyFont="1" applyFill="1" applyBorder="1" applyAlignment="1">
      <alignment horizontal="center"/>
    </xf>
    <xf numFmtId="164" fontId="5" fillId="3" borderId="20" xfId="1" applyFont="1" applyFill="1" applyBorder="1" applyAlignment="1">
      <alignment horizontal="right"/>
    </xf>
    <xf numFmtId="3" fontId="4" fillId="0" borderId="16" xfId="1" applyNumberFormat="1" applyFont="1" applyFill="1" applyBorder="1"/>
    <xf numFmtId="164" fontId="7" fillId="0" borderId="36" xfId="1" applyFont="1" applyFill="1" applyBorder="1"/>
    <xf numFmtId="9" fontId="4" fillId="0" borderId="37" xfId="1" applyNumberFormat="1" applyFont="1" applyFill="1" applyBorder="1"/>
    <xf numFmtId="9" fontId="4" fillId="0" borderId="16" xfId="1" applyNumberFormat="1" applyFont="1" applyFill="1" applyBorder="1"/>
    <xf numFmtId="165" fontId="4" fillId="0" borderId="10" xfId="2" applyNumberFormat="1" applyFont="1" applyFill="1" applyBorder="1"/>
    <xf numFmtId="165" fontId="4" fillId="0" borderId="10" xfId="1" applyNumberFormat="1" applyFont="1" applyFill="1" applyBorder="1"/>
    <xf numFmtId="2" fontId="0" fillId="0" borderId="37" xfId="0" applyNumberFormat="1" applyFill="1" applyBorder="1"/>
    <xf numFmtId="165" fontId="7" fillId="0" borderId="38" xfId="0" applyNumberFormat="1" applyFont="1" applyFill="1" applyBorder="1"/>
    <xf numFmtId="164" fontId="7" fillId="0" borderId="12" xfId="1" applyFont="1" applyFill="1" applyBorder="1" applyAlignment="1">
      <alignment horizontal="right"/>
    </xf>
    <xf numFmtId="4" fontId="4" fillId="0" borderId="13" xfId="1" applyNumberFormat="1" applyFont="1" applyFill="1" applyBorder="1"/>
    <xf numFmtId="4" fontId="4" fillId="0" borderId="39" xfId="1" applyNumberFormat="1" applyFont="1" applyFill="1" applyBorder="1"/>
    <xf numFmtId="165" fontId="7" fillId="0" borderId="40" xfId="0" applyNumberFormat="1" applyFont="1" applyFill="1" applyBorder="1"/>
    <xf numFmtId="2" fontId="4" fillId="0" borderId="0" xfId="0" applyNumberFormat="1" applyFont="1" applyBorder="1"/>
    <xf numFmtId="9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5">
    <cellStyle name="Komma" xfId="4" builtinId="3"/>
    <cellStyle name="Normal" xfId="0" builtinId="0"/>
    <cellStyle name="Normal_Ark1" xfId="1"/>
    <cellStyle name="Prosent" xfId="3" builtinId="5"/>
    <cellStyle name="Tusenskille_Ar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utset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nnverdier og priser"/>
      <sheetName val="CO2-avgift, grunnavgift"/>
      <sheetName val="CO2-kvoter"/>
      <sheetName val="byggetid levetid rente"/>
      <sheetName val="NOX avgift"/>
    </sheetNames>
    <sheetDataSet>
      <sheetData sheetId="0">
        <row r="5">
          <cell r="D5">
            <v>10.584</v>
          </cell>
          <cell r="E5">
            <v>9.9960000000000004</v>
          </cell>
        </row>
        <row r="57">
          <cell r="D57">
            <v>40.986394557823125</v>
          </cell>
        </row>
        <row r="58">
          <cell r="D58">
            <v>52.290916366546604</v>
          </cell>
        </row>
      </sheetData>
      <sheetData sheetId="1">
        <row r="4">
          <cell r="F4">
            <v>16.03641456582633</v>
          </cell>
          <cell r="H4">
            <v>12.004801920768307</v>
          </cell>
        </row>
      </sheetData>
      <sheetData sheetId="2"/>
      <sheetData sheetId="3">
        <row r="1">
          <cell r="C1">
            <v>1.07973174366617</v>
          </cell>
        </row>
        <row r="15">
          <cell r="C15">
            <v>1</v>
          </cell>
        </row>
        <row r="40">
          <cell r="C40">
            <v>20</v>
          </cell>
          <cell r="D40">
            <v>0.06</v>
          </cell>
          <cell r="E40">
            <v>1E-3</v>
          </cell>
        </row>
      </sheetData>
      <sheetData sheetId="4">
        <row r="10">
          <cell r="H10">
            <v>0.45719999999999994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K19" sqref="K19"/>
    </sheetView>
  </sheetViews>
  <sheetFormatPr baseColWidth="10" defaultRowHeight="15" x14ac:dyDescent="0.25"/>
  <cols>
    <col min="1" max="1" width="16.85546875" customWidth="1"/>
    <col min="6" max="6" width="35.7109375" customWidth="1"/>
    <col min="7" max="7" width="16.140625" customWidth="1"/>
    <col min="8" max="9" width="16" customWidth="1"/>
    <col min="10" max="10" width="13.28515625" bestFit="1" customWidth="1"/>
    <col min="11" max="11" width="13.28515625" customWidth="1"/>
    <col min="12" max="12" width="14.85546875" customWidth="1"/>
    <col min="13" max="13" width="16.85546875" customWidth="1"/>
    <col min="14" max="14" width="17.7109375" customWidth="1"/>
    <col min="15" max="15" width="31.28515625" customWidth="1"/>
    <col min="16" max="16" width="36.28515625" customWidth="1"/>
  </cols>
  <sheetData>
    <row r="1" spans="1:16" ht="15.75" thickBot="1" x14ac:dyDescent="0.3"/>
    <row r="2" spans="1:16" x14ac:dyDescent="0.25">
      <c r="A2" s="26"/>
      <c r="B2" s="26" t="s">
        <v>31</v>
      </c>
      <c r="C2" s="27"/>
      <c r="D2" s="39"/>
      <c r="F2" s="97" t="s">
        <v>37</v>
      </c>
      <c r="G2" s="98"/>
      <c r="H2" s="98"/>
      <c r="I2" s="98"/>
      <c r="J2" s="98"/>
      <c r="K2" s="98"/>
      <c r="L2" s="98"/>
      <c r="M2" s="98"/>
      <c r="N2" s="99"/>
      <c r="O2" s="30"/>
      <c r="P2" s="30"/>
    </row>
    <row r="3" spans="1:16" x14ac:dyDescent="0.25">
      <c r="A3" s="26" t="s">
        <v>26</v>
      </c>
      <c r="B3" t="s">
        <v>25</v>
      </c>
      <c r="C3">
        <f>'[1]byggetid levetid rente'!$C$15</f>
        <v>1</v>
      </c>
      <c r="E3" s="29"/>
      <c r="F3" s="31"/>
      <c r="G3" s="32" t="s">
        <v>3</v>
      </c>
      <c r="H3" s="33"/>
      <c r="I3" s="33" t="s">
        <v>62</v>
      </c>
      <c r="J3" s="33"/>
      <c r="K3" s="33" t="s">
        <v>62</v>
      </c>
      <c r="L3" s="79"/>
      <c r="M3" s="33"/>
      <c r="N3" s="34"/>
      <c r="O3" s="30"/>
      <c r="P3" s="30"/>
    </row>
    <row r="4" spans="1:16" x14ac:dyDescent="0.25">
      <c r="A4" s="26" t="s">
        <v>27</v>
      </c>
      <c r="B4" t="s">
        <v>25</v>
      </c>
      <c r="C4" s="38">
        <f>'[1]byggetid levetid rente'!$C$40</f>
        <v>20</v>
      </c>
      <c r="E4" s="29"/>
      <c r="F4" s="31" t="s">
        <v>4</v>
      </c>
      <c r="G4" s="67" t="s">
        <v>34</v>
      </c>
      <c r="H4" s="35">
        <v>0.01</v>
      </c>
      <c r="I4" s="35">
        <v>0.01</v>
      </c>
      <c r="J4" s="35">
        <v>0.15</v>
      </c>
      <c r="K4" s="35">
        <v>0.15</v>
      </c>
      <c r="L4" s="80">
        <v>1</v>
      </c>
      <c r="M4" s="35">
        <v>10</v>
      </c>
      <c r="N4" s="36">
        <v>20</v>
      </c>
      <c r="O4" s="42" t="s">
        <v>21</v>
      </c>
      <c r="P4" s="42" t="s">
        <v>20</v>
      </c>
    </row>
    <row r="5" spans="1:16" x14ac:dyDescent="0.25">
      <c r="A5" s="26" t="s">
        <v>32</v>
      </c>
      <c r="B5" t="s">
        <v>30</v>
      </c>
      <c r="C5" s="40">
        <f>'[1]byggetid levetid rente'!$D$40</f>
        <v>0.06</v>
      </c>
      <c r="E5" s="29"/>
      <c r="F5" s="2" t="s">
        <v>5</v>
      </c>
      <c r="G5" s="8" t="s">
        <v>6</v>
      </c>
      <c r="H5" s="55">
        <v>2500</v>
      </c>
      <c r="I5" s="55">
        <v>2500</v>
      </c>
      <c r="J5" s="55">
        <v>2500</v>
      </c>
      <c r="K5" s="55">
        <v>2500</v>
      </c>
      <c r="L5" s="55">
        <v>2500</v>
      </c>
      <c r="M5" s="55">
        <v>2500</v>
      </c>
      <c r="N5" s="81">
        <v>2500</v>
      </c>
      <c r="O5" t="s">
        <v>55</v>
      </c>
    </row>
    <row r="6" spans="1:16" ht="30" x14ac:dyDescent="0.25">
      <c r="A6" s="26" t="s">
        <v>29</v>
      </c>
      <c r="B6" s="16" t="s">
        <v>33</v>
      </c>
      <c r="C6" s="41">
        <f>'[1]byggetid levetid rente'!$E$40</f>
        <v>1E-3</v>
      </c>
      <c r="E6" s="16"/>
      <c r="F6" s="82" t="s">
        <v>51</v>
      </c>
      <c r="G6" s="8" t="s">
        <v>1</v>
      </c>
      <c r="H6" s="68">
        <v>0.92</v>
      </c>
      <c r="I6" s="68">
        <v>0.92</v>
      </c>
      <c r="J6" s="68">
        <v>0.92</v>
      </c>
      <c r="K6" s="68">
        <v>0.92</v>
      </c>
      <c r="L6" s="68">
        <v>0.92</v>
      </c>
      <c r="M6" s="69">
        <v>0.92</v>
      </c>
      <c r="N6" s="83">
        <v>0.92</v>
      </c>
      <c r="O6" t="s">
        <v>55</v>
      </c>
      <c r="P6" s="50" t="s">
        <v>57</v>
      </c>
    </row>
    <row r="7" spans="1:16" x14ac:dyDescent="0.25">
      <c r="A7" s="26" t="s">
        <v>45</v>
      </c>
      <c r="B7" s="16" t="s">
        <v>38</v>
      </c>
      <c r="C7" s="93">
        <f>'[1]Brennverdier og priser'!$D$5</f>
        <v>10.584</v>
      </c>
      <c r="D7" s="16"/>
      <c r="E7" s="16"/>
      <c r="F7" s="2" t="s">
        <v>52</v>
      </c>
      <c r="G7" s="8" t="s">
        <v>1</v>
      </c>
      <c r="H7" s="68">
        <f>H6/$C$7*$C$8</f>
        <v>0.86888888888888904</v>
      </c>
      <c r="I7" s="68">
        <f>I6/$C$7*$C$8</f>
        <v>0.86888888888888904</v>
      </c>
      <c r="J7" s="68">
        <f t="shared" ref="J7:N7" si="0">J6/$C$7*$C$8</f>
        <v>0.86888888888888904</v>
      </c>
      <c r="K7" s="68">
        <f t="shared" ref="K7" si="1">K6/$C$7*$C$8</f>
        <v>0.86888888888888904</v>
      </c>
      <c r="L7" s="68">
        <f t="shared" si="0"/>
        <v>0.86888888888888904</v>
      </c>
      <c r="M7" s="68">
        <f t="shared" si="0"/>
        <v>0.86888888888888904</v>
      </c>
      <c r="N7" s="84">
        <f t="shared" si="0"/>
        <v>0.86888888888888904</v>
      </c>
    </row>
    <row r="8" spans="1:16" x14ac:dyDescent="0.25">
      <c r="A8" s="26" t="s">
        <v>46</v>
      </c>
      <c r="B8" s="16" t="s">
        <v>38</v>
      </c>
      <c r="C8" s="43">
        <f>'[1]Brennverdier og priser'!$E$5</f>
        <v>9.9960000000000004</v>
      </c>
      <c r="E8" s="16"/>
      <c r="F8" s="3" t="s">
        <v>7</v>
      </c>
      <c r="G8" s="4"/>
      <c r="H8" s="70"/>
      <c r="I8" s="70"/>
      <c r="J8" s="70"/>
      <c r="K8" s="70"/>
      <c r="L8" s="71"/>
      <c r="M8" s="70"/>
      <c r="N8" s="72"/>
    </row>
    <row r="9" spans="1:16" ht="45" customHeight="1" x14ac:dyDescent="0.25">
      <c r="A9" s="26" t="s">
        <v>49</v>
      </c>
      <c r="B9" s="16" t="s">
        <v>47</v>
      </c>
      <c r="C9" s="47">
        <f>'[1]Brennverdier og priser'!$D$58</f>
        <v>52.290916366546604</v>
      </c>
      <c r="E9" s="16"/>
      <c r="F9" s="5" t="s">
        <v>41</v>
      </c>
      <c r="G9" s="6" t="s">
        <v>35</v>
      </c>
      <c r="H9" s="51"/>
      <c r="I9" s="51"/>
      <c r="J9" s="51"/>
      <c r="K9" s="51"/>
      <c r="L9" s="52">
        <f>290*C11</f>
        <v>313.12220566318928</v>
      </c>
      <c r="M9" s="51">
        <f>350*C11</f>
        <v>377.90611028315948</v>
      </c>
      <c r="N9" s="53">
        <f>250*C11</f>
        <v>269.93293591654248</v>
      </c>
      <c r="O9" s="95" t="s">
        <v>56</v>
      </c>
      <c r="P9" s="96" t="s">
        <v>58</v>
      </c>
    </row>
    <row r="10" spans="1:16" x14ac:dyDescent="0.25">
      <c r="A10" s="26" t="s">
        <v>50</v>
      </c>
      <c r="B10" s="16" t="s">
        <v>47</v>
      </c>
      <c r="C10" s="46">
        <f>'[1]Brennverdier og priser'!$D$57</f>
        <v>40.986394557823125</v>
      </c>
      <c r="D10" s="16"/>
      <c r="E10" s="16"/>
      <c r="F10" s="5" t="s">
        <v>42</v>
      </c>
      <c r="G10" s="6" t="s">
        <v>35</v>
      </c>
      <c r="H10" s="51"/>
      <c r="I10" s="51"/>
      <c r="J10" s="51"/>
      <c r="K10" s="51"/>
      <c r="L10" s="52">
        <f>150*C11</f>
        <v>161.9597615499255</v>
      </c>
      <c r="M10" s="51">
        <f>30*C11</f>
        <v>32.391952309985101</v>
      </c>
      <c r="N10" s="53">
        <f>15*C11</f>
        <v>16.19597615499255</v>
      </c>
      <c r="O10" s="95"/>
      <c r="P10" s="96"/>
    </row>
    <row r="11" spans="1:16" x14ac:dyDescent="0.25">
      <c r="A11" s="26" t="s">
        <v>40</v>
      </c>
      <c r="B11" s="16" t="s">
        <v>39</v>
      </c>
      <c r="C11" s="43">
        <f>'[1]byggetid levetid rente'!$C$1</f>
        <v>1.07973174366617</v>
      </c>
      <c r="E11" s="28"/>
      <c r="F11" s="5" t="s">
        <v>43</v>
      </c>
      <c r="G11" s="6" t="s">
        <v>35</v>
      </c>
      <c r="H11" s="51"/>
      <c r="I11" s="51"/>
      <c r="J11" s="51"/>
      <c r="K11" s="51"/>
      <c r="L11" s="52">
        <f>170*C11</f>
        <v>183.5543964232489</v>
      </c>
      <c r="M11" s="51">
        <f>80*C11</f>
        <v>86.378539493293601</v>
      </c>
      <c r="N11" s="53">
        <f>80*C11</f>
        <v>86.378539493293601</v>
      </c>
      <c r="O11" s="95"/>
      <c r="P11" s="96"/>
    </row>
    <row r="12" spans="1:16" x14ac:dyDescent="0.25">
      <c r="A12" s="48" t="s">
        <v>53</v>
      </c>
      <c r="B12" s="16" t="s">
        <v>47</v>
      </c>
      <c r="C12" s="43">
        <f>'[1]NOX avgift'!$H$10</f>
        <v>0.45719999999999994</v>
      </c>
      <c r="E12" s="28"/>
      <c r="F12" s="5" t="s">
        <v>8</v>
      </c>
      <c r="G12" s="6" t="s">
        <v>35</v>
      </c>
      <c r="H12" s="51"/>
      <c r="I12" s="51"/>
      <c r="J12" s="51"/>
      <c r="K12" s="51"/>
      <c r="L12" s="52">
        <f>100*C11</f>
        <v>107.973174366617</v>
      </c>
      <c r="M12" s="51">
        <f>69*C11</f>
        <v>74.501490312965728</v>
      </c>
      <c r="N12" s="53">
        <f>51.75*C11</f>
        <v>55.876117734724296</v>
      </c>
      <c r="O12" s="95"/>
      <c r="P12" s="96"/>
    </row>
    <row r="13" spans="1:16" x14ac:dyDescent="0.25">
      <c r="A13" s="48" t="s">
        <v>12</v>
      </c>
      <c r="B13" s="16" t="s">
        <v>47</v>
      </c>
      <c r="C13" s="49">
        <f>'[1]CO2-avgift, grunnavgift'!$H$4</f>
        <v>12.004801920768307</v>
      </c>
      <c r="D13" s="28"/>
      <c r="E13" s="28"/>
      <c r="F13" s="5" t="s">
        <v>44</v>
      </c>
      <c r="G13" s="6" t="s">
        <v>35</v>
      </c>
      <c r="H13" s="51"/>
      <c r="I13" s="51"/>
      <c r="J13" s="51"/>
      <c r="K13" s="51"/>
      <c r="L13" s="52">
        <f>72.5*C11</f>
        <v>78.280551415797319</v>
      </c>
      <c r="M13" s="51">
        <f>87.5*C11</f>
        <v>94.47652757078987</v>
      </c>
      <c r="N13" s="54">
        <f>62.5*C11</f>
        <v>67.483233979135619</v>
      </c>
      <c r="O13" s="95"/>
      <c r="P13" s="96"/>
    </row>
    <row r="14" spans="1:16" x14ac:dyDescent="0.25">
      <c r="A14" s="48" t="s">
        <v>54</v>
      </c>
      <c r="B14" s="16" t="s">
        <v>47</v>
      </c>
      <c r="C14" s="49">
        <f>'[1]CO2-avgift, grunnavgift'!$F$4</f>
        <v>16.03641456582633</v>
      </c>
      <c r="D14" s="28"/>
      <c r="E14" s="28"/>
      <c r="F14" s="7" t="s">
        <v>9</v>
      </c>
      <c r="G14" s="6" t="s">
        <v>35</v>
      </c>
      <c r="H14" s="51">
        <f>SUM(H9:H13)*(((1+($C$5))*((1+$C$5)^($C$3)-1))/($C$5*$C$3))-SUM(H9:H13)</f>
        <v>0</v>
      </c>
      <c r="I14" s="51">
        <f>SUM(I9:I13)*(((1+($C$5))*((1+$C$5)^($C$3)-1))/($C$5*$C$3))-SUM(I9:I13)</f>
        <v>0</v>
      </c>
      <c r="J14" s="51">
        <f t="shared" ref="J14:M14" si="2">SUM(J9:J13)*(((1+($C$5))*((1+$C$5)^($C$3)-1))/($C$5*$C$3))-SUM(J9:J13)</f>
        <v>0</v>
      </c>
      <c r="K14" s="51">
        <f t="shared" ref="K14" si="3">SUM(K9:K13)*(((1+($C$5))*((1+$C$5)^($C$3)-1))/($C$5*$C$3))-SUM(K9:K13)</f>
        <v>0</v>
      </c>
      <c r="L14" s="51">
        <f>SUM(L9:L13)*(((1+($C$5))*((1+$C$5)^($C$3)-1))/($C$5*$C$3))-SUM(L9:L13)</f>
        <v>50.693405365127433</v>
      </c>
      <c r="M14" s="51">
        <f t="shared" si="2"/>
        <v>39.939277198212267</v>
      </c>
      <c r="N14" s="53">
        <f>SUM(N9:N13)*(((1+($C$5))*((1+$C$5)^($C$3)-1))/($C$5*$C$3))-SUM(N9:N13)</f>
        <v>29.752008196721818</v>
      </c>
    </row>
    <row r="15" spans="1:16" x14ac:dyDescent="0.25">
      <c r="A15" s="48" t="s">
        <v>63</v>
      </c>
      <c r="B15" s="16" t="s">
        <v>33</v>
      </c>
      <c r="C15" s="94">
        <v>0.25</v>
      </c>
      <c r="F15" s="73" t="s">
        <v>10</v>
      </c>
      <c r="G15" s="12" t="s">
        <v>35</v>
      </c>
      <c r="H15" s="74">
        <v>6000</v>
      </c>
      <c r="I15" s="74">
        <f>6000*(1+C15)</f>
        <v>7500</v>
      </c>
      <c r="J15" s="74">
        <v>2500</v>
      </c>
      <c r="K15" s="74">
        <f>2500*(1+C15)</f>
        <v>3125</v>
      </c>
      <c r="L15" s="74">
        <f>SUM(L9:L14)</f>
        <v>895.58349478390551</v>
      </c>
      <c r="M15" s="74">
        <f>SUM(M9:M14)</f>
        <v>705.5938971684061</v>
      </c>
      <c r="N15" s="75">
        <f>SUM(N9:N14)</f>
        <v>525.61881147541033</v>
      </c>
    </row>
    <row r="16" spans="1:16" ht="45" x14ac:dyDescent="0.25">
      <c r="F16" s="2" t="s">
        <v>0</v>
      </c>
      <c r="G16" s="8" t="s">
        <v>36</v>
      </c>
      <c r="H16" s="55">
        <f>400*C11</f>
        <v>431.89269746646801</v>
      </c>
      <c r="I16" s="55">
        <f>400*C11*(1+C15)</f>
        <v>539.86587183308507</v>
      </c>
      <c r="J16" s="55">
        <f>30*C11</f>
        <v>32.391952309985101</v>
      </c>
      <c r="K16" s="55">
        <f>30*C11*(1+C15)</f>
        <v>40.489940387481376</v>
      </c>
      <c r="L16" s="55">
        <f>4*$C$11</f>
        <v>4.3189269746646799</v>
      </c>
      <c r="M16" s="55">
        <f>4*$C$11</f>
        <v>4.3189269746646799</v>
      </c>
      <c r="N16" s="81">
        <f>2*C11</f>
        <v>2.1594634873323399</v>
      </c>
      <c r="O16" s="50" t="s">
        <v>56</v>
      </c>
      <c r="P16" s="50" t="s">
        <v>59</v>
      </c>
    </row>
    <row r="17" spans="6:16" x14ac:dyDescent="0.25">
      <c r="F17" s="3" t="s">
        <v>14</v>
      </c>
      <c r="G17" s="6"/>
      <c r="H17" s="51"/>
      <c r="I17" s="51"/>
      <c r="J17" s="51"/>
      <c r="K17" s="51"/>
      <c r="L17" s="51"/>
      <c r="M17" s="51"/>
      <c r="N17" s="53"/>
      <c r="O17" s="50"/>
      <c r="P17" s="50"/>
    </row>
    <row r="18" spans="6:16" x14ac:dyDescent="0.25">
      <c r="F18" s="7" t="s">
        <v>11</v>
      </c>
      <c r="G18" s="6" t="s">
        <v>48</v>
      </c>
      <c r="H18" s="9">
        <f t="shared" ref="H18:N18" si="4">1/H6</f>
        <v>1.0869565217391304</v>
      </c>
      <c r="I18" s="9">
        <f t="shared" si="4"/>
        <v>1.0869565217391304</v>
      </c>
      <c r="J18" s="9">
        <f t="shared" si="4"/>
        <v>1.0869565217391304</v>
      </c>
      <c r="K18" s="9">
        <f t="shared" si="4"/>
        <v>1.0869565217391304</v>
      </c>
      <c r="L18" s="9">
        <f t="shared" si="4"/>
        <v>1.0869565217391304</v>
      </c>
      <c r="M18" s="9">
        <f t="shared" si="4"/>
        <v>1.0869565217391304</v>
      </c>
      <c r="N18" s="85">
        <f t="shared" si="4"/>
        <v>1.0869565217391304</v>
      </c>
    </row>
    <row r="19" spans="6:16" x14ac:dyDescent="0.25">
      <c r="F19" s="7" t="s">
        <v>28</v>
      </c>
      <c r="G19" s="6" t="s">
        <v>47</v>
      </c>
      <c r="H19" s="10">
        <f>C9</f>
        <v>52.290916366546604</v>
      </c>
      <c r="I19" s="10">
        <f>C9*(1+C15)</f>
        <v>65.363645458183257</v>
      </c>
      <c r="J19" s="10">
        <f>C9</f>
        <v>52.290916366546604</v>
      </c>
      <c r="K19" s="10">
        <f>C9*(1+C15)</f>
        <v>65.363645458183257</v>
      </c>
      <c r="L19" s="10">
        <f>$C$10</f>
        <v>40.986394557823125</v>
      </c>
      <c r="M19" s="10">
        <f t="shared" ref="M19:N19" si="5">$C$10</f>
        <v>40.986394557823125</v>
      </c>
      <c r="N19" s="86">
        <f t="shared" si="5"/>
        <v>40.986394557823125</v>
      </c>
    </row>
    <row r="20" spans="6:16" x14ac:dyDescent="0.25">
      <c r="F20" s="11" t="s">
        <v>12</v>
      </c>
      <c r="G20" s="6" t="s">
        <v>47</v>
      </c>
      <c r="H20" s="51">
        <f>$C$13</f>
        <v>12.004801920768307</v>
      </c>
      <c r="I20" s="51">
        <f>$C$13*(1+C15)</f>
        <v>15.006002400960384</v>
      </c>
      <c r="J20" s="51">
        <f t="shared" ref="J20:N20" si="6">$C$13</f>
        <v>12.004801920768307</v>
      </c>
      <c r="K20" s="51">
        <f>$C$13*(1+C15)</f>
        <v>15.006002400960384</v>
      </c>
      <c r="L20" s="51">
        <f t="shared" si="6"/>
        <v>12.004801920768307</v>
      </c>
      <c r="M20" s="51">
        <f t="shared" si="6"/>
        <v>12.004801920768307</v>
      </c>
      <c r="N20" s="53">
        <f t="shared" si="6"/>
        <v>12.004801920768307</v>
      </c>
    </row>
    <row r="21" spans="6:16" x14ac:dyDescent="0.25">
      <c r="F21" s="11" t="s">
        <v>54</v>
      </c>
      <c r="G21" s="6" t="s">
        <v>47</v>
      </c>
      <c r="H21" s="51">
        <f>$C$14</f>
        <v>16.03641456582633</v>
      </c>
      <c r="I21" s="51">
        <f>$C$14*(1+C15)</f>
        <v>20.045518207282914</v>
      </c>
      <c r="J21" s="51">
        <f t="shared" ref="J21:N21" si="7">$C$14</f>
        <v>16.03641456582633</v>
      </c>
      <c r="K21" s="51">
        <f>$C$14*(1+C15)</f>
        <v>20.045518207282914</v>
      </c>
      <c r="L21" s="51">
        <f t="shared" si="7"/>
        <v>16.03641456582633</v>
      </c>
      <c r="M21" s="51">
        <f t="shared" si="7"/>
        <v>16.03641456582633</v>
      </c>
      <c r="N21" s="53">
        <f t="shared" si="7"/>
        <v>16.03641456582633</v>
      </c>
    </row>
    <row r="22" spans="6:16" x14ac:dyDescent="0.25">
      <c r="F22" s="11" t="s">
        <v>13</v>
      </c>
      <c r="G22" s="6" t="s">
        <v>47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6">
        <v>0</v>
      </c>
      <c r="N22" s="57">
        <f>$C$12</f>
        <v>0.45719999999999994</v>
      </c>
    </row>
    <row r="23" spans="6:16" x14ac:dyDescent="0.25">
      <c r="F23" s="3" t="s">
        <v>61</v>
      </c>
      <c r="G23" s="12" t="s">
        <v>2</v>
      </c>
      <c r="H23" s="9">
        <f t="shared" ref="H23:N23" si="8">SUM(H19:H22)*H18</f>
        <v>87.317535709936138</v>
      </c>
      <c r="I23" s="9">
        <f t="shared" si="8"/>
        <v>109.14691963742015</v>
      </c>
      <c r="J23" s="9">
        <f t="shared" si="8"/>
        <v>87.317535709936138</v>
      </c>
      <c r="K23" s="9">
        <f t="shared" si="8"/>
        <v>109.14691963742015</v>
      </c>
      <c r="L23" s="9">
        <f t="shared" si="8"/>
        <v>75.030012004801918</v>
      </c>
      <c r="M23" s="9">
        <f t="shared" si="8"/>
        <v>75.030012004801918</v>
      </c>
      <c r="N23" s="85">
        <f t="shared" si="8"/>
        <v>75.526968526541054</v>
      </c>
    </row>
    <row r="24" spans="6:16" ht="45" x14ac:dyDescent="0.25">
      <c r="F24" s="2" t="s">
        <v>15</v>
      </c>
      <c r="G24" s="76" t="s">
        <v>2</v>
      </c>
      <c r="H24" s="78">
        <f>1*$C$11</f>
        <v>1.07973174366617</v>
      </c>
      <c r="I24" s="78">
        <f>1*$C$11*(1+C15)</f>
        <v>1.3496646795827125</v>
      </c>
      <c r="J24" s="78">
        <f>1*$C$11</f>
        <v>1.07973174366617</v>
      </c>
      <c r="K24" s="78">
        <f>1*$C$11*(1+C15)</f>
        <v>1.3496646795827125</v>
      </c>
      <c r="L24" s="78">
        <f>1.2*C11</f>
        <v>1.295678092399404</v>
      </c>
      <c r="M24" s="78">
        <f>0.2*$C$11</f>
        <v>0.21594634873323401</v>
      </c>
      <c r="N24" s="87">
        <f>0.2*$C$11</f>
        <v>0.21594634873323401</v>
      </c>
      <c r="O24" s="50" t="s">
        <v>56</v>
      </c>
      <c r="P24" s="50" t="s">
        <v>59</v>
      </c>
    </row>
    <row r="25" spans="6:16" ht="51.75" customHeight="1" thickBot="1" x14ac:dyDescent="0.3">
      <c r="F25" s="13" t="s">
        <v>23</v>
      </c>
      <c r="G25" s="14" t="s">
        <v>2</v>
      </c>
      <c r="H25" s="77">
        <f>SUM(H32:H35)/H36</f>
        <v>130.9756806722412</v>
      </c>
      <c r="I25" s="77">
        <f>SUM(I32:I35)/I36</f>
        <v>163.71960084030141</v>
      </c>
      <c r="J25" s="77">
        <f t="shared" ref="J25:N25" si="9">SUM(J32:J35)/J36</f>
        <v>100.08968897787072</v>
      </c>
      <c r="K25" s="77">
        <f t="shared" ref="K25" si="10">SUM(K32:K35)/K36</f>
        <v>125.11211122233838</v>
      </c>
      <c r="L25" s="77">
        <f t="shared" si="9"/>
        <v>80.558217256843164</v>
      </c>
      <c r="M25" s="77">
        <f t="shared" si="9"/>
        <v>78.743665433436803</v>
      </c>
      <c r="N25" s="88">
        <f t="shared" si="9"/>
        <v>78.462242318152903</v>
      </c>
    </row>
    <row r="26" spans="6:16" ht="15" customHeight="1" x14ac:dyDescent="0.25">
      <c r="F26" s="1" t="s">
        <v>22</v>
      </c>
      <c r="G26" s="89"/>
      <c r="H26" s="90">
        <v>1</v>
      </c>
      <c r="I26" s="90">
        <v>1</v>
      </c>
      <c r="J26" s="90">
        <v>1</v>
      </c>
      <c r="K26" s="90">
        <v>1</v>
      </c>
      <c r="L26" s="90">
        <f>1</f>
        <v>1</v>
      </c>
      <c r="M26" s="90">
        <v>1</v>
      </c>
      <c r="N26" s="91">
        <v>1</v>
      </c>
      <c r="O26" s="100" t="s">
        <v>60</v>
      </c>
      <c r="P26" s="95"/>
    </row>
    <row r="27" spans="6:16" ht="25.5" customHeight="1" thickBot="1" x14ac:dyDescent="0.3">
      <c r="F27" s="13" t="s">
        <v>24</v>
      </c>
      <c r="G27" s="14" t="s">
        <v>2</v>
      </c>
      <c r="H27" s="15">
        <f>H25*H26</f>
        <v>130.9756806722412</v>
      </c>
      <c r="I27" s="15">
        <f>I25*I26</f>
        <v>163.71960084030141</v>
      </c>
      <c r="J27" s="15">
        <f t="shared" ref="J27:N27" si="11">J25*J26</f>
        <v>100.08968897787072</v>
      </c>
      <c r="K27" s="15">
        <f t="shared" ref="K27" si="12">K25*K26</f>
        <v>125.11211122233838</v>
      </c>
      <c r="L27" s="15">
        <f t="shared" si="11"/>
        <v>80.558217256843164</v>
      </c>
      <c r="M27" s="15">
        <f t="shared" si="11"/>
        <v>78.743665433436803</v>
      </c>
      <c r="N27" s="92">
        <f t="shared" si="11"/>
        <v>78.462242318152903</v>
      </c>
      <c r="O27" s="100"/>
      <c r="P27" s="95"/>
    </row>
    <row r="28" spans="6:16" x14ac:dyDescent="0.25">
      <c r="J28" s="19"/>
      <c r="K28" s="19"/>
      <c r="L28" s="19"/>
      <c r="M28" s="19"/>
      <c r="N28" s="19"/>
    </row>
    <row r="29" spans="6:16" x14ac:dyDescent="0.25">
      <c r="F29" s="17"/>
      <c r="G29" s="18"/>
      <c r="H29" s="58"/>
      <c r="I29" s="58"/>
      <c r="J29" s="58"/>
      <c r="K29" s="58"/>
      <c r="L29" s="58"/>
      <c r="M29" s="58"/>
      <c r="N29" s="58"/>
    </row>
    <row r="30" spans="6:16" x14ac:dyDescent="0.25">
      <c r="F30" s="16"/>
      <c r="G30" s="16"/>
      <c r="H30" s="16"/>
      <c r="I30" s="16"/>
      <c r="J30" s="16"/>
      <c r="K30" s="16"/>
      <c r="L30" s="16"/>
      <c r="M30" s="16"/>
      <c r="N30" s="16"/>
    </row>
    <row r="31" spans="6:16" x14ac:dyDescent="0.25">
      <c r="F31" s="59" t="s">
        <v>16</v>
      </c>
      <c r="G31" s="60"/>
      <c r="H31" s="44"/>
      <c r="I31" s="44"/>
      <c r="J31" s="44"/>
      <c r="K31" s="44"/>
      <c r="L31" s="44"/>
      <c r="M31" s="44"/>
      <c r="N31" s="44"/>
    </row>
    <row r="32" spans="6:16" x14ac:dyDescent="0.25">
      <c r="F32" s="20" t="str">
        <f>F8</f>
        <v>Investeringskostnader</v>
      </c>
      <c r="G32" s="21" t="s">
        <v>17</v>
      </c>
      <c r="H32" s="22">
        <f t="shared" ref="H32:N32" si="13">H15*100*1000*H4</f>
        <v>6000000</v>
      </c>
      <c r="I32" s="22">
        <f t="shared" si="13"/>
        <v>7500000</v>
      </c>
      <c r="J32" s="22">
        <f t="shared" si="13"/>
        <v>37500000</v>
      </c>
      <c r="K32" s="22">
        <f t="shared" si="13"/>
        <v>46875000</v>
      </c>
      <c r="L32" s="22">
        <f t="shared" si="13"/>
        <v>89558349.478390545</v>
      </c>
      <c r="M32" s="22">
        <f t="shared" si="13"/>
        <v>705593897.16840613</v>
      </c>
      <c r="N32" s="61">
        <f t="shared" si="13"/>
        <v>1051237622.9508207</v>
      </c>
    </row>
    <row r="33" spans="6:14" x14ac:dyDescent="0.25">
      <c r="F33" s="23" t="str">
        <f>F16</f>
        <v>Faste driftskostnader</v>
      </c>
      <c r="G33" s="24" t="s">
        <v>17</v>
      </c>
      <c r="H33" s="25">
        <f t="shared" ref="H33:N33" si="14">-PV($C$5,$C$4,H16*100*1000*H4)</f>
        <v>4953775.2148140287</v>
      </c>
      <c r="I33" s="25">
        <f t="shared" si="14"/>
        <v>6192219.018517537</v>
      </c>
      <c r="J33" s="25">
        <f t="shared" si="14"/>
        <v>5572997.1166657824</v>
      </c>
      <c r="K33" s="25">
        <f t="shared" si="14"/>
        <v>6966246.3958322275</v>
      </c>
      <c r="L33" s="25">
        <f t="shared" si="14"/>
        <v>4953775.2148140296</v>
      </c>
      <c r="M33" s="25">
        <f t="shared" si="14"/>
        <v>49537752.148140296</v>
      </c>
      <c r="N33" s="62">
        <f t="shared" si="14"/>
        <v>49537752.148140296</v>
      </c>
    </row>
    <row r="34" spans="6:14" x14ac:dyDescent="0.25">
      <c r="F34" s="23" t="str">
        <f>F24</f>
        <v>Variable kostnader eks brensel</v>
      </c>
      <c r="G34" s="24" t="s">
        <v>17</v>
      </c>
      <c r="H34" s="25">
        <f t="shared" ref="H34:N34" si="15">-PV($C$5,$C$4,H24*1000*H4*H6*H5)</f>
        <v>284842.07485180662</v>
      </c>
      <c r="I34" s="25">
        <f t="shared" si="15"/>
        <v>356052.59356475837</v>
      </c>
      <c r="J34" s="25">
        <f t="shared" si="15"/>
        <v>4272631.1227770997</v>
      </c>
      <c r="K34" s="25">
        <f t="shared" si="15"/>
        <v>5340788.9034713758</v>
      </c>
      <c r="L34" s="25">
        <f t="shared" si="15"/>
        <v>34181048.982216798</v>
      </c>
      <c r="M34" s="25">
        <f t="shared" si="15"/>
        <v>56968414.970361337</v>
      </c>
      <c r="N34" s="62">
        <f t="shared" si="15"/>
        <v>113936829.94072267</v>
      </c>
    </row>
    <row r="35" spans="6:14" x14ac:dyDescent="0.25">
      <c r="F35" s="7" t="s">
        <v>14</v>
      </c>
      <c r="G35" s="24" t="s">
        <v>17</v>
      </c>
      <c r="H35" s="25">
        <f t="shared" ref="H35:N35" si="16">-PV($C$5,$C$4,H23*1000*H4*H6*H5)</f>
        <v>23035080.878621217</v>
      </c>
      <c r="I35" s="25">
        <f t="shared" si="16"/>
        <v>28793851.098276507</v>
      </c>
      <c r="J35" s="25">
        <f t="shared" si="16"/>
        <v>345526213.17931819</v>
      </c>
      <c r="K35" s="25">
        <f t="shared" si="16"/>
        <v>431907766.47414768</v>
      </c>
      <c r="L35" s="25">
        <f t="shared" si="16"/>
        <v>1979353151.463093</v>
      </c>
      <c r="M35" s="25">
        <f t="shared" si="16"/>
        <v>19793531514.630928</v>
      </c>
      <c r="N35" s="62">
        <f t="shared" si="16"/>
        <v>39849265428.31826</v>
      </c>
    </row>
    <row r="36" spans="6:14" x14ac:dyDescent="0.25">
      <c r="F36" s="63" t="s">
        <v>18</v>
      </c>
      <c r="G36" s="64" t="s">
        <v>19</v>
      </c>
      <c r="H36" s="65">
        <f>-PV($C$5+$C$6,$C$4,H4*H5*H6*1000)</f>
        <v>261679.86295146603</v>
      </c>
      <c r="I36" s="65">
        <f>-PV($C$5+$C$6,$C$4,I4*I5*I6*1000)</f>
        <v>261679.86295146603</v>
      </c>
      <c r="J36" s="65">
        <f>-PV($C$5+$C$6,$C$4,J4*J5*J6*1000)</f>
        <v>3925197.9442719906</v>
      </c>
      <c r="K36" s="65">
        <f>-PV($C$5+$C$6,$C$4,K4*K5*K6*1000)</f>
        <v>3925197.9442719906</v>
      </c>
      <c r="L36" s="65">
        <f t="shared" ref="L36:N36" si="17">-PV($C$5+$C$6,$C$4,L4*L5*L6*1000)</f>
        <v>26167986.295146603</v>
      </c>
      <c r="M36" s="65">
        <f t="shared" si="17"/>
        <v>261679862.95146602</v>
      </c>
      <c r="N36" s="66">
        <f t="shared" si="17"/>
        <v>523359725.90293205</v>
      </c>
    </row>
    <row r="37" spans="6:14" x14ac:dyDescent="0.25">
      <c r="F37" s="45"/>
      <c r="G37" s="45"/>
    </row>
    <row r="38" spans="6:14" x14ac:dyDescent="0.25">
      <c r="F38" s="19"/>
      <c r="G38" s="19"/>
    </row>
    <row r="39" spans="6:14" x14ac:dyDescent="0.25">
      <c r="F39" s="25"/>
      <c r="G39" s="25"/>
    </row>
    <row r="40" spans="6:14" x14ac:dyDescent="0.25">
      <c r="F40" s="37"/>
      <c r="G40" s="37"/>
    </row>
  </sheetData>
  <mergeCells count="4">
    <mergeCell ref="O9:O13"/>
    <mergeCell ref="P9:P13"/>
    <mergeCell ref="F2:N2"/>
    <mergeCell ref="O26:P2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Kostnad 2016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Karstad Isachsen</dc:creator>
  <cp:lastModifiedBy>Olav Karstad Isachsen</cp:lastModifiedBy>
  <dcterms:created xsi:type="dcterms:W3CDTF">2016-11-15T12:54:30Z</dcterms:created>
  <dcterms:modified xsi:type="dcterms:W3CDTF">2017-03-17T14:12:15Z</dcterms:modified>
</cp:coreProperties>
</file>