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Felles\Prosjekt\2016_Kostnadsrapport\Fase3\Regneark - MÅ IKKE FLYTTES\"/>
    </mc:Choice>
  </mc:AlternateContent>
  <bookViews>
    <workbookView xWindow="0" yWindow="0" windowWidth="28800" windowHeight="13365"/>
  </bookViews>
  <sheets>
    <sheet name="Kostnad 2016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C6" i="2"/>
  <c r="C5" i="2"/>
  <c r="C4" i="2"/>
  <c r="C3" i="2"/>
  <c r="H34" i="2" l="1"/>
  <c r="C10" i="2"/>
  <c r="C11" i="2"/>
  <c r="H22" i="2" l="1"/>
  <c r="H32" i="2" s="1"/>
  <c r="C8" i="2"/>
  <c r="C7" i="2"/>
  <c r="H10" i="2" l="1"/>
  <c r="H9" i="2"/>
  <c r="H11" i="2"/>
  <c r="H15" i="2"/>
  <c r="H31" i="2" s="1"/>
  <c r="H12" i="2"/>
  <c r="H20" i="2"/>
  <c r="H17" i="2"/>
  <c r="H19" i="2" l="1"/>
  <c r="H7" i="2"/>
  <c r="H13" i="2" l="1"/>
  <c r="H14" i="2" s="1"/>
  <c r="F33" i="2"/>
  <c r="F32" i="2"/>
  <c r="F31" i="2"/>
  <c r="F30" i="2"/>
  <c r="H30" i="2" l="1"/>
  <c r="C9" i="2" l="1"/>
  <c r="H18" i="2" s="1"/>
  <c r="H21" i="2" s="1"/>
  <c r="H33" i="2" s="1"/>
  <c r="H23" i="2" l="1"/>
  <c r="H25" i="2" s="1"/>
</calcChain>
</file>

<file path=xl/sharedStrings.xml><?xml version="1.0" encoding="utf-8"?>
<sst xmlns="http://schemas.openxmlformats.org/spreadsheetml/2006/main" count="84" uniqueCount="60">
  <si>
    <t>Faste driftskostnader</t>
  </si>
  <si>
    <t>%</t>
  </si>
  <si>
    <t>øre/kWh</t>
  </si>
  <si>
    <t>kWh</t>
  </si>
  <si>
    <t>Enhet</t>
  </si>
  <si>
    <t>Ytelse</t>
  </si>
  <si>
    <t xml:space="preserve">Fullasttimer </t>
  </si>
  <si>
    <t>timer/år</t>
  </si>
  <si>
    <t>Investeringskostnader</t>
  </si>
  <si>
    <t>Maskiner og utstyr</t>
  </si>
  <si>
    <t>Byggekostnader</t>
  </si>
  <si>
    <t>Nettilknytning</t>
  </si>
  <si>
    <t>Prosjektering og administrasjon</t>
  </si>
  <si>
    <t xml:space="preserve">   Byggetidsrenter     </t>
  </si>
  <si>
    <t xml:space="preserve">Sum investeringskostnader </t>
  </si>
  <si>
    <t xml:space="preserve">Spesifikt brenselforbruk  </t>
  </si>
  <si>
    <t>NOx-avgift</t>
  </si>
  <si>
    <t>CO2-kvoter</t>
  </si>
  <si>
    <t>Brensels- og utslippskostnader</t>
  </si>
  <si>
    <t>Variable kostnader eks brensel</t>
  </si>
  <si>
    <t>Nåverdier</t>
  </si>
  <si>
    <t>øre</t>
  </si>
  <si>
    <t>Produsert elektrisitet</t>
  </si>
  <si>
    <t>Merknad</t>
  </si>
  <si>
    <t>Kilde</t>
  </si>
  <si>
    <t>Faktor for teknologiforbedring 2016 - 2035</t>
  </si>
  <si>
    <t>LCOE 2016</t>
  </si>
  <si>
    <t>LCOE 2035</t>
  </si>
  <si>
    <t>år</t>
  </si>
  <si>
    <t>Byggetid</t>
  </si>
  <si>
    <t>Levetid</t>
  </si>
  <si>
    <t>Brenselpris</t>
  </si>
  <si>
    <t>Brenselskostnad</t>
  </si>
  <si>
    <t>Degraderingsrate</t>
  </si>
  <si>
    <t>prosent/år</t>
  </si>
  <si>
    <t>enhet</t>
  </si>
  <si>
    <t>Diskonteringsrente</t>
  </si>
  <si>
    <t>prosent</t>
  </si>
  <si>
    <t>faktor</t>
  </si>
  <si>
    <t>Inflasjon 2013-2016</t>
  </si>
  <si>
    <t>Energiinhold, nedre brennverdi</t>
  </si>
  <si>
    <t>Energiinhold, øvre brennverdi</t>
  </si>
  <si>
    <t>øre/kWhbrensel</t>
  </si>
  <si>
    <t>kr/kWel</t>
  </si>
  <si>
    <t>kr/kWel /år</t>
  </si>
  <si>
    <t>øre/kWhel</t>
  </si>
  <si>
    <t>MWel</t>
  </si>
  <si>
    <t>kWhbrensel/kWhel</t>
  </si>
  <si>
    <t>Virkningsgrad (nedre brennverdi)</t>
  </si>
  <si>
    <t>Norconsult</t>
  </si>
  <si>
    <t>Norconsult sine vurderinger basert blant annet på ZEP, 2011</t>
  </si>
  <si>
    <t>Justert opp fra Kostnader i energisektoren 2015 vha infasjonsindeks</t>
  </si>
  <si>
    <t>Sum brensels- og utslippskostnader</t>
  </si>
  <si>
    <t>Virkningsgrad (øvre  brennverdi)</t>
  </si>
  <si>
    <t>Kullfyrt kondenskraftverk uten CCS</t>
  </si>
  <si>
    <t>Momentanvirkningsgrad basert på nedre brennverdi. Årsvirkningsgrad er ca 5-10 % lavere</t>
  </si>
  <si>
    <t>kWh/kg</t>
  </si>
  <si>
    <t xml:space="preserve">Elforsk 14:40 El från nya och framtida anläggningar, IEA ETSAP (2010) Coal-Fired Power </t>
  </si>
  <si>
    <t xml:space="preserve">Kostnadsutvikling er sterkt avhengig av brenselspris og utslippskostnader. Brensels- og utslipskostnader er antatt konstant her. Teknologi er moden. Utviklingen er knyttet til  forbedring av virkningsgraden opp til 50 %. </t>
  </si>
  <si>
    <t xml:space="preserve">NVE, basert på Elforsk 14:40 El från nya och framtida anläggningar, IEA ETSAP (2010) Coal-Fired Power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</si>
</sst>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General_)"/>
    <numFmt numFmtId="165" formatCode="0.0"/>
    <numFmt numFmtId="166" formatCode="0.0\ %"/>
    <numFmt numFmtId="167" formatCode="#,##0.0"/>
    <numFmt numFmtId="168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Helv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color theme="1" tint="0.499984740745262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9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164" fontId="3" fillId="0" borderId="0"/>
    <xf numFmtId="43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0"/>
    <xf numFmtId="43" fontId="10" fillId="0" borderId="0" applyFont="0" applyFill="0" applyBorder="0" applyAlignment="0" applyProtection="0"/>
  </cellStyleXfs>
  <cellXfs count="74">
    <xf numFmtId="0" fontId="0" fillId="0" borderId="0" xfId="0"/>
    <xf numFmtId="164" fontId="7" fillId="0" borderId="1" xfId="1" applyFont="1" applyFill="1" applyBorder="1"/>
    <xf numFmtId="164" fontId="7" fillId="0" borderId="10" xfId="1" applyFont="1" applyFill="1" applyBorder="1"/>
    <xf numFmtId="164" fontId="7" fillId="0" borderId="2" xfId="1" applyFont="1" applyFill="1" applyBorder="1"/>
    <xf numFmtId="164" fontId="7" fillId="0" borderId="13" xfId="1" applyFont="1" applyFill="1" applyBorder="1" applyAlignment="1">
      <alignment horizontal="right"/>
    </xf>
    <xf numFmtId="164" fontId="4" fillId="0" borderId="2" xfId="1" applyFont="1" applyFill="1" applyBorder="1" applyAlignment="1">
      <alignment horizontal="left" indent="1"/>
    </xf>
    <xf numFmtId="164" fontId="4" fillId="0" borderId="13" xfId="1" applyFont="1" applyFill="1" applyBorder="1" applyAlignment="1">
      <alignment horizontal="right"/>
    </xf>
    <xf numFmtId="164" fontId="4" fillId="0" borderId="2" xfId="1" applyFont="1" applyFill="1" applyBorder="1"/>
    <xf numFmtId="164" fontId="4" fillId="0" borderId="11" xfId="1" applyFont="1" applyFill="1" applyBorder="1" applyAlignment="1">
      <alignment horizontal="right"/>
    </xf>
    <xf numFmtId="164" fontId="4" fillId="0" borderId="14" xfId="1" applyFont="1" applyFill="1" applyBorder="1" applyAlignment="1">
      <alignment horizontal="right"/>
    </xf>
    <xf numFmtId="164" fontId="7" fillId="0" borderId="15" xfId="1" applyFont="1" applyFill="1" applyBorder="1"/>
    <xf numFmtId="164" fontId="7" fillId="0" borderId="16" xfId="1" applyFont="1" applyFill="1" applyBorder="1" applyAlignment="1">
      <alignment horizontal="right"/>
    </xf>
    <xf numFmtId="0" fontId="4" fillId="0" borderId="0" xfId="0" applyFont="1"/>
    <xf numFmtId="164" fontId="9" fillId="0" borderId="0" xfId="1" applyFont="1" applyFill="1" applyBorder="1"/>
    <xf numFmtId="164" fontId="9" fillId="0" borderId="0" xfId="1" applyFont="1" applyFill="1" applyBorder="1" applyAlignment="1">
      <alignment horizontal="right"/>
    </xf>
    <xf numFmtId="165" fontId="9" fillId="0" borderId="0" xfId="2" applyNumberFormat="1" applyFont="1" applyFill="1" applyBorder="1"/>
    <xf numFmtId="165" fontId="9" fillId="0" borderId="0" xfId="1" applyNumberFormat="1" applyFont="1" applyFill="1" applyBorder="1"/>
    <xf numFmtId="0" fontId="4" fillId="0" borderId="13" xfId="0" applyFont="1" applyBorder="1" applyAlignment="1">
      <alignment horizontal="right"/>
    </xf>
    <xf numFmtId="40" fontId="4" fillId="0" borderId="0" xfId="0" applyNumberFormat="1" applyFont="1" applyBorder="1"/>
    <xf numFmtId="0" fontId="4" fillId="0" borderId="0" xfId="0" applyFont="1" applyBorder="1"/>
    <xf numFmtId="0" fontId="5" fillId="2" borderId="17" xfId="0" applyFont="1" applyFill="1" applyBorder="1"/>
    <xf numFmtId="0" fontId="5" fillId="2" borderId="18" xfId="0" applyFont="1" applyFill="1" applyBorder="1"/>
    <xf numFmtId="2" fontId="4" fillId="0" borderId="0" xfId="0" applyNumberFormat="1" applyFont="1"/>
    <xf numFmtId="0" fontId="2" fillId="0" borderId="0" xfId="0" applyFont="1" applyBorder="1"/>
    <xf numFmtId="0" fontId="0" fillId="3" borderId="0" xfId="0" applyFill="1"/>
    <xf numFmtId="164" fontId="5" fillId="3" borderId="2" xfId="1" applyFont="1" applyFill="1" applyBorder="1"/>
    <xf numFmtId="164" fontId="5" fillId="3" borderId="6" xfId="1" applyFont="1" applyFill="1" applyBorder="1" applyAlignment="1">
      <alignment horizontal="right"/>
    </xf>
    <xf numFmtId="0" fontId="6" fillId="3" borderId="7" xfId="0" applyFont="1" applyFill="1" applyBorder="1" applyAlignment="1">
      <alignment horizontal="center"/>
    </xf>
    <xf numFmtId="164" fontId="5" fillId="3" borderId="7" xfId="1" applyFont="1" applyFill="1" applyBorder="1" applyAlignment="1">
      <alignment horizontal="right"/>
    </xf>
    <xf numFmtId="0" fontId="0" fillId="0" borderId="0" xfId="0" applyBorder="1"/>
    <xf numFmtId="2" fontId="4" fillId="0" borderId="0" xfId="0" applyNumberFormat="1" applyFont="1" applyBorder="1"/>
    <xf numFmtId="0" fontId="5" fillId="0" borderId="0" xfId="0" applyFont="1" applyFill="1" applyBorder="1"/>
    <xf numFmtId="166" fontId="2" fillId="0" borderId="0" xfId="3" applyNumberFormat="1" applyFont="1" applyBorder="1"/>
    <xf numFmtId="164" fontId="5" fillId="3" borderId="0" xfId="1" applyFont="1" applyFill="1" applyBorder="1"/>
    <xf numFmtId="3" fontId="4" fillId="0" borderId="7" xfId="1" applyNumberFormat="1" applyFont="1" applyFill="1" applyBorder="1"/>
    <xf numFmtId="165" fontId="4" fillId="0" borderId="7" xfId="2" applyNumberFormat="1" applyFont="1" applyFill="1" applyBorder="1"/>
    <xf numFmtId="165" fontId="4" fillId="0" borderId="7" xfId="1" applyNumberFormat="1" applyFont="1" applyFill="1" applyBorder="1"/>
    <xf numFmtId="165" fontId="4" fillId="0" borderId="19" xfId="2" applyNumberFormat="1" applyFont="1" applyFill="1" applyBorder="1"/>
    <xf numFmtId="165" fontId="7" fillId="0" borderId="20" xfId="0" applyNumberFormat="1" applyFont="1" applyFill="1" applyBorder="1"/>
    <xf numFmtId="2" fontId="0" fillId="0" borderId="0" xfId="0" applyNumberFormat="1"/>
    <xf numFmtId="0" fontId="5" fillId="2" borderId="21" xfId="0" applyFont="1" applyFill="1" applyBorder="1"/>
    <xf numFmtId="0" fontId="1" fillId="3" borderId="3" xfId="0" applyFont="1" applyFill="1" applyBorder="1" applyAlignment="1"/>
    <xf numFmtId="0" fontId="1" fillId="3" borderId="4" xfId="0" applyFont="1" applyFill="1" applyBorder="1" applyAlignment="1"/>
    <xf numFmtId="0" fontId="1" fillId="3" borderId="5" xfId="0" applyFont="1" applyFill="1" applyBorder="1" applyAlignment="1"/>
    <xf numFmtId="164" fontId="7" fillId="0" borderId="0" xfId="1" applyFont="1" applyFill="1" applyBorder="1"/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164" fontId="4" fillId="0" borderId="0" xfId="0" applyNumberFormat="1" applyFont="1" applyBorder="1"/>
    <xf numFmtId="0" fontId="4" fillId="0" borderId="0" xfId="0" applyFont="1" applyBorder="1" applyAlignment="1">
      <alignment horizontal="right"/>
    </xf>
    <xf numFmtId="164" fontId="4" fillId="0" borderId="0" xfId="1" applyFont="1" applyFill="1" applyBorder="1" applyAlignment="1">
      <alignment horizontal="right"/>
    </xf>
    <xf numFmtId="40" fontId="0" fillId="0" borderId="0" xfId="0" applyNumberFormat="1" applyBorder="1"/>
    <xf numFmtId="0" fontId="4" fillId="0" borderId="0" xfId="0" applyFont="1" applyFill="1" applyBorder="1" applyAlignment="1">
      <alignment horizontal="right"/>
    </xf>
    <xf numFmtId="43" fontId="4" fillId="0" borderId="0" xfId="0" applyNumberFormat="1" applyFont="1"/>
    <xf numFmtId="0" fontId="0" fillId="0" borderId="0" xfId="0" applyAlignment="1">
      <alignment horizontal="center" wrapText="1"/>
    </xf>
    <xf numFmtId="164" fontId="5" fillId="3" borderId="13" xfId="1" applyFont="1" applyFill="1" applyBorder="1" applyAlignment="1">
      <alignment horizontal="right"/>
    </xf>
    <xf numFmtId="164" fontId="7" fillId="0" borderId="22" xfId="1" applyFont="1" applyFill="1" applyBorder="1"/>
    <xf numFmtId="3" fontId="4" fillId="0" borderId="12" xfId="1" applyNumberFormat="1" applyFont="1" applyFill="1" applyBorder="1"/>
    <xf numFmtId="164" fontId="7" fillId="0" borderId="7" xfId="1" applyFont="1" applyFill="1" applyBorder="1"/>
    <xf numFmtId="3" fontId="4" fillId="0" borderId="7" xfId="4" applyNumberFormat="1" applyFont="1" applyFill="1" applyBorder="1"/>
    <xf numFmtId="1" fontId="4" fillId="0" borderId="7" xfId="4" applyNumberFormat="1" applyFont="1" applyFill="1" applyBorder="1"/>
    <xf numFmtId="3" fontId="4" fillId="0" borderId="23" xfId="4" applyNumberFormat="1" applyFont="1" applyFill="1" applyBorder="1"/>
    <xf numFmtId="3" fontId="4" fillId="0" borderId="19" xfId="2" applyNumberFormat="1" applyFont="1" applyFill="1" applyBorder="1"/>
    <xf numFmtId="2" fontId="4" fillId="0" borderId="7" xfId="1" applyNumberFormat="1" applyFont="1" applyFill="1" applyBorder="1"/>
    <xf numFmtId="167" fontId="4" fillId="0" borderId="7" xfId="1" applyNumberFormat="1" applyFont="1" applyFill="1" applyBorder="1"/>
    <xf numFmtId="164" fontId="7" fillId="0" borderId="8" xfId="1" applyFont="1" applyFill="1" applyBorder="1" applyAlignment="1">
      <alignment horizontal="right"/>
    </xf>
    <xf numFmtId="0" fontId="0" fillId="0" borderId="0" xfId="0" applyFont="1" applyBorder="1"/>
    <xf numFmtId="166" fontId="10" fillId="0" borderId="0" xfId="3" applyNumberFormat="1" applyFont="1" applyBorder="1"/>
    <xf numFmtId="166" fontId="4" fillId="0" borderId="12" xfId="1" applyNumberFormat="1" applyFont="1" applyFill="1" applyBorder="1"/>
    <xf numFmtId="166" fontId="9" fillId="0" borderId="12" xfId="1" applyNumberFormat="1" applyFont="1" applyFill="1" applyBorder="1"/>
    <xf numFmtId="168" fontId="4" fillId="0" borderId="0" xfId="5" applyNumberFormat="1" applyFont="1" applyBorder="1"/>
    <xf numFmtId="4" fontId="4" fillId="0" borderId="9" xfId="1" applyNumberFormat="1" applyFont="1" applyFill="1" applyBorder="1"/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left" wrapText="1"/>
    </xf>
  </cellXfs>
  <cellStyles count="6">
    <cellStyle name="Komma" xfId="5" builtinId="3"/>
    <cellStyle name="Normal" xfId="0" builtinId="0"/>
    <cellStyle name="Normal 2 2" xfId="4"/>
    <cellStyle name="Normal_Ark1" xfId="1"/>
    <cellStyle name="Prosent" xfId="3" builtinId="5"/>
    <cellStyle name="Tusenskille_Ark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utsetning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nnverdier og priser"/>
      <sheetName val="CO2-avgift, grunnavgift"/>
      <sheetName val="CO2-kvoter"/>
      <sheetName val="byggetid levetid rente"/>
      <sheetName val="NOX avgift"/>
    </sheetNames>
    <sheetDataSet>
      <sheetData sheetId="0">
        <row r="15">
          <cell r="D15">
            <v>8.3888888888888893</v>
          </cell>
          <cell r="E15">
            <v>7.8</v>
          </cell>
        </row>
        <row r="46">
          <cell r="D46">
            <v>5.7556641025641015</v>
          </cell>
        </row>
      </sheetData>
      <sheetData sheetId="1"/>
      <sheetData sheetId="2">
        <row r="6">
          <cell r="E6">
            <v>1.6923076923076925</v>
          </cell>
        </row>
      </sheetData>
      <sheetData sheetId="3">
        <row r="1">
          <cell r="C1">
            <v>1.07973174366617</v>
          </cell>
        </row>
        <row r="8">
          <cell r="C8">
            <v>4</v>
          </cell>
          <cell r="D8">
            <v>0.06</v>
          </cell>
        </row>
        <row r="33">
          <cell r="C33">
            <v>25</v>
          </cell>
          <cell r="E33">
            <v>1E-3</v>
          </cell>
        </row>
      </sheetData>
      <sheetData sheetId="4">
        <row r="4">
          <cell r="H4">
            <v>0.24911538461538454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>
      <selection activeCell="C10" sqref="C10"/>
    </sheetView>
  </sheetViews>
  <sheetFormatPr baseColWidth="10" defaultRowHeight="15" x14ac:dyDescent="0.25"/>
  <cols>
    <col min="1" max="1" width="21.5703125" customWidth="1"/>
    <col min="6" max="6" width="34.28515625" customWidth="1"/>
    <col min="7" max="7" width="16.140625" customWidth="1"/>
    <col min="8" max="8" width="23.7109375" customWidth="1"/>
    <col min="9" max="9" width="24.42578125" customWidth="1"/>
    <col min="10" max="10" width="53.5703125" customWidth="1"/>
  </cols>
  <sheetData>
    <row r="1" spans="1:10" ht="15.75" thickBot="1" x14ac:dyDescent="0.3"/>
    <row r="2" spans="1:10" x14ac:dyDescent="0.25">
      <c r="A2" s="20"/>
      <c r="B2" s="20" t="s">
        <v>35</v>
      </c>
      <c r="C2" s="21"/>
      <c r="D2" s="31"/>
      <c r="F2" s="41" t="s">
        <v>54</v>
      </c>
      <c r="G2" s="42"/>
      <c r="H2" s="43"/>
      <c r="I2" s="24"/>
      <c r="J2" s="24"/>
    </row>
    <row r="3" spans="1:10" x14ac:dyDescent="0.25">
      <c r="A3" s="20" t="s">
        <v>29</v>
      </c>
      <c r="B3" t="s">
        <v>28</v>
      </c>
      <c r="C3">
        <f>'[1]byggetid levetid rente'!$C$8</f>
        <v>4</v>
      </c>
      <c r="E3" s="23"/>
      <c r="F3" s="25"/>
      <c r="G3" s="26" t="s">
        <v>4</v>
      </c>
      <c r="H3" s="27"/>
      <c r="I3" s="24"/>
      <c r="J3" s="24"/>
    </row>
    <row r="4" spans="1:10" x14ac:dyDescent="0.25">
      <c r="A4" s="20" t="s">
        <v>30</v>
      </c>
      <c r="B4" t="s">
        <v>28</v>
      </c>
      <c r="C4" s="65">
        <f>'[1]byggetid levetid rente'!$C$33</f>
        <v>25</v>
      </c>
      <c r="E4" s="23"/>
      <c r="F4" s="25" t="s">
        <v>5</v>
      </c>
      <c r="G4" s="54" t="s">
        <v>46</v>
      </c>
      <c r="H4" s="28">
        <v>740</v>
      </c>
      <c r="I4" s="33" t="s">
        <v>24</v>
      </c>
      <c r="J4" s="33" t="s">
        <v>23</v>
      </c>
    </row>
    <row r="5" spans="1:10" x14ac:dyDescent="0.25">
      <c r="A5" s="20" t="s">
        <v>36</v>
      </c>
      <c r="B5" t="s">
        <v>34</v>
      </c>
      <c r="C5" s="32">
        <f>'[1]byggetid levetid rente'!$D$8</f>
        <v>0.06</v>
      </c>
      <c r="E5" s="23"/>
      <c r="F5" s="2" t="s">
        <v>6</v>
      </c>
      <c r="G5" s="8" t="s">
        <v>7</v>
      </c>
      <c r="H5" s="56">
        <v>8000</v>
      </c>
      <c r="I5" t="s">
        <v>49</v>
      </c>
    </row>
    <row r="6" spans="1:10" ht="30" x14ac:dyDescent="0.25">
      <c r="A6" s="20" t="s">
        <v>33</v>
      </c>
      <c r="B6" s="12" t="s">
        <v>37</v>
      </c>
      <c r="C6" s="66">
        <f>'[1]byggetid levetid rente'!$E$33</f>
        <v>1E-3</v>
      </c>
      <c r="E6" s="12"/>
      <c r="F6" s="2" t="s">
        <v>48</v>
      </c>
      <c r="G6" s="8" t="s">
        <v>1</v>
      </c>
      <c r="H6" s="67">
        <v>0.46</v>
      </c>
      <c r="I6" t="s">
        <v>59</v>
      </c>
      <c r="J6" s="53" t="s">
        <v>55</v>
      </c>
    </row>
    <row r="7" spans="1:10" x14ac:dyDescent="0.25">
      <c r="A7" s="20" t="s">
        <v>40</v>
      </c>
      <c r="B7" s="12" t="s">
        <v>56</v>
      </c>
      <c r="C7" s="30">
        <f>'[1]Brennverdier og priser'!$E$15</f>
        <v>7.8</v>
      </c>
      <c r="D7" s="12"/>
      <c r="E7" s="12"/>
      <c r="F7" s="2" t="s">
        <v>53</v>
      </c>
      <c r="G7" s="8" t="s">
        <v>1</v>
      </c>
      <c r="H7" s="68">
        <f>H6/$C$8*$C$7</f>
        <v>0.42770860927152315</v>
      </c>
    </row>
    <row r="8" spans="1:10" x14ac:dyDescent="0.25">
      <c r="A8" s="20" t="s">
        <v>41</v>
      </c>
      <c r="B8" s="12" t="s">
        <v>56</v>
      </c>
      <c r="C8" s="30">
        <f>'[1]Brennverdier og priser'!$D$15</f>
        <v>8.3888888888888893</v>
      </c>
      <c r="E8" s="12"/>
      <c r="F8" s="3" t="s">
        <v>8</v>
      </c>
      <c r="G8" s="4"/>
      <c r="H8" s="57"/>
    </row>
    <row r="9" spans="1:10" x14ac:dyDescent="0.25">
      <c r="A9" s="20" t="s">
        <v>31</v>
      </c>
      <c r="B9" s="12" t="s">
        <v>42</v>
      </c>
      <c r="C9" s="30">
        <f>'[1]Brennverdier og priser'!$D$46</f>
        <v>5.7556641025641015</v>
      </c>
      <c r="E9" s="12"/>
      <c r="F9" s="5" t="s">
        <v>9</v>
      </c>
      <c r="G9" s="6" t="s">
        <v>43</v>
      </c>
      <c r="H9" s="58">
        <f>8400*C12</f>
        <v>9069.7466467958275</v>
      </c>
      <c r="I9" s="71" t="s">
        <v>50</v>
      </c>
      <c r="J9" s="71" t="s">
        <v>51</v>
      </c>
    </row>
    <row r="10" spans="1:10" x14ac:dyDescent="0.25">
      <c r="A10" s="40" t="s">
        <v>17</v>
      </c>
      <c r="B10" s="12" t="s">
        <v>42</v>
      </c>
      <c r="C10" s="52">
        <f>'[1]CO2-kvoter'!$E$6</f>
        <v>1.6923076923076925</v>
      </c>
      <c r="D10" s="12"/>
      <c r="E10" s="12"/>
      <c r="F10" s="5" t="s">
        <v>10</v>
      </c>
      <c r="G10" s="6" t="s">
        <v>43</v>
      </c>
      <c r="H10" s="34">
        <f>2600*C12</f>
        <v>2807.3025335320417</v>
      </c>
      <c r="I10" s="71"/>
      <c r="J10" s="71"/>
    </row>
    <row r="11" spans="1:10" x14ac:dyDescent="0.25">
      <c r="A11" s="40" t="s">
        <v>16</v>
      </c>
      <c r="B11" s="12" t="s">
        <v>42</v>
      </c>
      <c r="C11" s="39">
        <f>'[1]NOX avgift'!$H$4</f>
        <v>0.24911538461538454</v>
      </c>
      <c r="E11" s="22"/>
      <c r="F11" s="5" t="s">
        <v>11</v>
      </c>
      <c r="G11" s="6" t="s">
        <v>43</v>
      </c>
      <c r="H11" s="59">
        <f>120*C12</f>
        <v>129.5678092399404</v>
      </c>
      <c r="I11" s="71"/>
      <c r="J11" s="71"/>
    </row>
    <row r="12" spans="1:10" x14ac:dyDescent="0.25">
      <c r="A12" s="20" t="s">
        <v>39</v>
      </c>
      <c r="B12" s="12" t="s">
        <v>38</v>
      </c>
      <c r="C12" s="39">
        <f>'[1]byggetid levetid rente'!$C$1</f>
        <v>1.07973174366617</v>
      </c>
      <c r="D12" s="22"/>
      <c r="E12" s="22"/>
      <c r="F12" s="5" t="s">
        <v>12</v>
      </c>
      <c r="G12" s="6" t="s">
        <v>43</v>
      </c>
      <c r="H12" s="59">
        <f>1900*C12</f>
        <v>2051.4903129657228</v>
      </c>
      <c r="I12" s="71"/>
      <c r="J12" s="71"/>
    </row>
    <row r="13" spans="1:10" x14ac:dyDescent="0.25">
      <c r="D13" s="22"/>
      <c r="E13" s="22"/>
      <c r="F13" s="7" t="s">
        <v>13</v>
      </c>
      <c r="G13" s="6" t="s">
        <v>43</v>
      </c>
      <c r="H13" s="60">
        <f>(H9+H10+H11+H12)*(((1+($C$5))*((1+$C$5)^($C$3)-1))/($C$5*$C$3))-(H9+H10+H11+H12)</f>
        <v>2239.0802983421963</v>
      </c>
      <c r="I13" s="71"/>
      <c r="J13" s="71"/>
    </row>
    <row r="14" spans="1:10" x14ac:dyDescent="0.25">
      <c r="F14" s="55" t="s">
        <v>14</v>
      </c>
      <c r="G14" s="6" t="s">
        <v>43</v>
      </c>
      <c r="H14" s="61">
        <f>SUM(H9:H13)</f>
        <v>16297.18760087573</v>
      </c>
    </row>
    <row r="15" spans="1:10" x14ac:dyDescent="0.25">
      <c r="F15" s="2" t="s">
        <v>0</v>
      </c>
      <c r="G15" s="8" t="s">
        <v>44</v>
      </c>
      <c r="H15" s="56">
        <f>300*C12</f>
        <v>323.91952309985101</v>
      </c>
      <c r="I15" t="s">
        <v>50</v>
      </c>
      <c r="J15" t="s">
        <v>51</v>
      </c>
    </row>
    <row r="16" spans="1:10" x14ac:dyDescent="0.25">
      <c r="F16" s="3" t="s">
        <v>18</v>
      </c>
      <c r="G16" s="6"/>
      <c r="H16" s="34"/>
    </row>
    <row r="17" spans="6:10" x14ac:dyDescent="0.25">
      <c r="F17" s="7" t="s">
        <v>15</v>
      </c>
      <c r="G17" s="6" t="s">
        <v>47</v>
      </c>
      <c r="H17" s="35">
        <f>1/H6</f>
        <v>2.1739130434782608</v>
      </c>
    </row>
    <row r="18" spans="6:10" x14ac:dyDescent="0.25">
      <c r="F18" s="7" t="s">
        <v>32</v>
      </c>
      <c r="G18" s="17" t="s">
        <v>42</v>
      </c>
      <c r="H18" s="36">
        <f>$C$9</f>
        <v>5.7556641025641015</v>
      </c>
    </row>
    <row r="19" spans="6:10" x14ac:dyDescent="0.25">
      <c r="F19" s="7" t="s">
        <v>16</v>
      </c>
      <c r="G19" s="17" t="s">
        <v>42</v>
      </c>
      <c r="H19" s="62">
        <f>$C$11</f>
        <v>0.24911538461538454</v>
      </c>
      <c r="J19">
        <v>43.09253787213369</v>
      </c>
    </row>
    <row r="20" spans="6:10" x14ac:dyDescent="0.25">
      <c r="F20" s="7" t="s">
        <v>17</v>
      </c>
      <c r="G20" s="17" t="s">
        <v>42</v>
      </c>
      <c r="H20" s="62">
        <f>$C$10</f>
        <v>1.6923076923076925</v>
      </c>
    </row>
    <row r="21" spans="6:10" x14ac:dyDescent="0.25">
      <c r="F21" s="3" t="s">
        <v>52</v>
      </c>
      <c r="G21" s="9" t="s">
        <v>45</v>
      </c>
      <c r="H21" s="37">
        <f>SUM(H18:H20)*H17</f>
        <v>16.732798216276475</v>
      </c>
    </row>
    <row r="22" spans="6:10" x14ac:dyDescent="0.25">
      <c r="F22" s="2" t="s">
        <v>19</v>
      </c>
      <c r="G22" s="8" t="s">
        <v>45</v>
      </c>
      <c r="H22" s="63">
        <f>1.1*C12</f>
        <v>1.187704918032787</v>
      </c>
      <c r="I22" t="s">
        <v>50</v>
      </c>
      <c r="J22" t="s">
        <v>51</v>
      </c>
    </row>
    <row r="23" spans="6:10" ht="15.75" thickBot="1" x14ac:dyDescent="0.3">
      <c r="F23" s="10" t="s">
        <v>26</v>
      </c>
      <c r="G23" s="11" t="s">
        <v>45</v>
      </c>
      <c r="H23" s="38">
        <f>SUM(H30:H33)/H34</f>
        <v>38.266369445655208</v>
      </c>
    </row>
    <row r="24" spans="6:10" ht="31.5" customHeight="1" x14ac:dyDescent="0.25">
      <c r="F24" s="1" t="s">
        <v>25</v>
      </c>
      <c r="G24" s="64"/>
      <c r="H24" s="70">
        <v>0.96</v>
      </c>
      <c r="I24" s="72" t="s">
        <v>57</v>
      </c>
      <c r="J24" s="73" t="s">
        <v>58</v>
      </c>
    </row>
    <row r="25" spans="6:10" ht="35.25" customHeight="1" thickBot="1" x14ac:dyDescent="0.3">
      <c r="F25" s="10" t="s">
        <v>27</v>
      </c>
      <c r="G25" s="11" t="s">
        <v>2</v>
      </c>
      <c r="H25" s="38">
        <f>H23*H24</f>
        <v>36.735714667829001</v>
      </c>
      <c r="I25" s="72"/>
      <c r="J25" s="73"/>
    </row>
    <row r="26" spans="6:10" x14ac:dyDescent="0.25">
      <c r="H26" s="16"/>
    </row>
    <row r="27" spans="6:10" x14ac:dyDescent="0.25">
      <c r="F27" s="13"/>
      <c r="G27" s="14"/>
      <c r="H27" s="16"/>
    </row>
    <row r="28" spans="6:10" x14ac:dyDescent="0.25">
      <c r="F28" s="12"/>
      <c r="G28" s="12"/>
      <c r="H28" s="12"/>
    </row>
    <row r="29" spans="6:10" x14ac:dyDescent="0.25">
      <c r="F29" s="44" t="s">
        <v>20</v>
      </c>
      <c r="G29" s="45"/>
      <c r="H29" s="46"/>
    </row>
    <row r="30" spans="6:10" x14ac:dyDescent="0.25">
      <c r="F30" s="47" t="str">
        <f>F8</f>
        <v>Investeringskostnader</v>
      </c>
      <c r="G30" s="48" t="s">
        <v>21</v>
      </c>
      <c r="H30" s="69">
        <f>H14*100*1000*H4</f>
        <v>1205991882464.804</v>
      </c>
    </row>
    <row r="31" spans="6:10" x14ac:dyDescent="0.25">
      <c r="F31" s="47" t="str">
        <f>F15</f>
        <v>Faste driftskostnader</v>
      </c>
      <c r="G31" s="48" t="s">
        <v>21</v>
      </c>
      <c r="H31" s="69">
        <f>-PV($C$5,$C$4,H15*100*1000*H4)</f>
        <v>306417618649.73676</v>
      </c>
    </row>
    <row r="32" spans="6:10" x14ac:dyDescent="0.25">
      <c r="F32" s="47" t="str">
        <f>F22</f>
        <v>Variable kostnader eks brensel</v>
      </c>
      <c r="G32" s="48" t="s">
        <v>21</v>
      </c>
      <c r="H32" s="69">
        <f>-PV($C$5,$C$4,H22*1000*H4*H5)</f>
        <v>89882501470.589432</v>
      </c>
    </row>
    <row r="33" spans="6:8" x14ac:dyDescent="0.25">
      <c r="F33" s="47" t="str">
        <f>F21</f>
        <v>Sum brensels- og utslippskostnader</v>
      </c>
      <c r="G33" s="48" t="s">
        <v>21</v>
      </c>
      <c r="H33" s="69">
        <f>-PV($C$5,$C$4,H4*H21*1000*H5)</f>
        <v>1266295809208.7556</v>
      </c>
    </row>
    <row r="34" spans="6:8" x14ac:dyDescent="0.25">
      <c r="F34" s="47" t="s">
        <v>22</v>
      </c>
      <c r="G34" s="48" t="s">
        <v>3</v>
      </c>
      <c r="H34" s="69">
        <f>-PV($C$5+$C$6,$C$4,H4*H5*1000)</f>
        <v>74963678377.374451</v>
      </c>
    </row>
    <row r="35" spans="6:8" x14ac:dyDescent="0.25">
      <c r="F35" s="29"/>
      <c r="G35" s="49"/>
      <c r="H35" s="50"/>
    </row>
    <row r="36" spans="6:8" x14ac:dyDescent="0.25">
      <c r="F36" s="13"/>
      <c r="G36" s="48"/>
      <c r="H36" s="15"/>
    </row>
    <row r="37" spans="6:8" x14ac:dyDescent="0.25">
      <c r="F37" s="13"/>
      <c r="G37" s="48"/>
      <c r="H37" s="16"/>
    </row>
    <row r="38" spans="6:8" x14ac:dyDescent="0.25">
      <c r="F38" s="19"/>
      <c r="G38" s="48"/>
      <c r="H38" s="18"/>
    </row>
    <row r="39" spans="6:8" x14ac:dyDescent="0.25">
      <c r="F39" s="19"/>
      <c r="G39" s="48"/>
      <c r="H39" s="18"/>
    </row>
    <row r="40" spans="6:8" x14ac:dyDescent="0.25">
      <c r="F40" s="29"/>
      <c r="G40" s="51"/>
      <c r="H40" s="50"/>
    </row>
    <row r="41" spans="6:8" x14ac:dyDescent="0.25">
      <c r="F41" s="29"/>
      <c r="G41" s="29"/>
      <c r="H41" s="29"/>
    </row>
    <row r="42" spans="6:8" x14ac:dyDescent="0.25">
      <c r="F42" s="29"/>
      <c r="G42" s="29"/>
      <c r="H42" s="29"/>
    </row>
  </sheetData>
  <mergeCells count="4">
    <mergeCell ref="I9:I13"/>
    <mergeCell ref="J9:J13"/>
    <mergeCell ref="I24:I25"/>
    <mergeCell ref="J24:J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Kostnad 2016</vt:lpstr>
    </vt:vector>
  </TitlesOfParts>
  <Company>NVE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Olav Karstad Isachsen</dc:creator>
  <cp:lastModifiedBy>Olav Karstad Isachsen</cp:lastModifiedBy>
  <dcterms:created xsi:type="dcterms:W3CDTF">2016-11-15T12:54:30Z</dcterms:created>
  <dcterms:modified xsi:type="dcterms:W3CDTF">2017-06-12T12:45:08Z</dcterms:modified>
</cp:coreProperties>
</file>