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C13" i="2" l="1"/>
  <c r="J22" i="2" l="1"/>
  <c r="C12" i="2"/>
  <c r="I12" i="2" s="1"/>
  <c r="C5" i="2"/>
  <c r="C11" i="2"/>
  <c r="C6" i="2"/>
  <c r="C4" i="2"/>
  <c r="C3" i="2"/>
  <c r="J8" i="2"/>
  <c r="I8" i="2"/>
  <c r="H8" i="2"/>
  <c r="H37" i="2" l="1"/>
  <c r="H36" i="2"/>
  <c r="J36" i="2"/>
  <c r="I37" i="2"/>
  <c r="I36" i="2"/>
  <c r="J37" i="2"/>
  <c r="I13" i="2"/>
  <c r="J13" i="2"/>
  <c r="J10" i="2"/>
  <c r="J11" i="2"/>
  <c r="J12" i="2"/>
  <c r="H16" i="2"/>
  <c r="H33" i="2" s="1"/>
  <c r="I16" i="2"/>
  <c r="I33" i="2" s="1"/>
  <c r="J16" i="2"/>
  <c r="J33" i="2" s="1"/>
  <c r="H10" i="2"/>
  <c r="H24" i="2"/>
  <c r="H34" i="2" s="1"/>
  <c r="H11" i="2"/>
  <c r="I24" i="2"/>
  <c r="I34" i="2" s="1"/>
  <c r="H13" i="2"/>
  <c r="J24" i="2"/>
  <c r="J34" i="2" s="1"/>
  <c r="I10" i="2"/>
  <c r="I11" i="2"/>
  <c r="H38" i="2" l="1"/>
  <c r="I38" i="2"/>
  <c r="J38" i="2"/>
  <c r="H14" i="2"/>
  <c r="H15" i="2" s="1"/>
  <c r="H32" i="2" s="1"/>
  <c r="C10" i="2"/>
  <c r="C8" i="2"/>
  <c r="I20" i="2" l="1"/>
  <c r="H20" i="2"/>
  <c r="J20" i="2"/>
  <c r="J21" i="2"/>
  <c r="C9" i="2"/>
  <c r="H19" i="2" s="1"/>
  <c r="H23" i="2" s="1"/>
  <c r="H35" i="2" s="1"/>
  <c r="C7" i="2"/>
  <c r="J7" i="2" s="1"/>
  <c r="H25" i="2" l="1"/>
  <c r="H7" i="2"/>
  <c r="I7" i="2"/>
  <c r="J19" i="2"/>
  <c r="J23" i="2" s="1"/>
  <c r="J35" i="2" s="1"/>
  <c r="I19" i="2"/>
  <c r="I23" i="2" s="1"/>
  <c r="I35" i="2" s="1"/>
  <c r="H27" i="2" l="1"/>
  <c r="J14" i="2"/>
  <c r="J15" i="2" s="1"/>
  <c r="I14" i="2"/>
  <c r="I15" i="2" s="1"/>
  <c r="F35" i="2"/>
  <c r="F34" i="2"/>
  <c r="F33" i="2"/>
  <c r="F32" i="2"/>
  <c r="I32" i="2" l="1"/>
  <c r="J32" i="2"/>
  <c r="J25" i="2" l="1"/>
  <c r="J27" i="2" s="1"/>
  <c r="I25" i="2"/>
  <c r="I27" i="2" s="1"/>
</calcChain>
</file>

<file path=xl/sharedStrings.xml><?xml version="1.0" encoding="utf-8"?>
<sst xmlns="http://schemas.openxmlformats.org/spreadsheetml/2006/main" count="91" uniqueCount="61">
  <si>
    <t>Faste driftskostnader</t>
  </si>
  <si>
    <t>%</t>
  </si>
  <si>
    <t>øre/kWh</t>
  </si>
  <si>
    <t>kWh</t>
  </si>
  <si>
    <t>Enhet</t>
  </si>
  <si>
    <t>Ytelse</t>
  </si>
  <si>
    <t xml:space="preserve">Fullasttimer </t>
  </si>
  <si>
    <t>timer/år</t>
  </si>
  <si>
    <t>Investeringskostnader</t>
  </si>
  <si>
    <t>Maskiner og utstyr</t>
  </si>
  <si>
    <t>Byggekostnader</t>
  </si>
  <si>
    <t>Nettilknytning</t>
  </si>
  <si>
    <t>Prosjektering og administrasjon</t>
  </si>
  <si>
    <t xml:space="preserve">   Byggetidsrenter     </t>
  </si>
  <si>
    <t xml:space="preserve">Sum investeringskostnader </t>
  </si>
  <si>
    <t xml:space="preserve">Spesifikt brenselforbruk  </t>
  </si>
  <si>
    <t>CO2-avgift</t>
  </si>
  <si>
    <t>NOx-avgift</t>
  </si>
  <si>
    <t>CO2-kvoter</t>
  </si>
  <si>
    <t>Brensels- og utslippskostnader</t>
  </si>
  <si>
    <t>Variable kostnader eks brensel</t>
  </si>
  <si>
    <t>Nåverdier</t>
  </si>
  <si>
    <t>øre</t>
  </si>
  <si>
    <t>Produsert elektrisitet</t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</si>
  <si>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</si>
  <si>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</si>
  <si>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</si>
  <si>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</si>
  <si>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</si>
  <si>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</si>
  <si>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</si>
  <si>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</si>
  <si>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Brenselpris</t>
  </si>
  <si>
    <t>Brenselskostnad</t>
  </si>
  <si>
    <t>Degraderingsrate</t>
  </si>
  <si>
    <t>prosent/år</t>
  </si>
  <si>
    <t>enhet</t>
  </si>
  <si>
    <t>Diskonteringsrente</t>
  </si>
  <si>
    <t>prosent</t>
  </si>
  <si>
    <t>kWh/Sm3</t>
  </si>
  <si>
    <t>faktor</t>
  </si>
  <si>
    <t>Inflasjon 2013-2016</t>
  </si>
  <si>
    <t>Energiinhold, nedre brennverdi</t>
  </si>
  <si>
    <t>Energiinhold, øvre brennverdi</t>
  </si>
  <si>
    <t>øre/kWhbrensel</t>
  </si>
  <si>
    <t>kr/kWel</t>
  </si>
  <si>
    <t>kr/kWel /år</t>
  </si>
  <si>
    <t>øre/kWhel</t>
  </si>
  <si>
    <t>MWel</t>
  </si>
  <si>
    <t>kWhbrensel/kWhel</t>
  </si>
  <si>
    <t>Virkningsgrad (nedre brennverdi)</t>
  </si>
  <si>
    <t>Norconsult</t>
  </si>
  <si>
    <t>Justert opp fra Kostnader i energisektoren 2015 vha infasjonsindeks</t>
  </si>
  <si>
    <t>Sum brensels- og utslippskostnader</t>
  </si>
  <si>
    <t>Virkningsgrad (øvre  brennverdi)</t>
  </si>
  <si>
    <t>Momentanvirkningsgrad basert på nedre brennverdi.</t>
  </si>
  <si>
    <t>Gassmotor med avgasskjel</t>
  </si>
  <si>
    <t>Erfaringstall fra Norconsult og leverandører i Norge</t>
  </si>
  <si>
    <t>Elandel</t>
  </si>
  <si>
    <t>Produsert varme</t>
  </si>
  <si>
    <t>Kostnadsutvikling er sterkt avhengig av brenselspris og utslippskostnader. Brensels- og utslipskostnader er antatt konstant her. Teknologi er moden. Kostnadsutviklingen er knyttet til forbedring av virkningsgraden og noe reduksjon i investeringskostnader.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</si>
</sst>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#,##0.0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</cellStyleXfs>
  <cellXfs count="96">
    <xf numFmtId="0" fontId="0" fillId="0" borderId="0" xfId="0"/>
    <xf numFmtId="164" fontId="7" fillId="0" borderId="1" xfId="1" applyFont="1" applyFill="1" applyBorder="1"/>
    <xf numFmtId="164" fontId="7" fillId="0" borderId="12" xfId="1" applyFont="1" applyFill="1" applyBorder="1"/>
    <xf numFmtId="164" fontId="7" fillId="0" borderId="2" xfId="1" applyFont="1" applyFill="1" applyBorder="1"/>
    <xf numFmtId="164" fontId="7" fillId="0" borderId="15" xfId="1" applyFont="1" applyFill="1" applyBorder="1" applyAlignment="1">
      <alignment horizontal="right"/>
    </xf>
    <xf numFmtId="164" fontId="4" fillId="0" borderId="2" xfId="1" applyFont="1" applyFill="1" applyBorder="1" applyAlignment="1">
      <alignment horizontal="left" indent="1"/>
    </xf>
    <xf numFmtId="164" fontId="4" fillId="0" borderId="15" xfId="1" applyFont="1" applyFill="1" applyBorder="1" applyAlignment="1">
      <alignment horizontal="right"/>
    </xf>
    <xf numFmtId="3" fontId="4" fillId="0" borderId="8" xfId="1" applyNumberFormat="1" applyFont="1" applyFill="1" applyBorder="1"/>
    <xf numFmtId="164" fontId="4" fillId="0" borderId="2" xfId="1" applyFont="1" applyFill="1" applyBorder="1"/>
    <xf numFmtId="164" fontId="4" fillId="0" borderId="13" xfId="1" applyFont="1" applyFill="1" applyBorder="1" applyAlignment="1">
      <alignment horizontal="right"/>
    </xf>
    <xf numFmtId="165" fontId="4" fillId="0" borderId="8" xfId="2" applyNumberFormat="1" applyFont="1" applyFill="1" applyBorder="1"/>
    <xf numFmtId="165" fontId="4" fillId="0" borderId="8" xfId="1" applyNumberFormat="1" applyFont="1" applyFill="1" applyBorder="1"/>
    <xf numFmtId="164" fontId="4" fillId="0" borderId="16" xfId="1" applyFont="1" applyFill="1" applyBorder="1" applyAlignment="1">
      <alignment horizontal="right"/>
    </xf>
    <xf numFmtId="165" fontId="4" fillId="0" borderId="17" xfId="2" applyNumberFormat="1" applyFont="1" applyFill="1" applyBorder="1"/>
    <xf numFmtId="164" fontId="7" fillId="0" borderId="18" xfId="1" applyFont="1" applyFill="1" applyBorder="1"/>
    <xf numFmtId="164" fontId="7" fillId="0" borderId="19" xfId="1" applyFont="1" applyFill="1" applyBorder="1" applyAlignment="1">
      <alignment horizontal="right"/>
    </xf>
    <xf numFmtId="165" fontId="7" fillId="0" borderId="19" xfId="0" applyNumberFormat="1" applyFont="1" applyFill="1" applyBorder="1"/>
    <xf numFmtId="0" fontId="4" fillId="0" borderId="0" xfId="0" applyFont="1"/>
    <xf numFmtId="164" fontId="9" fillId="0" borderId="0" xfId="1" applyFont="1" applyFill="1" applyBorder="1"/>
    <xf numFmtId="164" fontId="9" fillId="0" borderId="0" xfId="1" applyFont="1" applyFill="1" applyBorder="1" applyAlignment="1">
      <alignment horizontal="right"/>
    </xf>
    <xf numFmtId="165" fontId="9" fillId="0" borderId="0" xfId="1" applyNumberFormat="1" applyFont="1" applyFill="1" applyBorder="1"/>
    <xf numFmtId="0" fontId="4" fillId="0" borderId="15" xfId="0" applyFont="1" applyBorder="1" applyAlignment="1">
      <alignment horizontal="right"/>
    </xf>
    <xf numFmtId="40" fontId="4" fillId="0" borderId="0" xfId="0" applyNumberFormat="1" applyFont="1" applyBorder="1"/>
    <xf numFmtId="0" fontId="4" fillId="0" borderId="0" xfId="0" applyFont="1" applyBorder="1"/>
    <xf numFmtId="0" fontId="5" fillId="2" borderId="20" xfId="0" applyFont="1" applyFill="1" applyBorder="1"/>
    <xf numFmtId="0" fontId="5" fillId="2" borderId="21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3" borderId="0" xfId="0" applyFill="1"/>
    <xf numFmtId="164" fontId="5" fillId="3" borderId="2" xfId="1" applyFont="1" applyFill="1" applyBorder="1"/>
    <xf numFmtId="164" fontId="5" fillId="3" borderId="7" xfId="1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4" fontId="5" fillId="3" borderId="8" xfId="1" applyFont="1" applyFill="1" applyBorder="1" applyAlignment="1">
      <alignment horizontal="right"/>
    </xf>
    <xf numFmtId="164" fontId="5" fillId="3" borderId="9" xfId="1" applyFont="1" applyFill="1" applyBorder="1" applyAlignment="1">
      <alignment horizontal="right"/>
    </xf>
    <xf numFmtId="0" fontId="0" fillId="0" borderId="0" xfId="0" applyBorder="1"/>
    <xf numFmtId="2" fontId="4" fillId="0" borderId="0" xfId="0" applyNumberFormat="1" applyFont="1" applyBorder="1"/>
    <xf numFmtId="0" fontId="5" fillId="0" borderId="0" xfId="0" applyFont="1" applyFill="1" applyBorder="1"/>
    <xf numFmtId="166" fontId="2" fillId="0" borderId="0" xfId="3" applyNumberFormat="1" applyFont="1" applyBorder="1"/>
    <xf numFmtId="164" fontId="5" fillId="3" borderId="0" xfId="1" applyFont="1" applyFill="1" applyBorder="1"/>
    <xf numFmtId="3" fontId="4" fillId="0" borderId="9" xfId="1" applyNumberFormat="1" applyFont="1" applyFill="1" applyBorder="1"/>
    <xf numFmtId="165" fontId="4" fillId="0" borderId="9" xfId="1" applyNumberFormat="1" applyFont="1" applyFill="1" applyBorder="1"/>
    <xf numFmtId="165" fontId="4" fillId="0" borderId="22" xfId="2" applyNumberFormat="1" applyFont="1" applyFill="1" applyBorder="1"/>
    <xf numFmtId="165" fontId="7" fillId="0" borderId="23" xfId="0" applyNumberFormat="1" applyFont="1" applyFill="1" applyBorder="1"/>
    <xf numFmtId="2" fontId="0" fillId="0" borderId="0" xfId="0" applyNumberFormat="1"/>
    <xf numFmtId="0" fontId="5" fillId="2" borderId="24" xfId="0" applyFont="1" applyFill="1" applyBorder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164" fontId="7" fillId="0" borderId="0" xfId="1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40" fontId="0" fillId="0" borderId="0" xfId="0" applyNumberFormat="1" applyBorder="1"/>
    <xf numFmtId="0" fontId="4" fillId="0" borderId="0" xfId="0" applyFont="1" applyFill="1" applyBorder="1" applyAlignment="1">
      <alignment horizontal="right"/>
    </xf>
    <xf numFmtId="2" fontId="4" fillId="0" borderId="8" xfId="1" applyNumberFormat="1" applyFont="1" applyFill="1" applyBorder="1"/>
    <xf numFmtId="167" fontId="4" fillId="0" borderId="8" xfId="1" applyNumberFormat="1" applyFont="1" applyFill="1" applyBorder="1"/>
    <xf numFmtId="0" fontId="0" fillId="0" borderId="0" xfId="0" applyAlignment="1">
      <alignment horizontal="center" wrapText="1"/>
    </xf>
    <xf numFmtId="164" fontId="7" fillId="0" borderId="8" xfId="1" applyFont="1" applyFill="1" applyBorder="1"/>
    <xf numFmtId="164" fontId="5" fillId="3" borderId="15" xfId="1" applyFont="1" applyFill="1" applyBorder="1" applyAlignment="1">
      <alignment horizontal="right"/>
    </xf>
    <xf numFmtId="3" fontId="4" fillId="0" borderId="3" xfId="1" applyNumberFormat="1" applyFont="1" applyFill="1" applyBorder="1"/>
    <xf numFmtId="9" fontId="4" fillId="0" borderId="3" xfId="1" applyNumberFormat="1" applyFont="1" applyFill="1" applyBorder="1"/>
    <xf numFmtId="9" fontId="9" fillId="0" borderId="3" xfId="1" applyNumberFormat="1" applyFont="1" applyFill="1" applyBorder="1"/>
    <xf numFmtId="164" fontId="7" fillId="0" borderId="25" xfId="1" applyFont="1" applyFill="1" applyBorder="1"/>
    <xf numFmtId="3" fontId="4" fillId="0" borderId="17" xfId="2" applyNumberFormat="1" applyFont="1" applyFill="1" applyBorder="1"/>
    <xf numFmtId="3" fontId="4" fillId="0" borderId="8" xfId="4" applyNumberFormat="1" applyFont="1" applyFill="1" applyBorder="1"/>
    <xf numFmtId="1" fontId="4" fillId="0" borderId="8" xfId="4" applyNumberFormat="1" applyFont="1" applyFill="1" applyBorder="1"/>
    <xf numFmtId="3" fontId="4" fillId="0" borderId="14" xfId="1" applyNumberFormat="1" applyFont="1" applyFill="1" applyBorder="1"/>
    <xf numFmtId="9" fontId="4" fillId="0" borderId="14" xfId="1" applyNumberFormat="1" applyFont="1" applyFill="1" applyBorder="1"/>
    <xf numFmtId="9" fontId="9" fillId="0" borderId="14" xfId="1" applyNumberFormat="1" applyFont="1" applyFill="1" applyBorder="1"/>
    <xf numFmtId="164" fontId="7" fillId="0" borderId="9" xfId="1" applyFont="1" applyFill="1" applyBorder="1"/>
    <xf numFmtId="3" fontId="4" fillId="0" borderId="9" xfId="4" applyNumberFormat="1" applyFont="1" applyFill="1" applyBorder="1"/>
    <xf numFmtId="1" fontId="4" fillId="0" borderId="9" xfId="4" applyNumberFormat="1" applyFont="1" applyFill="1" applyBorder="1"/>
    <xf numFmtId="3" fontId="4" fillId="0" borderId="26" xfId="4" applyNumberFormat="1" applyFont="1" applyFill="1" applyBorder="1"/>
    <xf numFmtId="3" fontId="4" fillId="0" borderId="22" xfId="2" applyNumberFormat="1" applyFont="1" applyFill="1" applyBorder="1"/>
    <xf numFmtId="2" fontId="4" fillId="0" borderId="9" xfId="1" applyNumberFormat="1" applyFont="1" applyFill="1" applyBorder="1"/>
    <xf numFmtId="167" fontId="4" fillId="0" borderId="9" xfId="1" applyNumberFormat="1" applyFont="1" applyFill="1" applyBorder="1"/>
    <xf numFmtId="164" fontId="7" fillId="0" borderId="10" xfId="1" applyFont="1" applyFill="1" applyBorder="1" applyAlignment="1">
      <alignment horizontal="right"/>
    </xf>
    <xf numFmtId="0" fontId="0" fillId="0" borderId="0" xfId="0" applyFont="1" applyBorder="1"/>
    <xf numFmtId="166" fontId="10" fillId="0" borderId="0" xfId="3" applyNumberFormat="1" applyFont="1" applyBorder="1"/>
    <xf numFmtId="4" fontId="0" fillId="0" borderId="0" xfId="0" applyNumberFormat="1" applyFont="1"/>
    <xf numFmtId="9" fontId="4" fillId="0" borderId="8" xfId="1" applyNumberFormat="1" applyFont="1" applyFill="1" applyBorder="1"/>
    <xf numFmtId="9" fontId="4" fillId="0" borderId="9" xfId="1" applyNumberFormat="1" applyFont="1" applyFill="1" applyBorder="1"/>
    <xf numFmtId="164" fontId="11" fillId="0" borderId="2" xfId="1" applyFont="1" applyFill="1" applyBorder="1"/>
    <xf numFmtId="0" fontId="11" fillId="0" borderId="15" xfId="0" applyFont="1" applyBorder="1" applyAlignment="1">
      <alignment horizontal="right"/>
    </xf>
    <xf numFmtId="2" fontId="11" fillId="0" borderId="8" xfId="1" applyNumberFormat="1" applyFont="1" applyFill="1" applyBorder="1"/>
    <xf numFmtId="2" fontId="11" fillId="0" borderId="9" xfId="1" applyNumberFormat="1" applyFont="1" applyFill="1" applyBorder="1"/>
    <xf numFmtId="168" fontId="4" fillId="0" borderId="0" xfId="5" applyNumberFormat="1" applyFont="1" applyBorder="1"/>
    <xf numFmtId="168" fontId="4" fillId="0" borderId="0" xfId="5" applyNumberFormat="1" applyFont="1" applyFill="1" applyBorder="1" applyAlignment="1">
      <alignment horizontal="right"/>
    </xf>
    <xf numFmtId="43" fontId="4" fillId="0" borderId="0" xfId="0" applyNumberFormat="1" applyFont="1"/>
    <xf numFmtId="43" fontId="4" fillId="0" borderId="0" xfId="0" applyNumberFormat="1" applyFont="1" applyBorder="1" applyAlignment="1">
      <alignment horizontal="right"/>
    </xf>
    <xf numFmtId="4" fontId="4" fillId="0" borderId="11" xfId="1" applyNumberFormat="1" applyFont="1" applyFill="1" applyBorder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6">
    <cellStyle name="Komma" xfId="5" builtinId="3"/>
    <cellStyle name="Normal" xfId="0" builtinId="0"/>
    <cellStyle name="Normal 2 2" xfId="4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asskj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7">
          <cell r="D7">
            <v>11.611111111111111</v>
          </cell>
          <cell r="E7">
            <v>10.3</v>
          </cell>
        </row>
        <row r="48">
          <cell r="D48">
            <v>19.347380258899673</v>
          </cell>
        </row>
      </sheetData>
      <sheetData sheetId="1">
        <row r="6">
          <cell r="H6">
            <v>8.7378640776699026</v>
          </cell>
        </row>
      </sheetData>
      <sheetData sheetId="2">
        <row r="4">
          <cell r="E4">
            <v>0.96601941747572806</v>
          </cell>
        </row>
      </sheetData>
      <sheetData sheetId="3">
        <row r="1">
          <cell r="C1">
            <v>1.07973174366617</v>
          </cell>
        </row>
        <row r="17">
          <cell r="C17">
            <v>1</v>
          </cell>
        </row>
        <row r="42">
          <cell r="C42">
            <v>20</v>
          </cell>
          <cell r="D42">
            <v>0.06</v>
          </cell>
          <cell r="E42">
            <v>1E-3</v>
          </cell>
        </row>
      </sheetData>
      <sheetData sheetId="4">
        <row r="8">
          <cell r="H8">
            <v>1.8886009708737856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nad 2016"/>
    </sheetNames>
    <sheetDataSet>
      <sheetData sheetId="0">
        <row r="35">
          <cell r="I35">
            <v>38.455272490647218</v>
          </cell>
          <cell r="J35">
            <v>36.818831333235217</v>
          </cell>
          <cell r="K35">
            <v>34.394079387060025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H25" sqref="H25"/>
    </sheetView>
  </sheetViews>
  <sheetFormatPr baseColWidth="10" defaultRowHeight="15" x14ac:dyDescent="0.25"/>
  <cols>
    <col min="1" max="1" width="21.5703125" customWidth="1"/>
    <col min="6" max="6" width="34.28515625" customWidth="1"/>
    <col min="7" max="8" width="16.140625" customWidth="1"/>
    <col min="9" max="9" width="13.42578125" customWidth="1"/>
    <col min="10" max="10" width="16.7109375" bestFit="1" customWidth="1"/>
    <col min="11" max="11" width="30.7109375" customWidth="1"/>
    <col min="12" max="12" width="25.28515625" customWidth="1"/>
  </cols>
  <sheetData>
    <row r="1" spans="1:12" ht="15.75" thickBot="1" x14ac:dyDescent="0.3"/>
    <row r="2" spans="1:12" x14ac:dyDescent="0.25">
      <c r="A2" s="24"/>
      <c r="B2" s="24" t="s">
        <v>36</v>
      </c>
      <c r="C2" s="25"/>
      <c r="D2" s="37"/>
      <c r="F2" s="46" t="s">
        <v>56</v>
      </c>
      <c r="G2" s="47"/>
      <c r="H2" s="47"/>
      <c r="I2" s="47"/>
      <c r="J2" s="48"/>
      <c r="K2" s="28"/>
      <c r="L2" s="28"/>
    </row>
    <row r="3" spans="1:12" x14ac:dyDescent="0.25">
      <c r="A3" s="24" t="s">
        <v>30</v>
      </c>
      <c r="B3" t="s">
        <v>29</v>
      </c>
      <c r="C3">
        <f>'[1]byggetid levetid rente'!$C$17</f>
        <v>1</v>
      </c>
      <c r="E3" s="27"/>
      <c r="F3" s="29"/>
      <c r="G3" s="30" t="s">
        <v>4</v>
      </c>
      <c r="H3" s="33"/>
      <c r="I3" s="31"/>
      <c r="J3" s="32"/>
      <c r="K3" s="28"/>
      <c r="L3" s="28"/>
    </row>
    <row r="4" spans="1:12" x14ac:dyDescent="0.25">
      <c r="A4" s="24" t="s">
        <v>31</v>
      </c>
      <c r="B4" t="s">
        <v>29</v>
      </c>
      <c r="C4" s="79">
        <f>'[1]byggetid levetid rente'!$C$42</f>
        <v>20</v>
      </c>
      <c r="E4" s="27"/>
      <c r="F4" s="29" t="s">
        <v>5</v>
      </c>
      <c r="G4" s="60" t="s">
        <v>48</v>
      </c>
      <c r="H4" s="33">
        <v>0.1</v>
      </c>
      <c r="I4" s="33">
        <v>1</v>
      </c>
      <c r="J4" s="34">
        <v>10</v>
      </c>
      <c r="K4" s="39" t="s">
        <v>25</v>
      </c>
      <c r="L4" s="39" t="s">
        <v>24</v>
      </c>
    </row>
    <row r="5" spans="1:12" x14ac:dyDescent="0.25">
      <c r="A5" s="24" t="s">
        <v>37</v>
      </c>
      <c r="B5" t="s">
        <v>35</v>
      </c>
      <c r="C5" s="38">
        <f>'[1]byggetid levetid rente'!$D$42</f>
        <v>0.06</v>
      </c>
      <c r="E5" s="27"/>
      <c r="F5" s="2" t="s">
        <v>6</v>
      </c>
      <c r="G5" s="9" t="s">
        <v>7</v>
      </c>
      <c r="H5" s="61">
        <v>6000</v>
      </c>
      <c r="I5" s="61">
        <v>6000</v>
      </c>
      <c r="J5" s="61">
        <v>6000</v>
      </c>
      <c r="K5" t="s">
        <v>51</v>
      </c>
    </row>
    <row r="6" spans="1:12" ht="45" x14ac:dyDescent="0.25">
      <c r="A6" s="24" t="s">
        <v>34</v>
      </c>
      <c r="B6" s="17" t="s">
        <v>38</v>
      </c>
      <c r="C6" s="80">
        <f>'[1]byggetid levetid rente'!$E$42</f>
        <v>1E-3</v>
      </c>
      <c r="E6" s="17"/>
      <c r="F6" s="2" t="s">
        <v>50</v>
      </c>
      <c r="G6" s="9" t="s">
        <v>1</v>
      </c>
      <c r="H6" s="62">
        <v>0.88</v>
      </c>
      <c r="I6" s="62">
        <v>0.89</v>
      </c>
      <c r="J6" s="69">
        <v>0.95</v>
      </c>
      <c r="K6" t="s">
        <v>51</v>
      </c>
      <c r="L6" s="58" t="s">
        <v>55</v>
      </c>
    </row>
    <row r="7" spans="1:12" x14ac:dyDescent="0.25">
      <c r="A7" s="24" t="s">
        <v>42</v>
      </c>
      <c r="B7" s="17" t="s">
        <v>39</v>
      </c>
      <c r="C7" s="36">
        <f>'[1]Brennverdier og priser'!$E$7</f>
        <v>10.3</v>
      </c>
      <c r="D7" s="17"/>
      <c r="E7" s="17"/>
      <c r="F7" s="2" t="s">
        <v>54</v>
      </c>
      <c r="G7" s="9" t="s">
        <v>1</v>
      </c>
      <c r="H7" s="63">
        <f>H6/$C$8*$C$7</f>
        <v>0.78063157894736857</v>
      </c>
      <c r="I7" s="63">
        <f>I6/$C$8*$C$7</f>
        <v>0.78950239234449771</v>
      </c>
      <c r="J7" s="70">
        <f>J6/$C$8*$C$7</f>
        <v>0.84272727272727277</v>
      </c>
    </row>
    <row r="8" spans="1:12" x14ac:dyDescent="0.25">
      <c r="A8" s="24" t="s">
        <v>43</v>
      </c>
      <c r="B8" s="17" t="s">
        <v>39</v>
      </c>
      <c r="C8" s="36">
        <f>'[1]Brennverdier og priser'!$D$7</f>
        <v>11.611111111111111</v>
      </c>
      <c r="E8" s="17"/>
      <c r="F8" s="3" t="s">
        <v>58</v>
      </c>
      <c r="G8" s="6"/>
      <c r="H8" s="82">
        <f>33/88</f>
        <v>0.375</v>
      </c>
      <c r="I8" s="82">
        <f>41/89</f>
        <v>0.4606741573033708</v>
      </c>
      <c r="J8" s="83">
        <f>45/95</f>
        <v>0.47368421052631576</v>
      </c>
      <c r="K8" t="s">
        <v>51</v>
      </c>
    </row>
    <row r="9" spans="1:12" ht="15" customHeight="1" x14ac:dyDescent="0.25">
      <c r="A9" s="24" t="s">
        <v>32</v>
      </c>
      <c r="B9" s="17" t="s">
        <v>44</v>
      </c>
      <c r="C9" s="36">
        <f>'[1]Brennverdier og priser'!$D$48</f>
        <v>19.347380258899673</v>
      </c>
      <c r="E9" s="17"/>
      <c r="F9" s="3" t="s">
        <v>8</v>
      </c>
      <c r="G9" s="4"/>
      <c r="H9" s="59"/>
      <c r="I9" s="59"/>
      <c r="J9" s="71"/>
    </row>
    <row r="10" spans="1:12" x14ac:dyDescent="0.25">
      <c r="A10" s="45" t="s">
        <v>16</v>
      </c>
      <c r="B10" s="17" t="s">
        <v>44</v>
      </c>
      <c r="C10" s="81">
        <f>'[1]CO2-avgift, grunnavgift'!$H$6</f>
        <v>8.7378640776699026</v>
      </c>
      <c r="D10" s="17"/>
      <c r="E10" s="17"/>
      <c r="F10" s="5" t="s">
        <v>9</v>
      </c>
      <c r="G10" s="6" t="s">
        <v>45</v>
      </c>
      <c r="H10" s="66">
        <f>6250*C12</f>
        <v>6748.3233979135621</v>
      </c>
      <c r="I10" s="66">
        <f>4500*C12</f>
        <v>4858.7928464977649</v>
      </c>
      <c r="J10" s="72">
        <f>3380*C12</f>
        <v>3649.4932935916545</v>
      </c>
      <c r="K10" s="94" t="s">
        <v>57</v>
      </c>
      <c r="L10" s="93" t="s">
        <v>52</v>
      </c>
    </row>
    <row r="11" spans="1:12" x14ac:dyDescent="0.25">
      <c r="A11" s="45" t="s">
        <v>17</v>
      </c>
      <c r="B11" s="17" t="s">
        <v>44</v>
      </c>
      <c r="C11" s="44">
        <f>'[1]NOX avgift'!$H$8</f>
        <v>1.8886009708737856</v>
      </c>
      <c r="E11" s="26"/>
      <c r="F11" s="5" t="s">
        <v>10</v>
      </c>
      <c r="G11" s="6" t="s">
        <v>45</v>
      </c>
      <c r="H11" s="7">
        <f>3150*C12</f>
        <v>3401.1549925484355</v>
      </c>
      <c r="I11" s="7">
        <f>1800*C12</f>
        <v>1943.5171385991059</v>
      </c>
      <c r="J11" s="40">
        <f>1040*C12</f>
        <v>1122.9210134128168</v>
      </c>
      <c r="K11" s="94"/>
      <c r="L11" s="93"/>
    </row>
    <row r="12" spans="1:12" x14ac:dyDescent="0.25">
      <c r="A12" s="24" t="s">
        <v>41</v>
      </c>
      <c r="B12" s="17" t="s">
        <v>40</v>
      </c>
      <c r="C12" s="44">
        <f>'[1]byggetid levetid rente'!$C$1</f>
        <v>1.07973174366617</v>
      </c>
      <c r="D12" s="26"/>
      <c r="E12" s="26"/>
      <c r="F12" s="5" t="s">
        <v>11</v>
      </c>
      <c r="G12" s="6" t="s">
        <v>45</v>
      </c>
      <c r="H12" s="67"/>
      <c r="I12" s="67">
        <f>660*C12</f>
        <v>712.62295081967216</v>
      </c>
      <c r="J12" s="73">
        <f>230*C12</f>
        <v>248.3383010432191</v>
      </c>
      <c r="K12" s="94"/>
      <c r="L12" s="93"/>
    </row>
    <row r="13" spans="1:12" x14ac:dyDescent="0.25">
      <c r="A13" s="45" t="s">
        <v>18</v>
      </c>
      <c r="B13" s="17" t="s">
        <v>44</v>
      </c>
      <c r="C13" s="90">
        <f>'[1]CO2-kvoter'!$E$4</f>
        <v>0.96601941747572806</v>
      </c>
      <c r="D13" s="26"/>
      <c r="E13" s="26"/>
      <c r="F13" s="5" t="s">
        <v>12</v>
      </c>
      <c r="G13" s="6" t="s">
        <v>45</v>
      </c>
      <c r="H13" s="67">
        <f>1100*C12</f>
        <v>1187.704918032787</v>
      </c>
      <c r="I13" s="67">
        <f>945*C12</f>
        <v>1020.3464977645307</v>
      </c>
      <c r="J13" s="73">
        <f>780*C12</f>
        <v>842.19076005961256</v>
      </c>
      <c r="K13" s="94"/>
      <c r="L13" s="93"/>
    </row>
    <row r="14" spans="1:12" x14ac:dyDescent="0.25">
      <c r="F14" s="8" t="s">
        <v>13</v>
      </c>
      <c r="G14" s="6" t="s">
        <v>45</v>
      </c>
      <c r="H14" s="66">
        <f>(H10+H11+H12+H13)*(((1+($C$5))*((1+$C$5)^($C$3)-1))/($C$5*$C$3))-(H10+H11+H12+H13)</f>
        <v>680.23099850969811</v>
      </c>
      <c r="I14" s="66">
        <f>(I10+I11+I12+I13)*(((1+($C$5))*((1+$C$5)^($C$3)-1))/($C$5*$C$3))-(I10+I11+I12+I13)</f>
        <v>512.11676602087209</v>
      </c>
      <c r="J14" s="74">
        <f>(J10+J11+J12+J13)*(((1+($C$5))*((1+$C$5)^($C$3)-1))/($C$5*$C$3))-(J10+J11+J12+J13)</f>
        <v>351.77660208644375</v>
      </c>
      <c r="K14" s="94"/>
      <c r="L14" s="93"/>
    </row>
    <row r="15" spans="1:12" x14ac:dyDescent="0.25">
      <c r="F15" s="64" t="s">
        <v>14</v>
      </c>
      <c r="G15" s="6" t="s">
        <v>45</v>
      </c>
      <c r="H15" s="65">
        <f>SUM(H10:H14)</f>
        <v>12017.414307004483</v>
      </c>
      <c r="I15" s="65">
        <f>SUM(I10:I14)</f>
        <v>9047.3961997019451</v>
      </c>
      <c r="J15" s="75">
        <f>SUM(J10:J14)</f>
        <v>6214.7199701937461</v>
      </c>
      <c r="K15" s="94"/>
    </row>
    <row r="16" spans="1:12" x14ac:dyDescent="0.25">
      <c r="F16" s="2" t="s">
        <v>0</v>
      </c>
      <c r="G16" s="9" t="s">
        <v>46</v>
      </c>
      <c r="H16" s="61">
        <f>2000*C12</f>
        <v>2159.4634873323398</v>
      </c>
      <c r="I16" s="61">
        <f>640*C12</f>
        <v>691.02831594634881</v>
      </c>
      <c r="J16" s="68">
        <f>440*C12</f>
        <v>475.08196721311481</v>
      </c>
      <c r="K16" t="s">
        <v>57</v>
      </c>
      <c r="L16" t="s">
        <v>52</v>
      </c>
    </row>
    <row r="17" spans="6:12" x14ac:dyDescent="0.25">
      <c r="F17" s="3" t="s">
        <v>19</v>
      </c>
      <c r="G17" s="6"/>
      <c r="H17" s="7"/>
      <c r="I17" s="7"/>
      <c r="J17" s="40"/>
    </row>
    <row r="18" spans="6:12" x14ac:dyDescent="0.25">
      <c r="F18" s="8" t="s">
        <v>15</v>
      </c>
      <c r="G18" s="6" t="s">
        <v>49</v>
      </c>
      <c r="H18" s="10">
        <f>1/H6/H8</f>
        <v>3.0303030303030307</v>
      </c>
      <c r="I18" s="10">
        <f t="shared" ref="I18:J18" si="0">1/I6/I8</f>
        <v>2.4390243902439024</v>
      </c>
      <c r="J18" s="10">
        <f t="shared" si="0"/>
        <v>2.2222222222222223</v>
      </c>
    </row>
    <row r="19" spans="6:12" x14ac:dyDescent="0.25">
      <c r="F19" s="8" t="s">
        <v>33</v>
      </c>
      <c r="G19" s="21" t="s">
        <v>44</v>
      </c>
      <c r="H19" s="11">
        <f>$C$9</f>
        <v>19.347380258899673</v>
      </c>
      <c r="I19" s="11">
        <f>$C$9</f>
        <v>19.347380258899673</v>
      </c>
      <c r="J19" s="41">
        <f>$C$9</f>
        <v>19.347380258899673</v>
      </c>
    </row>
    <row r="20" spans="6:12" x14ac:dyDescent="0.25">
      <c r="F20" s="8" t="s">
        <v>16</v>
      </c>
      <c r="G20" s="21" t="s">
        <v>44</v>
      </c>
      <c r="H20" s="56">
        <f>$C$10</f>
        <v>8.7378640776699026</v>
      </c>
      <c r="I20" s="56">
        <f>$C$10</f>
        <v>8.7378640776699026</v>
      </c>
      <c r="J20" s="76">
        <f>$C$10</f>
        <v>8.7378640776699026</v>
      </c>
    </row>
    <row r="21" spans="6:12" x14ac:dyDescent="0.25">
      <c r="F21" s="8" t="s">
        <v>17</v>
      </c>
      <c r="G21" s="21" t="s">
        <v>44</v>
      </c>
      <c r="H21" s="56">
        <v>0</v>
      </c>
      <c r="I21" s="56">
        <v>0</v>
      </c>
      <c r="J21" s="76">
        <f>$C$11</f>
        <v>1.8886009708737856</v>
      </c>
    </row>
    <row r="22" spans="6:12" x14ac:dyDescent="0.25">
      <c r="F22" s="84" t="s">
        <v>18</v>
      </c>
      <c r="G22" s="85" t="s">
        <v>44</v>
      </c>
      <c r="H22" s="86">
        <v>0</v>
      </c>
      <c r="I22" s="86">
        <v>0</v>
      </c>
      <c r="J22" s="87">
        <f>$C$13</f>
        <v>0.96601941747572806</v>
      </c>
    </row>
    <row r="23" spans="6:12" x14ac:dyDescent="0.25">
      <c r="F23" s="3" t="s">
        <v>53</v>
      </c>
      <c r="G23" s="12" t="s">
        <v>47</v>
      </c>
      <c r="H23" s="13">
        <f>SUM(H19:H22)*H18</f>
        <v>85.106801019907806</v>
      </c>
      <c r="I23" s="13">
        <f>SUM(I19:I22)*I18</f>
        <v>68.500595942852613</v>
      </c>
      <c r="J23" s="42">
        <f>SUM(J19:J22)*J18</f>
        <v>68.755254944264635</v>
      </c>
    </row>
    <row r="24" spans="6:12" x14ac:dyDescent="0.25">
      <c r="F24" s="2" t="s">
        <v>20</v>
      </c>
      <c r="G24" s="9" t="s">
        <v>47</v>
      </c>
      <c r="H24" s="57">
        <f>14*C12</f>
        <v>15.116244411326379</v>
      </c>
      <c r="I24" s="57">
        <f>4*C12</f>
        <v>4.3189269746646799</v>
      </c>
      <c r="J24" s="77">
        <f>1.62*C12</f>
        <v>1.7491654247391955</v>
      </c>
      <c r="K24" t="s">
        <v>57</v>
      </c>
      <c r="L24" t="s">
        <v>52</v>
      </c>
    </row>
    <row r="25" spans="6:12" ht="61.5" customHeight="1" thickBot="1" x14ac:dyDescent="0.3">
      <c r="F25" s="14" t="s">
        <v>27</v>
      </c>
      <c r="G25" s="15" t="s">
        <v>47</v>
      </c>
      <c r="H25" s="16">
        <f>(SUM(H32:H35)-H37*'[2]Kostnad 2016'!$I$35)/H36</f>
        <v>90.834096542839831</v>
      </c>
      <c r="I25" s="16">
        <f>(SUM(I32:I35)-I37*'[2]Kostnad 2016'!$J$35)/I36</f>
        <v>55.171103890023907</v>
      </c>
      <c r="J25" s="16">
        <f>(SUM(J32:J35)-J37*'[2]Kostnad 2016'!$K$35)/J36</f>
        <v>49.948551713399148</v>
      </c>
    </row>
    <row r="26" spans="6:12" ht="15" customHeight="1" x14ac:dyDescent="0.25">
      <c r="F26" s="1" t="s">
        <v>26</v>
      </c>
      <c r="G26" s="78"/>
      <c r="H26" s="92">
        <v>0.95</v>
      </c>
      <c r="I26" s="92">
        <v>0.95</v>
      </c>
      <c r="J26" s="92">
        <v>0.95</v>
      </c>
      <c r="K26" s="94" t="s">
        <v>60</v>
      </c>
      <c r="L26" s="95"/>
    </row>
    <row r="27" spans="6:12" ht="55.5" customHeight="1" thickBot="1" x14ac:dyDescent="0.3">
      <c r="F27" s="14" t="s">
        <v>28</v>
      </c>
      <c r="G27" s="15" t="s">
        <v>2</v>
      </c>
      <c r="H27" s="16">
        <f>H25*H26</f>
        <v>86.292391715697832</v>
      </c>
      <c r="I27" s="16">
        <f>I25*I26</f>
        <v>52.412548695522709</v>
      </c>
      <c r="J27" s="43">
        <f>J25*J26</f>
        <v>47.451124127729187</v>
      </c>
      <c r="K27" s="94"/>
      <c r="L27" s="95"/>
    </row>
    <row r="28" spans="6:12" x14ac:dyDescent="0.25">
      <c r="J28" s="20"/>
    </row>
    <row r="29" spans="6:12" x14ac:dyDescent="0.25">
      <c r="F29" s="18"/>
      <c r="G29" s="19"/>
      <c r="H29" s="20"/>
      <c r="I29" s="20"/>
      <c r="J29" s="20"/>
    </row>
    <row r="30" spans="6:12" x14ac:dyDescent="0.25">
      <c r="F30" s="17"/>
      <c r="G30" s="17"/>
      <c r="H30" s="17"/>
      <c r="I30" s="17"/>
      <c r="J30" s="17"/>
    </row>
    <row r="31" spans="6:12" x14ac:dyDescent="0.25">
      <c r="F31" s="49" t="s">
        <v>21</v>
      </c>
      <c r="G31" s="50"/>
      <c r="H31" s="51"/>
      <c r="I31" s="51"/>
      <c r="J31" s="51"/>
    </row>
    <row r="32" spans="6:12" x14ac:dyDescent="0.25">
      <c r="F32" s="52" t="str">
        <f>F9</f>
        <v>Investeringskostnader</v>
      </c>
      <c r="G32" s="53" t="s">
        <v>22</v>
      </c>
      <c r="H32" s="88">
        <f>H15*100*1000*H4</f>
        <v>120174143.07004483</v>
      </c>
      <c r="I32" s="88">
        <f>I15*100*1000*I4</f>
        <v>904739619.97019458</v>
      </c>
      <c r="J32" s="88">
        <f>J15*100*1000*J4</f>
        <v>6214719970.1937466</v>
      </c>
    </row>
    <row r="33" spans="6:10" x14ac:dyDescent="0.25">
      <c r="F33" s="52" t="str">
        <f>F16</f>
        <v>Faste driftskostnader</v>
      </c>
      <c r="G33" s="53" t="s">
        <v>22</v>
      </c>
      <c r="H33" s="88">
        <f>-PV($C$5,$C$4,H16*100*1000*H4)</f>
        <v>247688760.74070144</v>
      </c>
      <c r="I33" s="88">
        <f>-PV($C$5,$C$4,I16*100*1000*I4)</f>
        <v>792604034.37024474</v>
      </c>
      <c r="J33" s="88">
        <f>-PV($C$5,$C$4,J16*100*1000*J4)</f>
        <v>5449152736.295433</v>
      </c>
    </row>
    <row r="34" spans="6:10" x14ac:dyDescent="0.25">
      <c r="F34" s="52" t="str">
        <f>F24</f>
        <v>Variable kostnader eks brensel</v>
      </c>
      <c r="G34" s="53" t="s">
        <v>22</v>
      </c>
      <c r="H34" s="88">
        <f>-PV($C$5,$C$4,H24*1000*H4*H5)</f>
        <v>104029279.51109461</v>
      </c>
      <c r="I34" s="88">
        <f t="shared" ref="I34:J34" si="1">-PV($C$5,$C$4,I24*1000*I4*I5)</f>
        <v>297226512.88884169</v>
      </c>
      <c r="J34" s="88">
        <f t="shared" si="1"/>
        <v>1203767377.1998091</v>
      </c>
    </row>
    <row r="35" spans="6:10" x14ac:dyDescent="0.25">
      <c r="F35" s="52" t="str">
        <f>F23</f>
        <v>Sum brensels- og utslippskostnader</v>
      </c>
      <c r="G35" s="53" t="s">
        <v>22</v>
      </c>
      <c r="H35" s="88">
        <f>-PV($C$5,$C$4,H4*H23*1000*H5)</f>
        <v>585700981.71747148</v>
      </c>
      <c r="I35" s="88">
        <f t="shared" ref="I35:J35" si="2">-PV($C$5,$C$4,I4*I23*1000*I5)</f>
        <v>4714178633.3357439</v>
      </c>
      <c r="J35" s="88">
        <f t="shared" si="2"/>
        <v>47317041454.385109</v>
      </c>
    </row>
    <row r="36" spans="6:10" x14ac:dyDescent="0.25">
      <c r="F36" s="52" t="s">
        <v>23</v>
      </c>
      <c r="G36" s="53" t="s">
        <v>3</v>
      </c>
      <c r="H36" s="88">
        <f>-PV($C$5+$C$6,$C$4,H4*H5*1000)</f>
        <v>6826431.2074295487</v>
      </c>
      <c r="I36" s="88">
        <f t="shared" ref="I36:J36" si="3">-PV($C$5+$C$6,$C$4,I4*I5*1000)</f>
        <v>68264312.074295491</v>
      </c>
      <c r="J36" s="88">
        <f t="shared" si="3"/>
        <v>682643120.74295485</v>
      </c>
    </row>
    <row r="37" spans="6:10" x14ac:dyDescent="0.25">
      <c r="F37" s="52" t="s">
        <v>59</v>
      </c>
      <c r="G37" s="53" t="s">
        <v>3</v>
      </c>
      <c r="H37" s="89">
        <f>-PV($C$5+$C$6,$C$4,H4*H5*1000/H8*(1-H8))</f>
        <v>11377385.345715916</v>
      </c>
      <c r="I37" s="89">
        <f t="shared" ref="I37:J37" si="4">-PV($C$5+$C$6,$C$4,I4*I5*1000/I8*(1-I8))</f>
        <v>79919194.62356545</v>
      </c>
      <c r="J37" s="89">
        <f t="shared" si="4"/>
        <v>758492356.38106108</v>
      </c>
    </row>
    <row r="38" spans="6:10" x14ac:dyDescent="0.25">
      <c r="F38" s="18"/>
      <c r="G38" s="53"/>
      <c r="H38" s="91">
        <f>H36/(H36+H37)</f>
        <v>0.375</v>
      </c>
      <c r="I38" s="91">
        <f t="shared" ref="I38:J38" si="5">I36/(I36+I37)</f>
        <v>0.46067415730337075</v>
      </c>
      <c r="J38" s="91">
        <f t="shared" si="5"/>
        <v>0.47368421052631576</v>
      </c>
    </row>
    <row r="39" spans="6:10" x14ac:dyDescent="0.25">
      <c r="F39" s="18"/>
      <c r="G39" s="53"/>
      <c r="H39" s="53"/>
      <c r="I39" s="20"/>
      <c r="J39" s="20"/>
    </row>
    <row r="40" spans="6:10" x14ac:dyDescent="0.25">
      <c r="F40" s="23"/>
      <c r="G40" s="53"/>
      <c r="H40" s="53"/>
      <c r="I40" s="22"/>
      <c r="J40" s="22"/>
    </row>
    <row r="41" spans="6:10" x14ac:dyDescent="0.25">
      <c r="F41" s="23"/>
      <c r="G41" s="53"/>
      <c r="H41" s="53"/>
      <c r="I41" s="22"/>
      <c r="J41" s="22"/>
    </row>
    <row r="42" spans="6:10" x14ac:dyDescent="0.25">
      <c r="F42" s="35"/>
      <c r="G42" s="55"/>
      <c r="H42" s="55"/>
      <c r="I42" s="54"/>
      <c r="J42" s="54"/>
    </row>
    <row r="43" spans="6:10" x14ac:dyDescent="0.25">
      <c r="F43" s="35"/>
      <c r="G43" s="35"/>
      <c r="H43" s="35"/>
      <c r="I43" s="35"/>
      <c r="J43" s="35"/>
    </row>
    <row r="44" spans="6:10" x14ac:dyDescent="0.25">
      <c r="F44" s="35"/>
      <c r="G44" s="35"/>
      <c r="H44" s="35"/>
      <c r="I44" s="35"/>
      <c r="J44" s="35"/>
    </row>
  </sheetData>
  <mergeCells count="3">
    <mergeCell ref="L10:L14"/>
    <mergeCell ref="K10:K15"/>
    <mergeCell ref="K26:L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2017-03-17T13:41:26Z</dcterms:modified>
</cp:coreProperties>
</file>