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2075"/>
  </bookViews>
  <sheets>
    <sheet name="Brennverdier og priser" sheetId="1" r:id="rId1"/>
    <sheet name="CO2-avgift, grunnavgift" sheetId="2" r:id="rId2"/>
    <sheet name="CO2-kvoter" sheetId="5" r:id="rId3"/>
    <sheet name="byggetid levetid rente" sheetId="3" r:id="rId4"/>
    <sheet name="NOX avgift" sheetId="4" r:id="rId5"/>
  </sheets>
  <definedNames>
    <definedName name="HK" localSheetId="4">#REF!</definedName>
    <definedName name="HK">#REF!</definedName>
    <definedName name="_xlnm.Print_Area" localSheetId="4">'NOX avgift'!#REF!</definedName>
    <definedName name="Valuta" localSheetId="4">#REF!</definedName>
    <definedName name="Valut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0" i="1" l="1"/>
  <c r="D46" i="1" l="1"/>
  <c r="E4" i="5" l="1"/>
  <c r="E5" i="5"/>
  <c r="E6" i="5"/>
  <c r="E3" i="5"/>
  <c r="D6" i="5"/>
  <c r="D5" i="5"/>
  <c r="D4" i="5"/>
  <c r="D3" i="5"/>
  <c r="C49" i="1" l="1"/>
  <c r="H6" i="2" l="1"/>
  <c r="C48" i="1" l="1"/>
  <c r="H4" i="2" l="1"/>
  <c r="E30" i="1" l="1"/>
  <c r="D47" i="1" l="1"/>
  <c r="E47" i="1"/>
  <c r="C55" i="1" l="1"/>
  <c r="D55" i="1"/>
  <c r="E58" i="1"/>
  <c r="C58" i="1" s="1"/>
  <c r="D58" i="1" s="1"/>
  <c r="E57" i="1"/>
  <c r="C57" i="1" s="1"/>
  <c r="E59" i="1"/>
  <c r="C59" i="1" s="1"/>
  <c r="E56" i="1"/>
  <c r="C56" i="1" s="1"/>
  <c r="F15" i="2"/>
  <c r="D44" i="1" l="1"/>
  <c r="D43" i="1"/>
  <c r="D57" i="1"/>
  <c r="G16" i="4" l="1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G3" i="4"/>
  <c r="H3" i="4" s="1"/>
  <c r="C43" i="1" l="1"/>
  <c r="C44" i="1"/>
  <c r="E43" i="1"/>
  <c r="C30" i="1"/>
  <c r="D35" i="1" l="1"/>
  <c r="C35" i="1"/>
  <c r="R17" i="1" l="1"/>
  <c r="Q17" i="1"/>
  <c r="R16" i="1"/>
  <c r="Q16" i="1"/>
  <c r="R15" i="1"/>
  <c r="Q15" i="1"/>
  <c r="R14" i="1"/>
  <c r="Q14" i="1"/>
  <c r="H13" i="2" l="1"/>
  <c r="H12" i="2"/>
  <c r="H5" i="2"/>
  <c r="H3" i="2"/>
  <c r="C1" i="3"/>
  <c r="F7" i="2"/>
  <c r="H15" i="2"/>
  <c r="H14" i="2"/>
  <c r="H7" i="2"/>
  <c r="F14" i="2"/>
  <c r="F13" i="2"/>
  <c r="M13" i="2" s="1"/>
  <c r="F12" i="2"/>
  <c r="M12" i="2" s="1"/>
  <c r="F11" i="2"/>
  <c r="F10" i="2"/>
  <c r="F6" i="2"/>
  <c r="F5" i="2"/>
  <c r="F4" i="2"/>
  <c r="M8" i="2"/>
  <c r="M9" i="2"/>
  <c r="F3" i="2"/>
  <c r="J14" i="2"/>
  <c r="D11" i="2"/>
  <c r="D10" i="2"/>
  <c r="M10" i="2" s="1"/>
  <c r="D7" i="2"/>
  <c r="D5" i="2"/>
  <c r="M5" i="2" s="1"/>
  <c r="D3" i="2"/>
  <c r="M4" i="2" l="1"/>
  <c r="M3" i="2"/>
  <c r="M14" i="2"/>
  <c r="M7" i="2"/>
  <c r="M6" i="2"/>
  <c r="M11" i="2"/>
  <c r="M15" i="2"/>
  <c r="D65" i="1" l="1"/>
  <c r="C65" i="1" s="1"/>
  <c r="D50" i="1" l="1"/>
  <c r="D48" i="1"/>
  <c r="C46" i="1"/>
  <c r="C50" i="1" l="1"/>
  <c r="D49" i="1"/>
  <c r="E49" i="1" l="1"/>
  <c r="D39" i="1"/>
  <c r="C39" i="1" s="1"/>
  <c r="C33" i="1"/>
  <c r="C61" i="1"/>
  <c r="C62" i="1"/>
  <c r="C63" i="1"/>
  <c r="C64" i="1"/>
  <c r="C60" i="1" l="1"/>
  <c r="D36" i="1"/>
  <c r="C67" i="1" l="1"/>
  <c r="D37" i="1" l="1"/>
  <c r="D32" i="1"/>
  <c r="D59" i="1" l="1"/>
  <c r="D56" i="1"/>
  <c r="C52" i="1"/>
  <c r="D52" i="1" s="1"/>
  <c r="C51" i="1"/>
  <c r="D51" i="1" s="1"/>
  <c r="C38" i="1"/>
  <c r="D38" i="1" s="1"/>
  <c r="D30" i="1"/>
</calcChain>
</file>

<file path=xl/comments1.xml><?xml version="1.0" encoding="utf-8"?>
<comments xmlns="http://schemas.openxmlformats.org/spreadsheetml/2006/main">
  <authors>
    <author>Olav Karstad Isachsen</author>
    <author>Maria Sidelnikova</author>
  </authors>
  <commentList>
    <comment ref="E39" authorId="0" shapeId="0">
      <text>
        <r>
          <rPr>
            <b/>
            <sz val="8"/>
            <color indexed="81"/>
            <rFont val="Tahoma"/>
            <family val="2"/>
          </rPr>
          <t>Olav Karstad Isachsen:</t>
        </r>
        <r>
          <rPr>
            <sz val="8"/>
            <color indexed="81"/>
            <rFont val="Tahoma"/>
            <family val="2"/>
          </rPr>
          <t xml:space="preserve">
Ved, storsekk (Europall), Oslo</t>
        </r>
      </text>
    </comment>
    <comment ref="C48" authorId="1" shapeId="0">
      <text>
        <r>
          <rPr>
            <b/>
            <sz val="8"/>
            <color indexed="81"/>
            <rFont val="Tahoma"/>
            <family val="2"/>
          </rPr>
          <t>Maria Sidelnikova:</t>
        </r>
        <r>
          <rPr>
            <sz val="8"/>
            <color indexed="81"/>
            <rFont val="Tahoma"/>
            <family val="2"/>
          </rPr>
          <t xml:space="preserve">
til nedre brennverdi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>Olav Karstad Isachsen:</t>
        </r>
        <r>
          <rPr>
            <sz val="8"/>
            <color indexed="81"/>
            <rFont val="Tahoma"/>
            <family val="2"/>
          </rPr>
          <t xml:space="preserve">
omregnet til øvre brennverdi</t>
        </r>
      </text>
    </comment>
    <comment ref="E51" authorId="0" shapeId="0">
      <text>
        <r>
          <rPr>
            <b/>
            <sz val="8"/>
            <color indexed="81"/>
            <rFont val="Tahoma"/>
            <family val="2"/>
          </rPr>
          <t>Olav Karstad Isachsen:</t>
        </r>
        <r>
          <rPr>
            <sz val="8"/>
            <color indexed="81"/>
            <rFont val="Tahoma"/>
            <family val="2"/>
          </rPr>
          <t xml:space="preserve">
Inkl. CO2-avgift</t>
        </r>
      </text>
    </comment>
    <comment ref="E52" authorId="0" shapeId="0">
      <text>
        <r>
          <rPr>
            <b/>
            <sz val="8"/>
            <color indexed="81"/>
            <rFont val="Tahoma"/>
            <family val="2"/>
          </rPr>
          <t>Olav Karstad Isachsen: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Olav Karstad Isachsen</author>
  </authors>
  <commentList>
    <comment ref="K4" authorId="0" shapeId="0">
      <text>
        <r>
          <rPr>
            <b/>
            <sz val="8"/>
            <color indexed="81"/>
            <rFont val="Tahoma"/>
            <family val="2"/>
          </rPr>
          <t>Olav Karstad Isachsen:</t>
        </r>
        <r>
          <rPr>
            <sz val="8"/>
            <color indexed="81"/>
            <rFont val="Tahoma"/>
            <family val="2"/>
          </rPr>
          <t xml:space="preserve">
kommer inn ved effekt &gt; 10 MW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</rPr>
          <t>Olav Karstad Isachsen:</t>
        </r>
        <r>
          <rPr>
            <sz val="8"/>
            <color indexed="81"/>
            <rFont val="Tahoma"/>
            <family val="2"/>
          </rPr>
          <t xml:space="preserve">
øvre brennverdi</t>
        </r>
      </text>
    </comment>
    <comment ref="K12" authorId="0" shapeId="0">
      <text>
        <r>
          <rPr>
            <b/>
            <sz val="8"/>
            <color indexed="81"/>
            <rFont val="Tahoma"/>
            <family val="2"/>
          </rPr>
          <t>Olav Karstad Isachsen:</t>
        </r>
        <r>
          <rPr>
            <sz val="8"/>
            <color indexed="81"/>
            <rFont val="Tahoma"/>
            <family val="2"/>
          </rPr>
          <t xml:space="preserve">
kommer inn ved motoreffekt &gt; 750 kW</t>
        </r>
      </text>
    </comment>
    <comment ref="K14" authorId="0" shapeId="0">
      <text>
        <r>
          <rPr>
            <b/>
            <sz val="8"/>
            <color indexed="81"/>
            <rFont val="Tahoma"/>
            <family val="2"/>
          </rPr>
          <t>Olav Karstad Isachsen:</t>
        </r>
        <r>
          <rPr>
            <sz val="8"/>
            <color indexed="81"/>
            <rFont val="Tahoma"/>
            <family val="2"/>
          </rPr>
          <t xml:space="preserve">
kommer inn ved effekt &gt; 10 MW</t>
        </r>
      </text>
    </comment>
  </commentList>
</comments>
</file>

<file path=xl/comments3.xml><?xml version="1.0" encoding="utf-8"?>
<comments xmlns="http://schemas.openxmlformats.org/spreadsheetml/2006/main">
  <authors>
    <author>Olav Karstad Isachsen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Olav Karstad Isachsen:</t>
        </r>
        <r>
          <rPr>
            <sz val="8"/>
            <color indexed="81"/>
            <rFont val="Tahoma"/>
            <family val="2"/>
          </rPr>
          <t xml:space="preserve">
Energirapporten, ca. snitt 2016 og forventet 2017</t>
        </r>
      </text>
    </comment>
  </commentList>
</comments>
</file>

<file path=xl/sharedStrings.xml><?xml version="1.0" encoding="utf-8"?>
<sst xmlns="http://schemas.openxmlformats.org/spreadsheetml/2006/main" count="464" uniqueCount="237">
  <si>
    <t>Energiinnhold og energipriser</t>
  </si>
  <si>
    <t>kWh/kg</t>
  </si>
  <si>
    <t>Lettolje</t>
  </si>
  <si>
    <t>kWh/liter</t>
  </si>
  <si>
    <t>Bioolje</t>
  </si>
  <si>
    <t>Naturgass</t>
  </si>
  <si>
    <r>
      <t>kWh/Sm</t>
    </r>
    <r>
      <rPr>
        <vertAlign val="superscript"/>
        <sz val="10"/>
        <rFont val="Calibri"/>
        <family val="2"/>
        <scheme val="minor"/>
      </rPr>
      <t>3</t>
    </r>
  </si>
  <si>
    <t>LPG</t>
  </si>
  <si>
    <t>Pellets, 10 % fukt</t>
  </si>
  <si>
    <t>Avfall</t>
  </si>
  <si>
    <t>Kull</t>
  </si>
  <si>
    <t>Kjernebrensel (uran)</t>
  </si>
  <si>
    <t>MWh/kg</t>
  </si>
  <si>
    <t>Energipriser</t>
  </si>
  <si>
    <t>kr/liter</t>
  </si>
  <si>
    <t>kr/kg</t>
  </si>
  <si>
    <t>Energiinnhold</t>
  </si>
  <si>
    <t>Nedre brennverdi</t>
  </si>
  <si>
    <t>Øvre brennverdi</t>
  </si>
  <si>
    <t>Effektiv brennverdi</t>
  </si>
  <si>
    <t>?</t>
  </si>
  <si>
    <t>Energivare</t>
  </si>
  <si>
    <t>Autodiesel</t>
  </si>
  <si>
    <t>Fyringsolje</t>
  </si>
  <si>
    <t>Bensin</t>
  </si>
  <si>
    <t>Elektrisitet</t>
  </si>
  <si>
    <t>El - lav sats</t>
  </si>
  <si>
    <t>Type avgift</t>
  </si>
  <si>
    <t>El-avgift</t>
  </si>
  <si>
    <t>kalkulasjonsforutsetninger</t>
  </si>
  <si>
    <t>Byggetid</t>
  </si>
  <si>
    <t>år</t>
  </si>
  <si>
    <t>rente</t>
  </si>
  <si>
    <t>Kilde: år</t>
  </si>
  <si>
    <t>Kilde: rente</t>
  </si>
  <si>
    <t>Gassturbinverk</t>
  </si>
  <si>
    <t>NO</t>
  </si>
  <si>
    <t>NVE</t>
  </si>
  <si>
    <t>Gassfyrt kombikraftverk uten CCS</t>
  </si>
  <si>
    <t>Gassfyrt kombikraftverk med CCS</t>
  </si>
  <si>
    <t>Dieselkraftverk</t>
  </si>
  <si>
    <t>Kullfyrt kondenskraftverk uten CCS</t>
  </si>
  <si>
    <t>Kullfyrt kondenskraftverk med CCS</t>
  </si>
  <si>
    <t>No</t>
  </si>
  <si>
    <t>Biokraftverk</t>
  </si>
  <si>
    <t>Calambio (fra 2 til 3 år)</t>
  </si>
  <si>
    <t>Kjernekraftverk</t>
  </si>
  <si>
    <t>Biokjel opp til 10 MW, med og uten mottrykksturbin</t>
  </si>
  <si>
    <t>Calambio</t>
  </si>
  <si>
    <t>Olje-/gasskjel</t>
  </si>
  <si>
    <t>Konsulent</t>
  </si>
  <si>
    <t>Elkjel</t>
  </si>
  <si>
    <t>Biokjel over 10 MW, med og uten mottrykksturbin</t>
  </si>
  <si>
    <t>Gassmotor</t>
  </si>
  <si>
    <t>Biooljekjel</t>
  </si>
  <si>
    <t>Varmepumpe 0,1 MW</t>
  </si>
  <si>
    <t>NO (fra 3 til 9 måneder)</t>
  </si>
  <si>
    <t>Varmepumpe 1 MW</t>
  </si>
  <si>
    <t>NO (fra 0,5 - til 1 år)</t>
  </si>
  <si>
    <t>Vindkraftverk</t>
  </si>
  <si>
    <t>Ikke vurdert</t>
  </si>
  <si>
    <t>Avfallskjel, med og uten mottrykksturbin</t>
  </si>
  <si>
    <t>Økonomisk levetid</t>
  </si>
  <si>
    <t>Vannkraftverk</t>
  </si>
  <si>
    <t>Brensel</t>
  </si>
  <si>
    <t>kr/MWh</t>
  </si>
  <si>
    <t>pris</t>
  </si>
  <si>
    <t>Enhet</t>
  </si>
  <si>
    <t>Referanse</t>
  </si>
  <si>
    <t>Kommentarer</t>
  </si>
  <si>
    <t>Biodiesel</t>
  </si>
  <si>
    <t>Eco-1: Geir I.</t>
  </si>
  <si>
    <t>Bioetanol</t>
  </si>
  <si>
    <t>Pellets</t>
  </si>
  <si>
    <t>øre/kWh</t>
  </si>
  <si>
    <t>Fjernvarme</t>
  </si>
  <si>
    <t>Bark</t>
  </si>
  <si>
    <t>Ved</t>
  </si>
  <si>
    <t>www.ostfoldved.no</t>
  </si>
  <si>
    <t>Industrielt avfall</t>
  </si>
  <si>
    <t>Biokull</t>
  </si>
  <si>
    <t>Biokoks</t>
  </si>
  <si>
    <t>Bioolje-industri</t>
  </si>
  <si>
    <t>Bioolje- hush/serv</t>
  </si>
  <si>
    <t>Koks</t>
  </si>
  <si>
    <t>Gass- LPG</t>
  </si>
  <si>
    <t>Råolje</t>
  </si>
  <si>
    <t>Dette utgjør ca 18,5 øre/kWh gitt 1fat=158,99 liter, density 0,847 kg/liter, low heating value=42,686 MJ/kg</t>
  </si>
  <si>
    <t>Diesel</t>
  </si>
  <si>
    <t>shell/ST1; Arnfinn Fonnes</t>
  </si>
  <si>
    <t>Tungolje- industri</t>
  </si>
  <si>
    <t>selges ikke i Norge lenger. Int. pris varierer med svovelinnhold (1,5 og 2,5 %)</t>
  </si>
  <si>
    <t>Tungolje- transport</t>
  </si>
  <si>
    <t>ca 34 % reduksjon jan 15 - jan 16</t>
  </si>
  <si>
    <t>Parafin</t>
  </si>
  <si>
    <t>Lettolje- industri</t>
  </si>
  <si>
    <t>Prisen på 5,4 kr/liter utgjør ca 48 øre/kWh med en brenverdi på 11,3 kWh/liter (fra kostnadsrapporten). Prisen i energirapporten er 55,8 øre/kWh. Prisen forutsetter 22 % rabat for bedriftskunder hos de største leverandørene. Inkluderer mineraloljeavgift (i 2016 er 2,55kr/liter=grunnavgift 1,63kr/liter+CO2avgift 0,92kr/liter), uten moms og transporttillegg.</t>
  </si>
  <si>
    <t>Lettolje- hush/serv</t>
  </si>
  <si>
    <t>ca.59 øre/kWh</t>
  </si>
  <si>
    <t>Marin diesel</t>
  </si>
  <si>
    <t>kysttrafikken (dvs. store volum) bruker marin gassolje, mens marin diesel selges ca. 10 øre dyrere for andre småbåter dog med til dels store tillegg for transport og lagring</t>
  </si>
  <si>
    <t>Bergvarmepumpe</t>
  </si>
  <si>
    <t>Brenselcelle MCFC</t>
  </si>
  <si>
    <t>solstrøm (PV)</t>
  </si>
  <si>
    <t>Solstrøm (PV)</t>
  </si>
  <si>
    <t>Solvarme</t>
  </si>
  <si>
    <t>Hydrogen</t>
  </si>
  <si>
    <t>Kilde</t>
  </si>
  <si>
    <t>Prisnivå stort volum. Pumpepris: 90</t>
  </si>
  <si>
    <t>Kristian Vik, Hydrogenforum, nov 2016</t>
  </si>
  <si>
    <t>Brenselcelle PEMFC</t>
  </si>
  <si>
    <t>Biogass (60 % metan)</t>
  </si>
  <si>
    <t>Steinkull</t>
  </si>
  <si>
    <t>Oppgradert biogass(97 % metan)</t>
  </si>
  <si>
    <t>Røde tall betyr tall fra 2015-rapporten eller 2016-revisjonen</t>
  </si>
  <si>
    <t>Oppdatert høst 2016 Maria S.</t>
  </si>
  <si>
    <t>degraderingsrate, % per år. Kilde: NVE</t>
  </si>
  <si>
    <t>Flis &lt; 35%</t>
  </si>
  <si>
    <t>Flis &gt; 35%</t>
  </si>
  <si>
    <t>Energirapporten, 1-2017. Prisen er basert
på informasjon
fra leverandører
i Øst-Norge, opplastet
ved terminal. Prisene er eksklusiv mva.</t>
  </si>
  <si>
    <t>Energirapporten, 1-2017.Prisen er omregnet fra kilo til øre/kWh, og er
en gjennomsnittspris basert på informasjon fra
flere leverandører på Østlandet.
Energiinnhold 4,8 kWh per kilo.
Prisen er eksklusiv mva.</t>
  </si>
  <si>
    <t>Tørr flis &lt; 35 % fukt</t>
  </si>
  <si>
    <t>20 % fuktighet Oppdatert høst 2016 Maria S.</t>
  </si>
  <si>
    <t>Skogsflis &gt; 35 % fukt</t>
  </si>
  <si>
    <t>40 % fukt Oppdatert høst 2016 Maria S.</t>
  </si>
  <si>
    <t>3. kvartal 2016, SSB</t>
  </si>
  <si>
    <t>Nettleie husholdninger</t>
  </si>
  <si>
    <t>Nettleie, anlegg over 150 kW</t>
  </si>
  <si>
    <t>Svarte tall er oppdatert</t>
  </si>
  <si>
    <t>2015, forretningsmessig tjenesteyting, SSB</t>
  </si>
  <si>
    <t>2015, SSB</t>
  </si>
  <si>
    <t>Valutakurser ved omregning</t>
  </si>
  <si>
    <t>Norges Bank per 18.1.2017</t>
  </si>
  <si>
    <t>USD</t>
  </si>
  <si>
    <t>Euro</t>
  </si>
  <si>
    <t>Britiske pund</t>
  </si>
  <si>
    <t>Danske kroner (100)</t>
  </si>
  <si>
    <t>Svenske kroner (100)</t>
  </si>
  <si>
    <t>Kjernebrensel (uran) prosessert</t>
  </si>
  <si>
    <t>UScent/kWh</t>
  </si>
  <si>
    <t>Worls Nuclear Organisation, tall for 2015: 19.1.2017: http://www.world-nuclear.org/information-library/economic-aspects/economics-of-nuclear-power.aspx, herav "rå-uran" for USD 97/kg</t>
  </si>
  <si>
    <t>SSB: http://www.ssb.no/a/publikasjoner/pdf/notat_201007/notat_201007.pdf</t>
  </si>
  <si>
    <t>SSB for 2015: http://www.ssb.no/fjernvarme</t>
  </si>
  <si>
    <t>kr/lm3</t>
  </si>
  <si>
    <t>1,5 m3 storsekk * 0,65 fm3= 0,975 fm3, 1 fm3 = 500 kg, 1 lm3 = 325 kg</t>
  </si>
  <si>
    <t xml:space="preserve">Uke 1/2017: Energirapporten 1/2017 </t>
  </si>
  <si>
    <t>Prisen her ekskl. CO2-avgift (10,5 øre/kWh) og mva., beregnet ved nedre brennverdi. LPG her ansett lik propan</t>
  </si>
  <si>
    <t>NVEs kraftmarkedsanalyse 2016-2030</t>
  </si>
  <si>
    <t>USD/tonn</t>
  </si>
  <si>
    <t>Montel, 1.kvartal 2017 per 23.2.2017</t>
  </si>
  <si>
    <t>Euro/MWh</t>
  </si>
  <si>
    <t>USD/fat</t>
  </si>
  <si>
    <t>Kraftpris</t>
  </si>
  <si>
    <t>el + nettleie  (husholdn.) ekskl. avgifter</t>
  </si>
  <si>
    <t>el + nettleie (&gt;150 kW) ekskl. avgifter</t>
  </si>
  <si>
    <t>Avgifter hush. el</t>
  </si>
  <si>
    <t>Mva</t>
  </si>
  <si>
    <t>Veibruk øre/kWh</t>
  </si>
  <si>
    <t>Grunnavgift øre/kWh</t>
  </si>
  <si>
    <t>Fly-drivstoff</t>
  </si>
  <si>
    <t>CO2-avgift kr per l/Sm3/kg</t>
  </si>
  <si>
    <t>Tungolje</t>
  </si>
  <si>
    <t>Svovelavgift kr/liter</t>
  </si>
  <si>
    <t>Svovelavgift øre/kWh</t>
  </si>
  <si>
    <t>CO2-avgift øre/kWh</t>
  </si>
  <si>
    <t>Veibruk kr per liter/kg</t>
  </si>
  <si>
    <t>Avgifter for 2017</t>
  </si>
  <si>
    <t>Grunnavgift  mineralolje kr/liter</t>
  </si>
  <si>
    <t>Inflasjon 2013 - 2016</t>
  </si>
  <si>
    <t>KPI gjennomsnitt i 2013 til gj.snitt 2016,  kilde: SSB</t>
  </si>
  <si>
    <t>Samlet avgift, øre/kWh ekskl. mva</t>
  </si>
  <si>
    <t>NOx</t>
  </si>
  <si>
    <t>Inkl CO2-avgift 2016</t>
  </si>
  <si>
    <t>SSBs stat for 2016 fratrukket mva og veibruksavgift</t>
  </si>
  <si>
    <t>bensin</t>
  </si>
  <si>
    <t>diesel</t>
  </si>
  <si>
    <t>https://www.ssb.no/energi-og-industri/statistikker/energiregnskap/aar/2016-10-18?fane=om</t>
  </si>
  <si>
    <t>Uran (kjernebrensel)</t>
  </si>
  <si>
    <t>https://www.euronuclear.org/info/encyclopedia/f/fuelcomparison.htm</t>
  </si>
  <si>
    <t>Flydrivstoff</t>
  </si>
  <si>
    <t>SSB: som parafin</t>
  </si>
  <si>
    <t>M-dir 2015: Klimatiltak og utslippsbaner</t>
  </si>
  <si>
    <t>Roy Ulvang Avfall, Norge</t>
  </si>
  <si>
    <t>Returflis</t>
  </si>
  <si>
    <t>Roy Ulvang Avfall, Norge: gate fee 0-100 kr/tonn, brennverdi 3,5 kWh/kg (25 % fukt)</t>
  </si>
  <si>
    <t>Roy Ulvang Avfall, Norge: 700-900 kr/tonn avhengig av landsdel, blanding av husholdnings- og industrielt avfall</t>
  </si>
  <si>
    <t>Listepris EN14214 per 1.2.2017. Ca. 10 % høyere for EN 15950</t>
  </si>
  <si>
    <t>Antar 10 % lavere for storkunde</t>
  </si>
  <si>
    <t>Tetthet (egenvekt)</t>
  </si>
  <si>
    <t>kg/liter</t>
  </si>
  <si>
    <t>kg/Sm3</t>
  </si>
  <si>
    <t>Teknologi</t>
  </si>
  <si>
    <t>Utslippsfaktor</t>
  </si>
  <si>
    <t>Renseeffekt, %</t>
  </si>
  <si>
    <t xml:space="preserve">Kommentar </t>
  </si>
  <si>
    <t>Utslippsfaktor etter rensing</t>
  </si>
  <si>
    <t>Gassfyrt kombikraftverk</t>
  </si>
  <si>
    <t>g/Sm3</t>
  </si>
  <si>
    <t>Forskrift om særavgifter, § 3-19-9</t>
  </si>
  <si>
    <t>SCR med 90 % renseeffekt</t>
  </si>
  <si>
    <t>Kullkraftverk</t>
  </si>
  <si>
    <t>kg/tonn</t>
  </si>
  <si>
    <t>SCR med 80 % renseeffekt</t>
  </si>
  <si>
    <t>Kogen-turbin</t>
  </si>
  <si>
    <t>Kogen-motor</t>
  </si>
  <si>
    <t>Gasskjel</t>
  </si>
  <si>
    <t>Lav NOx brennere med 40 % reduksjon</t>
  </si>
  <si>
    <t>Oljekjel</t>
  </si>
  <si>
    <t>Lav NOx brennere med 30 % reduksjon</t>
  </si>
  <si>
    <t>Bioanlegg, fuktig flis</t>
  </si>
  <si>
    <t>kg/tonn tørrstoff</t>
  </si>
  <si>
    <t>SNCR (urea eller ammoniakk) med 50 % renseeffekt</t>
  </si>
  <si>
    <t>Bioanlegg, tørr flis</t>
  </si>
  <si>
    <t>Bioanlegg, pellets</t>
  </si>
  <si>
    <t>Avfallsforbrenning</t>
  </si>
  <si>
    <t>Rivningsvirke</t>
  </si>
  <si>
    <r>
      <t>g/kWh</t>
    </r>
    <r>
      <rPr>
        <b/>
        <sz val="8"/>
        <color theme="1"/>
        <rFont val="Arial"/>
        <family val="2"/>
      </rPr>
      <t>brensel</t>
    </r>
  </si>
  <si>
    <t>NOx avgift i 2017</t>
  </si>
  <si>
    <t>Utslippskostnader</t>
  </si>
  <si>
    <r>
      <t>øre/kWh</t>
    </r>
    <r>
      <rPr>
        <b/>
        <sz val="8"/>
        <rFont val="Arial"/>
        <family val="2"/>
      </rPr>
      <t>brensel</t>
    </r>
  </si>
  <si>
    <t>Parafin er nærmest "dødt produkt". Dette er pris ekskl. mva. og avgifter i sentralt strøk, vil øke i grisgrendte strøk</t>
  </si>
  <si>
    <t>Platt mfl: basispris per 27.1.2017 er 3,5 kr/liter. Reell pris mellom dette og veiledende Gardermoen (7,1)</t>
  </si>
  <si>
    <t xml:space="preserve">Roy Ulvang Avfall, Norge: 0-100 kr/tonn </t>
  </si>
  <si>
    <t>Roy Ulvang Avfall, Norge, 25 % fuktighet</t>
  </si>
  <si>
    <t>CO2-kvote-pris</t>
  </si>
  <si>
    <t>kr/tonn CO2</t>
  </si>
  <si>
    <t>ikke marked i Norge.</t>
  </si>
  <si>
    <r>
      <t>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/liter</t>
    </r>
  </si>
  <si>
    <r>
      <t>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/Sm³</t>
    </r>
  </si>
  <si>
    <r>
      <t>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/kg</t>
    </r>
  </si>
  <si>
    <t>Kull (bituminous)</t>
  </si>
  <si>
    <t xml:space="preserve">øre/kWh innfyrt varme </t>
  </si>
  <si>
    <t>CO2-kostnad</t>
  </si>
  <si>
    <r>
      <t>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/kWh innfyrt varme (nedre brennverdi)</t>
    </r>
  </si>
  <si>
    <r>
      <t xml:space="preserve"> Utslippsfaktorer CO</t>
    </r>
    <r>
      <rPr>
        <vertAlign val="subscript"/>
        <sz val="11"/>
        <rFont val="Arial"/>
        <family val="2"/>
      </rPr>
      <t>2</t>
    </r>
  </si>
  <si>
    <t>https://www.ssb.no/energi-og-industri/statistikker/elkraftpris/kvartal/2017-02-24</t>
  </si>
  <si>
    <t>Lang analyse, NVE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</si>
</sst>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kr&quot;\ #,##0.00;[Red]&quot;kr&quot;\ \-#,##0.00"/>
    <numFmt numFmtId="43" formatCode="_ * #,##0.00_ ;_ * \-#,##0.00_ ;_ * &quot;-&quot;??_ ;_ @_ "/>
    <numFmt numFmtId="164" formatCode="General_)"/>
    <numFmt numFmtId="165" formatCode="_ * #,##0.000_ ;_ * \-#,##0.000_ ;_ * &quot;-&quot;??_ ;_ @_ "/>
    <numFmt numFmtId="166" formatCode="0.0\ %"/>
    <numFmt numFmtId="167" formatCode="0.0"/>
    <numFmt numFmtId="168" formatCode="_ * #,##0.000_ ;_ * \-#,##0.000_ ;_ * &quot;-&quot;???_ ;_ @_ "/>
    <numFmt numFmtId="169" formatCode="0.000"/>
    <numFmt numFmtId="170" formatCode="_ * #,##0.0_ ;_ * \-#,##0.0_ ;_ * &quot;-&quot;??_ ;_ @_ 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7.5"/>
      <color theme="1"/>
      <name val="Arial"/>
      <family val="2"/>
    </font>
    <font>
      <sz val="11"/>
      <color rgb="FF153443"/>
      <name val="AzoSans-Light"/>
    </font>
    <font>
      <sz val="11"/>
      <color rgb="FF333333"/>
      <name val="Inherit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CCCCCC"/>
      </right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164" fontId="4" fillId="0" borderId="0"/>
    <xf numFmtId="43" fontId="7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43" fontId="7" fillId="0" borderId="0" applyFont="0" applyFill="0" applyBorder="0" applyAlignment="0" applyProtection="0"/>
    <xf numFmtId="0" fontId="19" fillId="0" borderId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21" applyNumberFormat="0" applyAlignment="0" applyProtection="0"/>
    <xf numFmtId="0" fontId="30" fillId="11" borderId="22" applyNumberFormat="0" applyAlignment="0" applyProtection="0"/>
    <xf numFmtId="0" fontId="31" fillId="11" borderId="21" applyNumberFormat="0" applyAlignment="0" applyProtection="0"/>
    <xf numFmtId="0" fontId="32" fillId="0" borderId="23" applyNumberFormat="0" applyFill="0" applyAlignment="0" applyProtection="0"/>
    <xf numFmtId="0" fontId="21" fillId="12" borderId="24" applyNumberFormat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35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35" fillId="37" borderId="0" applyNumberFormat="0" applyBorder="0" applyAlignment="0" applyProtection="0"/>
    <xf numFmtId="0" fontId="7" fillId="0" borderId="0"/>
    <xf numFmtId="0" fontId="19" fillId="0" borderId="0"/>
    <xf numFmtId="0" fontId="19" fillId="13" borderId="25" applyNumberFormat="0" applyFont="0" applyAlignment="0" applyProtection="0"/>
    <xf numFmtId="0" fontId="19" fillId="0" borderId="0"/>
    <xf numFmtId="0" fontId="7" fillId="0" borderId="0"/>
    <xf numFmtId="0" fontId="7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13" borderId="25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7" fillId="0" borderId="0" applyFont="0" applyFill="0" applyBorder="0" applyAlignment="0" applyProtection="0"/>
    <xf numFmtId="0" fontId="19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2">
    <xf numFmtId="0" fontId="0" fillId="0" borderId="0" xfId="0"/>
    <xf numFmtId="164" fontId="5" fillId="2" borderId="4" xfId="1" applyFont="1" applyFill="1" applyBorder="1"/>
    <xf numFmtId="164" fontId="6" fillId="2" borderId="5" xfId="1" applyFont="1" applyFill="1" applyBorder="1"/>
    <xf numFmtId="165" fontId="5" fillId="2" borderId="6" xfId="2" applyNumberFormat="1" applyFont="1" applyFill="1" applyBorder="1" applyAlignment="1">
      <alignment horizontal="right"/>
    </xf>
    <xf numFmtId="164" fontId="8" fillId="0" borderId="7" xfId="1" applyFont="1" applyFill="1" applyBorder="1"/>
    <xf numFmtId="2" fontId="8" fillId="0" borderId="0" xfId="2" applyNumberFormat="1" applyFont="1" applyFill="1" applyBorder="1"/>
    <xf numFmtId="164" fontId="10" fillId="2" borderId="7" xfId="1" applyFont="1" applyFill="1" applyBorder="1"/>
    <xf numFmtId="164" fontId="6" fillId="2" borderId="11" xfId="1" applyFont="1" applyFill="1" applyBorder="1"/>
    <xf numFmtId="0" fontId="3" fillId="0" borderId="0" xfId="3" applyFont="1"/>
    <xf numFmtId="0" fontId="11" fillId="3" borderId="0" xfId="0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0" fontId="12" fillId="3" borderId="12" xfId="0" applyFont="1" applyFill="1" applyBorder="1"/>
    <xf numFmtId="0" fontId="12" fillId="3" borderId="13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center" wrapText="1"/>
    </xf>
    <xf numFmtId="0" fontId="7" fillId="0" borderId="0" xfId="0" applyFont="1"/>
    <xf numFmtId="0" fontId="7" fillId="0" borderId="7" xfId="0" applyFont="1" applyFill="1" applyBorder="1"/>
    <xf numFmtId="0" fontId="0" fillId="0" borderId="0" xfId="0" applyFill="1" applyBorder="1"/>
    <xf numFmtId="166" fontId="0" fillId="0" borderId="16" xfId="0" applyNumberFormat="1" applyFill="1" applyBorder="1"/>
    <xf numFmtId="166" fontId="0" fillId="0" borderId="0" xfId="0" applyNumberFormat="1" applyFill="1" applyBorder="1"/>
    <xf numFmtId="0" fontId="0" fillId="0" borderId="17" xfId="0" applyFill="1" applyBorder="1" applyAlignment="1">
      <alignment horizontal="center"/>
    </xf>
    <xf numFmtId="0" fontId="0" fillId="0" borderId="7" xfId="0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7" fillId="0" borderId="9" xfId="0" applyFont="1" applyFill="1" applyBorder="1"/>
    <xf numFmtId="0" fontId="12" fillId="3" borderId="1" xfId="0" applyFont="1" applyFill="1" applyBorder="1"/>
    <xf numFmtId="0" fontId="12" fillId="3" borderId="2" xfId="0" applyFont="1" applyFill="1" applyBorder="1" applyAlignment="1">
      <alignment horizontal="right"/>
    </xf>
    <xf numFmtId="166" fontId="12" fillId="3" borderId="3" xfId="0" applyNumberFormat="1" applyFont="1" applyFill="1" applyBorder="1" applyAlignment="1">
      <alignment horizontal="right"/>
    </xf>
    <xf numFmtId="0" fontId="7" fillId="4" borderId="15" xfId="0" applyFont="1" applyFill="1" applyBorder="1"/>
    <xf numFmtId="0" fontId="3" fillId="0" borderId="0" xfId="0" applyFont="1"/>
    <xf numFmtId="0" fontId="3" fillId="5" borderId="0" xfId="0" applyFont="1" applyFill="1"/>
    <xf numFmtId="0" fontId="3" fillId="0" borderId="0" xfId="0" applyFont="1" applyAlignment="1">
      <alignment wrapText="1"/>
    </xf>
    <xf numFmtId="0" fontId="0" fillId="0" borderId="0" xfId="0" applyBorder="1"/>
    <xf numFmtId="0" fontId="0" fillId="6" borderId="0" xfId="0" applyFill="1"/>
    <xf numFmtId="0" fontId="13" fillId="6" borderId="0" xfId="4" applyFill="1" applyAlignment="1" applyProtection="1"/>
    <xf numFmtId="0" fontId="0" fillId="0" borderId="10" xfId="0" applyBorder="1"/>
    <xf numFmtId="164" fontId="6" fillId="2" borderId="0" xfId="1" applyFont="1" applyFill="1" applyBorder="1"/>
    <xf numFmtId="1" fontId="16" fillId="5" borderId="0" xfId="0" applyNumberFormat="1" applyFont="1" applyFill="1" applyBorder="1"/>
    <xf numFmtId="167" fontId="16" fillId="0" borderId="0" xfId="0" applyNumberFormat="1" applyFont="1"/>
    <xf numFmtId="0" fontId="16" fillId="6" borderId="0" xfId="0" applyFont="1" applyFill="1"/>
    <xf numFmtId="0" fontId="16" fillId="0" borderId="0" xfId="0" applyFont="1"/>
    <xf numFmtId="2" fontId="17" fillId="0" borderId="8" xfId="2" applyNumberFormat="1" applyFont="1" applyFill="1" applyBorder="1"/>
    <xf numFmtId="3" fontId="17" fillId="0" borderId="8" xfId="2" applyNumberFormat="1" applyFont="1" applyFill="1" applyBorder="1" applyAlignment="1">
      <alignment horizontal="right"/>
    </xf>
    <xf numFmtId="0" fontId="18" fillId="0" borderId="0" xfId="5"/>
    <xf numFmtId="0" fontId="8" fillId="0" borderId="0" xfId="5" applyFont="1" applyBorder="1"/>
    <xf numFmtId="164" fontId="8" fillId="0" borderId="0" xfId="1" applyFont="1" applyFill="1" applyBorder="1" applyAlignment="1">
      <alignment horizontal="right"/>
    </xf>
    <xf numFmtId="2" fontId="8" fillId="0" borderId="0" xfId="6" applyNumberFormat="1" applyFont="1" applyFill="1" applyBorder="1"/>
    <xf numFmtId="168" fontId="8" fillId="0" borderId="0" xfId="5" applyNumberFormat="1" applyFont="1" applyAlignment="1">
      <alignment horizontal="right"/>
    </xf>
    <xf numFmtId="0" fontId="37" fillId="0" borderId="0" xfId="5" applyFont="1" applyBorder="1"/>
    <xf numFmtId="168" fontId="8" fillId="0" borderId="0" xfId="5" applyNumberFormat="1" applyFont="1" applyBorder="1"/>
    <xf numFmtId="168" fontId="8" fillId="0" borderId="0" xfId="5" applyNumberFormat="1" applyFont="1" applyBorder="1" applyAlignment="1">
      <alignment horizontal="right"/>
    </xf>
    <xf numFmtId="164" fontId="8" fillId="0" borderId="0" xfId="1" applyFont="1" applyFill="1" applyBorder="1"/>
    <xf numFmtId="164" fontId="8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/>
    <xf numFmtId="49" fontId="7" fillId="4" borderId="15" xfId="0" applyNumberFormat="1" applyFont="1" applyFill="1" applyBorder="1" applyAlignment="1">
      <alignment wrapText="1"/>
    </xf>
    <xf numFmtId="166" fontId="0" fillId="38" borderId="0" xfId="0" applyNumberFormat="1" applyFill="1" applyBorder="1"/>
    <xf numFmtId="0" fontId="0" fillId="38" borderId="0" xfId="0" applyFill="1"/>
    <xf numFmtId="0" fontId="38" fillId="0" borderId="0" xfId="0" applyFont="1"/>
    <xf numFmtId="167" fontId="38" fillId="0" borderId="0" xfId="0" applyNumberFormat="1" applyFont="1"/>
    <xf numFmtId="1" fontId="38" fillId="0" borderId="0" xfId="0" applyNumberFormat="1" applyFont="1" applyFill="1" applyBorder="1"/>
    <xf numFmtId="0" fontId="38" fillId="6" borderId="0" xfId="0" applyFont="1" applyFill="1"/>
    <xf numFmtId="1" fontId="38" fillId="5" borderId="0" xfId="0" applyNumberFormat="1" applyFont="1" applyFill="1" applyBorder="1"/>
    <xf numFmtId="3" fontId="8" fillId="0" borderId="8" xfId="2" applyNumberFormat="1" applyFont="1" applyFill="1" applyBorder="1" applyAlignment="1">
      <alignment horizontal="right"/>
    </xf>
    <xf numFmtId="0" fontId="39" fillId="0" borderId="0" xfId="0" applyFont="1"/>
    <xf numFmtId="0" fontId="40" fillId="0" borderId="0" xfId="0" applyFont="1"/>
    <xf numFmtId="167" fontId="38" fillId="6" borderId="0" xfId="0" applyNumberFormat="1" applyFont="1" applyFill="1"/>
    <xf numFmtId="2" fontId="38" fillId="6" borderId="0" xfId="0" applyNumberFormat="1" applyFont="1" applyFill="1"/>
    <xf numFmtId="2" fontId="0" fillId="0" borderId="0" xfId="0" applyNumberFormat="1"/>
    <xf numFmtId="2" fontId="0" fillId="5" borderId="0" xfId="0" applyNumberFormat="1" applyFill="1"/>
    <xf numFmtId="4" fontId="1" fillId="0" borderId="0" xfId="3" applyNumberFormat="1"/>
    <xf numFmtId="4" fontId="0" fillId="0" borderId="0" xfId="0" applyNumberFormat="1"/>
    <xf numFmtId="4" fontId="1" fillId="0" borderId="0" xfId="3" applyNumberFormat="1" applyFont="1"/>
    <xf numFmtId="4" fontId="1" fillId="0" borderId="0" xfId="3" applyNumberFormat="1" applyFill="1"/>
    <xf numFmtId="4" fontId="1" fillId="38" borderId="0" xfId="3" applyNumberFormat="1" applyFill="1"/>
    <xf numFmtId="4" fontId="0" fillId="38" borderId="0" xfId="0" applyNumberFormat="1" applyFill="1"/>
    <xf numFmtId="49" fontId="3" fillId="0" borderId="13" xfId="0" applyNumberFormat="1" applyFont="1" applyBorder="1" applyAlignment="1">
      <alignment wrapText="1"/>
    </xf>
    <xf numFmtId="0" fontId="3" fillId="0" borderId="27" xfId="3" applyFont="1" applyBorder="1"/>
    <xf numFmtId="0" fontId="3" fillId="0" borderId="17" xfId="3" applyFont="1" applyBorder="1"/>
    <xf numFmtId="0" fontId="3" fillId="0" borderId="17" xfId="3" applyFont="1" applyFill="1" applyBorder="1"/>
    <xf numFmtId="0" fontId="3" fillId="0" borderId="17" xfId="0" applyFont="1" applyBorder="1"/>
    <xf numFmtId="49" fontId="3" fillId="0" borderId="27" xfId="0" applyNumberFormat="1" applyFont="1" applyBorder="1" applyAlignment="1">
      <alignment wrapText="1"/>
    </xf>
    <xf numFmtId="4" fontId="0" fillId="38" borderId="17" xfId="0" applyNumberFormat="1" applyFill="1" applyBorder="1"/>
    <xf numFmtId="4" fontId="0" fillId="0" borderId="17" xfId="0" applyNumberFormat="1" applyBorder="1"/>
    <xf numFmtId="0" fontId="41" fillId="39" borderId="28" xfId="0" applyFont="1" applyFill="1" applyBorder="1" applyAlignment="1">
      <alignment horizontal="right" indent="1"/>
    </xf>
    <xf numFmtId="0" fontId="41" fillId="39" borderId="0" xfId="0" applyFont="1" applyFill="1" applyAlignment="1">
      <alignment horizontal="right" indent="1"/>
    </xf>
    <xf numFmtId="17" fontId="41" fillId="40" borderId="28" xfId="0" applyNumberFormat="1" applyFont="1" applyFill="1" applyBorder="1" applyAlignment="1">
      <alignment horizontal="left" wrapText="1" indent="1"/>
    </xf>
    <xf numFmtId="0" fontId="41" fillId="40" borderId="28" xfId="0" applyFont="1" applyFill="1" applyBorder="1" applyAlignment="1">
      <alignment horizontal="right" indent="1"/>
    </xf>
    <xf numFmtId="0" fontId="41" fillId="40" borderId="0" xfId="0" applyFont="1" applyFill="1" applyAlignment="1">
      <alignment horizontal="right" indent="1"/>
    </xf>
    <xf numFmtId="17" fontId="41" fillId="39" borderId="28" xfId="0" applyNumberFormat="1" applyFont="1" applyFill="1" applyBorder="1" applyAlignment="1">
      <alignment horizontal="left" wrapText="1" indent="1"/>
    </xf>
    <xf numFmtId="17" fontId="41" fillId="40" borderId="29" xfId="0" applyNumberFormat="1" applyFont="1" applyFill="1" applyBorder="1" applyAlignment="1">
      <alignment horizontal="left" wrapText="1" indent="1"/>
    </xf>
    <xf numFmtId="0" fontId="41" fillId="40" borderId="30" xfId="0" applyFont="1" applyFill="1" applyBorder="1" applyAlignment="1">
      <alignment horizontal="right" indent="1"/>
    </xf>
    <xf numFmtId="0" fontId="0" fillId="40" borderId="29" xfId="0" applyFont="1" applyFill="1" applyBorder="1" applyAlignment="1">
      <alignment horizontal="right" indent="1"/>
    </xf>
    <xf numFmtId="4" fontId="38" fillId="0" borderId="0" xfId="0" applyNumberFormat="1" applyFont="1"/>
    <xf numFmtId="4" fontId="16" fillId="0" borderId="0" xfId="0" applyNumberFormat="1" applyFont="1"/>
    <xf numFmtId="0" fontId="12" fillId="0" borderId="0" xfId="52" applyFont="1"/>
    <xf numFmtId="0" fontId="7" fillId="0" borderId="0" xfId="52" applyFont="1"/>
    <xf numFmtId="0" fontId="19" fillId="0" borderId="0" xfId="0" applyFont="1" applyBorder="1"/>
    <xf numFmtId="169" fontId="7" fillId="0" borderId="0" xfId="52" applyNumberFormat="1" applyFont="1"/>
    <xf numFmtId="0" fontId="7" fillId="0" borderId="32" xfId="52" applyFont="1" applyBorder="1"/>
    <xf numFmtId="0" fontId="7" fillId="0" borderId="17" xfId="52" applyFont="1" applyBorder="1"/>
    <xf numFmtId="0" fontId="19" fillId="0" borderId="32" xfId="52" applyFont="1" applyBorder="1"/>
    <xf numFmtId="0" fontId="7" fillId="0" borderId="33" xfId="52" applyFont="1" applyBorder="1"/>
    <xf numFmtId="0" fontId="7" fillId="0" borderId="27" xfId="52" applyFont="1" applyBorder="1"/>
    <xf numFmtId="0" fontId="7" fillId="41" borderId="32" xfId="52" applyFont="1" applyFill="1" applyBorder="1"/>
    <xf numFmtId="0" fontId="19" fillId="0" borderId="35" xfId="0" applyFont="1" applyBorder="1"/>
    <xf numFmtId="0" fontId="7" fillId="0" borderId="35" xfId="52" applyFont="1" applyBorder="1"/>
    <xf numFmtId="0" fontId="19" fillId="0" borderId="36" xfId="0" applyFont="1" applyBorder="1"/>
    <xf numFmtId="0" fontId="19" fillId="0" borderId="0" xfId="0" applyFont="1" applyBorder="1" applyAlignment="1">
      <alignment vertical="center"/>
    </xf>
    <xf numFmtId="0" fontId="19" fillId="0" borderId="13" xfId="0" applyFont="1" applyBorder="1"/>
    <xf numFmtId="0" fontId="12" fillId="41" borderId="15" xfId="52" applyFont="1" applyFill="1" applyBorder="1"/>
    <xf numFmtId="0" fontId="7" fillId="41" borderId="33" xfId="52" applyFont="1" applyFill="1" applyBorder="1"/>
    <xf numFmtId="0" fontId="7" fillId="41" borderId="27" xfId="52" applyFont="1" applyFill="1" applyBorder="1"/>
    <xf numFmtId="0" fontId="7" fillId="41" borderId="36" xfId="52" applyFont="1" applyFill="1" applyBorder="1"/>
    <xf numFmtId="0" fontId="7" fillId="41" borderId="13" xfId="52" applyFont="1" applyFill="1" applyBorder="1"/>
    <xf numFmtId="0" fontId="12" fillId="41" borderId="34" xfId="52" applyFont="1" applyFill="1" applyBorder="1"/>
    <xf numFmtId="0" fontId="12" fillId="41" borderId="11" xfId="52" applyFont="1" applyFill="1" applyBorder="1"/>
    <xf numFmtId="0" fontId="34" fillId="41" borderId="34" xfId="52" applyFont="1" applyFill="1" applyBorder="1" applyAlignment="1">
      <alignment horizontal="center"/>
    </xf>
    <xf numFmtId="0" fontId="34" fillId="41" borderId="36" xfId="52" applyFont="1" applyFill="1" applyBorder="1" applyAlignment="1">
      <alignment horizontal="center"/>
    </xf>
    <xf numFmtId="8" fontId="7" fillId="0" borderId="0" xfId="52" applyNumberFormat="1" applyFont="1"/>
    <xf numFmtId="0" fontId="12" fillId="41" borderId="11" xfId="52" applyFont="1" applyFill="1" applyBorder="1" applyAlignment="1">
      <alignment horizontal="center"/>
    </xf>
    <xf numFmtId="0" fontId="7" fillId="41" borderId="13" xfId="52" applyFont="1" applyFill="1" applyBorder="1" applyAlignment="1">
      <alignment horizontal="center"/>
    </xf>
    <xf numFmtId="0" fontId="7" fillId="0" borderId="0" xfId="52" applyFont="1" applyBorder="1" applyAlignment="1">
      <alignment horizontal="center"/>
    </xf>
    <xf numFmtId="0" fontId="7" fillId="0" borderId="13" xfId="52" applyFont="1" applyBorder="1" applyAlignment="1">
      <alignment horizontal="center"/>
    </xf>
    <xf numFmtId="169" fontId="7" fillId="0" borderId="17" xfId="52" applyNumberFormat="1" applyFont="1" applyBorder="1"/>
    <xf numFmtId="169" fontId="7" fillId="0" borderId="27" xfId="52" applyNumberFormat="1" applyFont="1" applyBorder="1"/>
    <xf numFmtId="169" fontId="12" fillId="0" borderId="35" xfId="52" applyNumberFormat="1" applyFont="1" applyBorder="1"/>
    <xf numFmtId="169" fontId="12" fillId="0" borderId="36" xfId="52" applyNumberFormat="1" applyFont="1" applyBorder="1"/>
    <xf numFmtId="0" fontId="34" fillId="41" borderId="35" xfId="52" applyFont="1" applyFill="1" applyBorder="1" applyAlignment="1">
      <alignment horizontal="center"/>
    </xf>
    <xf numFmtId="4" fontId="38" fillId="6" borderId="0" xfId="0" applyNumberFormat="1" applyFont="1" applyFill="1"/>
    <xf numFmtId="43" fontId="10" fillId="0" borderId="8" xfId="2" applyNumberFormat="1" applyFont="1" applyFill="1" applyBorder="1" applyAlignment="1">
      <alignment horizontal="right"/>
    </xf>
    <xf numFmtId="0" fontId="0" fillId="0" borderId="0" xfId="0" applyFill="1" applyAlignment="1"/>
    <xf numFmtId="164" fontId="7" fillId="0" borderId="32" xfId="1" applyFont="1" applyFill="1" applyBorder="1"/>
    <xf numFmtId="164" fontId="7" fillId="0" borderId="0" xfId="1" applyFont="1" applyFill="1" applyBorder="1" applyAlignment="1">
      <alignment horizontal="right"/>
    </xf>
    <xf numFmtId="43" fontId="7" fillId="0" borderId="35" xfId="2" applyNumberFormat="1" applyFont="1" applyFill="1" applyBorder="1"/>
    <xf numFmtId="164" fontId="7" fillId="0" borderId="33" xfId="1" applyFont="1" applyFill="1" applyBorder="1"/>
    <xf numFmtId="164" fontId="7" fillId="0" borderId="13" xfId="1" applyFont="1" applyFill="1" applyBorder="1" applyAlignment="1">
      <alignment horizontal="right"/>
    </xf>
    <xf numFmtId="43" fontId="7" fillId="0" borderId="36" xfId="2" applyNumberFormat="1" applyFont="1" applyFill="1" applyBorder="1"/>
    <xf numFmtId="170" fontId="7" fillId="0" borderId="32" xfId="2" applyNumberFormat="1" applyFont="1" applyFill="1" applyBorder="1"/>
    <xf numFmtId="170" fontId="7" fillId="0" borderId="33" xfId="2" applyNumberFormat="1" applyFont="1" applyFill="1" applyBorder="1"/>
    <xf numFmtId="0" fontId="11" fillId="0" borderId="0" xfId="0" applyFont="1" applyFill="1" applyBorder="1" applyAlignment="1"/>
    <xf numFmtId="164" fontId="12" fillId="0" borderId="33" xfId="1" applyFont="1" applyFill="1" applyBorder="1"/>
    <xf numFmtId="164" fontId="7" fillId="0" borderId="13" xfId="1" applyFont="1" applyFill="1" applyBorder="1"/>
    <xf numFmtId="164" fontId="7" fillId="0" borderId="39" xfId="1" applyFont="1" applyFill="1" applyBorder="1"/>
    <xf numFmtId="165" fontId="7" fillId="0" borderId="27" xfId="2" applyNumberFormat="1" applyFont="1" applyFill="1" applyBorder="1" applyAlignment="1">
      <alignment horizontal="center" vertical="center" wrapText="1"/>
    </xf>
    <xf numFmtId="43" fontId="0" fillId="0" borderId="34" xfId="0" applyNumberFormat="1" applyFill="1" applyBorder="1"/>
    <xf numFmtId="0" fontId="0" fillId="0" borderId="15" xfId="0" applyFill="1" applyBorder="1"/>
    <xf numFmtId="0" fontId="11" fillId="0" borderId="11" xfId="0" applyFont="1" applyFill="1" applyBorder="1" applyAlignment="1"/>
    <xf numFmtId="0" fontId="11" fillId="0" borderId="39" xfId="0" applyFont="1" applyFill="1" applyBorder="1" applyAlignment="1"/>
    <xf numFmtId="164" fontId="12" fillId="0" borderId="38" xfId="1" applyFont="1" applyFill="1" applyBorder="1" applyAlignment="1">
      <alignment horizontal="center" vertical="center" wrapText="1"/>
    </xf>
    <xf numFmtId="43" fontId="3" fillId="0" borderId="17" xfId="0" applyNumberFormat="1" applyFont="1" applyFill="1" applyBorder="1"/>
    <xf numFmtId="43" fontId="3" fillId="0" borderId="27" xfId="0" applyNumberFormat="1" applyFont="1" applyFill="1" applyBorder="1"/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2" fillId="41" borderId="15" xfId="52" applyFont="1" applyFill="1" applyBorder="1" applyAlignment="1">
      <alignment horizontal="center"/>
    </xf>
    <xf numFmtId="0" fontId="12" fillId="41" borderId="31" xfId="52" applyFont="1" applyFill="1" applyBorder="1" applyAlignment="1">
      <alignment horizontal="center"/>
    </xf>
  </cellXfs>
  <cellStyles count="80">
    <cellStyle name="20% - Accent1" xfId="25"/>
    <cellStyle name="20% - Accent1 2" xfId="58"/>
    <cellStyle name="20% - Accent2" xfId="29"/>
    <cellStyle name="20% - Accent2 2" xfId="59"/>
    <cellStyle name="20% - Accent3" xfId="33"/>
    <cellStyle name="20% - Accent3 2" xfId="60"/>
    <cellStyle name="20% - Accent4" xfId="37"/>
    <cellStyle name="20% - Accent4 2" xfId="61"/>
    <cellStyle name="20% - Accent5" xfId="41"/>
    <cellStyle name="20% - Accent5 2" xfId="62"/>
    <cellStyle name="20% - Accent6" xfId="45"/>
    <cellStyle name="20% - Accent6 2" xfId="63"/>
    <cellStyle name="40% - Accent1" xfId="26"/>
    <cellStyle name="40% - Accent1 2" xfId="64"/>
    <cellStyle name="40% - Accent2" xfId="30"/>
    <cellStyle name="40% - Accent2 2" xfId="65"/>
    <cellStyle name="40% - Accent3" xfId="34"/>
    <cellStyle name="40% - Accent3 2" xfId="66"/>
    <cellStyle name="40% - Accent4" xfId="38"/>
    <cellStyle name="40% - Accent4 2" xfId="67"/>
    <cellStyle name="40% - Accent5" xfId="42"/>
    <cellStyle name="40% - Accent5 2" xfId="68"/>
    <cellStyle name="40% - Accent6" xfId="46"/>
    <cellStyle name="40% - Accent6 2" xfId="69"/>
    <cellStyle name="60 % - uthevingsfarge 1 2" xfId="27"/>
    <cellStyle name="60 % - uthevingsfarge 2 2" xfId="31"/>
    <cellStyle name="60 % - uthevingsfarge 3 2" xfId="35"/>
    <cellStyle name="60 % - uthevingsfarge 4 2" xfId="39"/>
    <cellStyle name="60 % - uthevingsfarge 5 2" xfId="43"/>
    <cellStyle name="60 % - uthevingsfarge 6 2" xfId="47"/>
    <cellStyle name="Beregning 2" xfId="18"/>
    <cellStyle name="Comma 2" xfId="54"/>
    <cellStyle name="Comma 2 2" xfId="70"/>
    <cellStyle name="Comma 3" xfId="57"/>
    <cellStyle name="Dårlig 2" xfId="14"/>
    <cellStyle name="Forklarende tekst 2" xfId="22"/>
    <cellStyle name="God 2" xfId="13"/>
    <cellStyle name="Hyperkobling" xfId="4" builtinId="8"/>
    <cellStyle name="Hyperkobling 2" xfId="56"/>
    <cellStyle name="Inndata 2" xfId="16"/>
    <cellStyle name="Koblet celle 2" xfId="19"/>
    <cellStyle name="Komma 2" xfId="78"/>
    <cellStyle name="Kontrollcelle 2" xfId="20"/>
    <cellStyle name="Normal" xfId="0" builtinId="0"/>
    <cellStyle name="Normal 2" xfId="7"/>
    <cellStyle name="Normal 2 2" xfId="52"/>
    <cellStyle name="Normal 2 3" xfId="51"/>
    <cellStyle name="Normal 2 4" xfId="71"/>
    <cellStyle name="Normal 2 4 2" xfId="75"/>
    <cellStyle name="Normal 2 4 3" xfId="77"/>
    <cellStyle name="Normal 3" xfId="49"/>
    <cellStyle name="Normal 3 2" xfId="72"/>
    <cellStyle name="Normal 4" xfId="53"/>
    <cellStyle name="Normal 5" xfId="48"/>
    <cellStyle name="Normal 6" xfId="3"/>
    <cellStyle name="Normal 7" xfId="5"/>
    <cellStyle name="Normal_Ark2" xfId="1"/>
    <cellStyle name="Note 2" xfId="50"/>
    <cellStyle name="Note 2 2" xfId="73"/>
    <cellStyle name="Nøytral 2" xfId="15"/>
    <cellStyle name="Overskrift 1 2" xfId="9"/>
    <cellStyle name="Overskrift 2 2" xfId="10"/>
    <cellStyle name="Overskrift 3 2" xfId="11"/>
    <cellStyle name="Overskrift 4 2" xfId="12"/>
    <cellStyle name="Percent" xfId="76"/>
    <cellStyle name="Percent 2" xfId="55"/>
    <cellStyle name="Percent 2 2" xfId="74"/>
    <cellStyle name="Prosent 2" xfId="79"/>
    <cellStyle name="Tittel 2" xfId="8"/>
    <cellStyle name="Totalt 2" xfId="23"/>
    <cellStyle name="Tusenskille_Ark2" xfId="2"/>
    <cellStyle name="Tusenskille_Ark2 2" xfId="6"/>
    <cellStyle name="Utdata 2" xfId="17"/>
    <cellStyle name="Uthevingsfarge1 2" xfId="24"/>
    <cellStyle name="Uthevingsfarge2 2" xfId="28"/>
    <cellStyle name="Uthevingsfarge3 2" xfId="32"/>
    <cellStyle name="Uthevingsfarge4 2" xfId="36"/>
    <cellStyle name="Uthevingsfarge5 2" xfId="40"/>
    <cellStyle name="Uthevingsfarge6 2" xfId="44"/>
    <cellStyle name="Varseltekst 2" xfId="21"/>
  </cellStyles>
  <dxfs count="0"/>
  <tableStyles count="2" defaultTableStyle="TableStyleMedium2" defaultPivotStyle="PivotStyleLight16">
    <tableStyle name="Tabellstil 1" pivot="0" count="0"/>
    <tableStyle name="Tabellstil 2" pivot="0" count="0"/>
  </tableStyles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statoil.no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ostfoldved.no/" TargetMode="External"/><Relationship Id="rId1" Type="http://schemas.openxmlformats.org/officeDocument/2006/relationships/hyperlink" Target="http://www.statoil.no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tatoil.no/" TargetMode="External"/><Relationship Id="rId4" Type="http://schemas.openxmlformats.org/officeDocument/2006/relationships/hyperlink" Target="http://www.statoil.n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5"/>
  <sheetViews>
    <sheetView tabSelected="1" topLeftCell="A45" zoomScale="84" zoomScaleNormal="84" workbookViewId="0">
      <selection activeCell="G46" sqref="G46"/>
    </sheetView>
  </sheetViews>
  <sheetFormatPr baseColWidth="10" defaultColWidth="11.42578125" defaultRowHeight="15"/>
  <cols>
    <col min="2" max="2" width="26.42578125" customWidth="1"/>
    <col min="4" max="4" width="12.28515625" customWidth="1"/>
    <col min="8" max="8" width="15.28515625" customWidth="1"/>
    <col min="9" max="9" width="24.28515625" customWidth="1"/>
  </cols>
  <sheetData>
    <row r="1" spans="2:18">
      <c r="C1" s="41" t="s">
        <v>114</v>
      </c>
      <c r="Q1" t="s">
        <v>174</v>
      </c>
      <c r="R1" t="s">
        <v>175</v>
      </c>
    </row>
    <row r="2" spans="2:18">
      <c r="C2" t="s">
        <v>128</v>
      </c>
      <c r="G2" t="s">
        <v>20</v>
      </c>
      <c r="Q2" s="85">
        <v>13.29</v>
      </c>
      <c r="R2" s="86">
        <v>11.61</v>
      </c>
    </row>
    <row r="3" spans="2:18">
      <c r="B3" s="153" t="s">
        <v>0</v>
      </c>
      <c r="C3" s="154"/>
      <c r="D3" s="154"/>
      <c r="E3" s="154"/>
      <c r="F3" s="154"/>
      <c r="G3" s="154"/>
      <c r="H3" s="154"/>
      <c r="I3" s="154"/>
      <c r="P3" s="87">
        <v>42401</v>
      </c>
      <c r="Q3" s="88">
        <v>12.93</v>
      </c>
      <c r="R3" s="89">
        <v>10.95</v>
      </c>
    </row>
    <row r="4" spans="2:18" ht="15.75" thickBot="1">
      <c r="B4" s="1" t="s">
        <v>16</v>
      </c>
      <c r="C4" s="2"/>
      <c r="D4" s="7" t="s">
        <v>18</v>
      </c>
      <c r="E4" s="2" t="s">
        <v>17</v>
      </c>
      <c r="F4" s="7" t="s">
        <v>19</v>
      </c>
      <c r="G4" s="3"/>
      <c r="H4" s="37" t="s">
        <v>107</v>
      </c>
      <c r="I4" s="37" t="s">
        <v>69</v>
      </c>
      <c r="K4" s="37" t="s">
        <v>188</v>
      </c>
      <c r="P4" s="90">
        <v>42430</v>
      </c>
      <c r="Q4" s="85">
        <v>13.41</v>
      </c>
      <c r="R4" s="86">
        <v>11.86</v>
      </c>
    </row>
    <row r="5" spans="2:18">
      <c r="B5" s="4" t="s">
        <v>2</v>
      </c>
      <c r="C5" s="53" t="s">
        <v>3</v>
      </c>
      <c r="D5" s="5">
        <v>10.584</v>
      </c>
      <c r="E5" s="5">
        <v>9.9960000000000004</v>
      </c>
      <c r="F5" s="5"/>
      <c r="G5" s="42"/>
      <c r="I5" t="s">
        <v>115</v>
      </c>
      <c r="K5">
        <v>0.84</v>
      </c>
      <c r="L5" t="s">
        <v>189</v>
      </c>
      <c r="P5" s="87">
        <v>42461</v>
      </c>
      <c r="Q5" s="88">
        <v>13.53</v>
      </c>
      <c r="R5" s="89">
        <v>11.41</v>
      </c>
    </row>
    <row r="6" spans="2:18">
      <c r="B6" s="4" t="s">
        <v>4</v>
      </c>
      <c r="C6" s="53" t="s">
        <v>3</v>
      </c>
      <c r="D6" s="5">
        <v>9.7595833333333335</v>
      </c>
      <c r="E6" s="5">
        <v>8.9739000000000004</v>
      </c>
      <c r="F6" s="5"/>
      <c r="G6" s="42"/>
      <c r="I6" t="s">
        <v>115</v>
      </c>
      <c r="P6" s="90">
        <v>42491</v>
      </c>
      <c r="Q6" s="85">
        <v>13.57</v>
      </c>
      <c r="R6" s="86">
        <v>11.21</v>
      </c>
    </row>
    <row r="7" spans="2:18" ht="15.75">
      <c r="B7" s="4" t="s">
        <v>5</v>
      </c>
      <c r="C7" s="53" t="s">
        <v>6</v>
      </c>
      <c r="D7" s="5">
        <v>11.611111111111111</v>
      </c>
      <c r="E7" s="5">
        <v>10.3</v>
      </c>
      <c r="F7" s="5"/>
      <c r="G7" s="42"/>
      <c r="I7" t="s">
        <v>115</v>
      </c>
      <c r="K7">
        <v>0.85</v>
      </c>
      <c r="L7" t="s">
        <v>190</v>
      </c>
      <c r="P7" s="87">
        <v>42522</v>
      </c>
      <c r="Q7" s="88">
        <v>14.02</v>
      </c>
      <c r="R7" s="89">
        <v>11.96</v>
      </c>
    </row>
    <row r="8" spans="2:18">
      <c r="B8" s="4" t="s">
        <v>7</v>
      </c>
      <c r="C8" s="53" t="s">
        <v>1</v>
      </c>
      <c r="D8" s="5">
        <v>13.9</v>
      </c>
      <c r="E8" s="5">
        <v>12.8</v>
      </c>
      <c r="F8" s="5"/>
      <c r="G8" s="42"/>
      <c r="I8" t="s">
        <v>115</v>
      </c>
      <c r="P8" s="90">
        <v>42552</v>
      </c>
      <c r="Q8" s="85">
        <v>13.88</v>
      </c>
      <c r="R8" s="86">
        <v>12.06</v>
      </c>
    </row>
    <row r="9" spans="2:18" ht="15.75">
      <c r="B9" s="4" t="s">
        <v>111</v>
      </c>
      <c r="C9" s="53" t="s">
        <v>6</v>
      </c>
      <c r="D9" s="5">
        <v>6.2</v>
      </c>
      <c r="E9" s="5">
        <v>5.6</v>
      </c>
      <c r="F9" s="5"/>
      <c r="G9" s="42"/>
      <c r="I9" t="s">
        <v>115</v>
      </c>
      <c r="P9" s="87">
        <v>42583</v>
      </c>
      <c r="Q9" s="88">
        <v>13.63</v>
      </c>
      <c r="R9" s="89">
        <v>11.64</v>
      </c>
    </row>
    <row r="10" spans="2:18" ht="15.75">
      <c r="B10" s="4" t="s">
        <v>113</v>
      </c>
      <c r="C10" s="53" t="s">
        <v>6</v>
      </c>
      <c r="D10" s="5">
        <v>9.2814888888888909</v>
      </c>
      <c r="E10" s="5">
        <v>7.5</v>
      </c>
      <c r="F10" s="5"/>
      <c r="G10" s="42"/>
      <c r="I10" t="s">
        <v>115</v>
      </c>
      <c r="P10" s="90">
        <v>42614</v>
      </c>
      <c r="Q10" s="85">
        <v>13.47</v>
      </c>
      <c r="R10" s="86">
        <v>11.57</v>
      </c>
    </row>
    <row r="11" spans="2:18">
      <c r="B11" s="4" t="s">
        <v>121</v>
      </c>
      <c r="C11" s="53" t="s">
        <v>1</v>
      </c>
      <c r="D11" s="5">
        <v>4.5599999999999996</v>
      </c>
      <c r="E11" s="59"/>
      <c r="F11" s="5">
        <v>4.0999999999999996</v>
      </c>
      <c r="G11" s="42"/>
      <c r="I11" t="s">
        <v>122</v>
      </c>
      <c r="P11" s="87">
        <v>42644</v>
      </c>
      <c r="Q11" s="88">
        <v>13.33</v>
      </c>
      <c r="R11" s="89">
        <v>11.46</v>
      </c>
    </row>
    <row r="12" spans="2:18">
      <c r="B12" s="4" t="s">
        <v>123</v>
      </c>
      <c r="C12" s="53" t="s">
        <v>1</v>
      </c>
      <c r="D12" s="5">
        <v>3.42</v>
      </c>
      <c r="E12" s="59"/>
      <c r="F12" s="5">
        <v>2.91</v>
      </c>
      <c r="G12" s="42"/>
      <c r="I12" t="s">
        <v>124</v>
      </c>
      <c r="P12" s="90">
        <v>42675</v>
      </c>
      <c r="Q12" s="85">
        <v>13.69</v>
      </c>
      <c r="R12" s="86">
        <v>11.97</v>
      </c>
    </row>
    <row r="13" spans="2:18" ht="15.75" thickBot="1">
      <c r="B13" s="4" t="s">
        <v>8</v>
      </c>
      <c r="C13" s="53" t="s">
        <v>1</v>
      </c>
      <c r="D13" s="5">
        <v>5.13</v>
      </c>
      <c r="E13" s="59"/>
      <c r="F13" s="5">
        <v>4.7</v>
      </c>
      <c r="G13" s="42"/>
      <c r="I13" t="s">
        <v>115</v>
      </c>
      <c r="P13" s="91">
        <v>42705</v>
      </c>
      <c r="Q13" s="93">
        <v>13.89</v>
      </c>
      <c r="R13" s="92">
        <v>12.25</v>
      </c>
    </row>
    <row r="14" spans="2:18">
      <c r="B14" s="4" t="s">
        <v>9</v>
      </c>
      <c r="C14" s="53" t="s">
        <v>1</v>
      </c>
      <c r="D14" s="5">
        <v>3.4</v>
      </c>
      <c r="E14" s="59"/>
      <c r="F14" s="5">
        <v>3</v>
      </c>
      <c r="G14" s="42"/>
      <c r="I14" s="132" t="s">
        <v>182</v>
      </c>
      <c r="Q14">
        <f>SUM(Q2:Q13)</f>
        <v>162.63999999999999</v>
      </c>
      <c r="R14">
        <f>SUM(R2:R13)</f>
        <v>139.95000000000002</v>
      </c>
    </row>
    <row r="15" spans="2:18">
      <c r="B15" s="4" t="s">
        <v>112</v>
      </c>
      <c r="C15" s="53" t="s">
        <v>1</v>
      </c>
      <c r="D15" s="5">
        <v>8.3888888888888893</v>
      </c>
      <c r="E15" s="5">
        <v>7.8</v>
      </c>
      <c r="F15" s="5"/>
      <c r="G15" s="42"/>
      <c r="I15" t="s">
        <v>115</v>
      </c>
      <c r="Q15">
        <f>Q14/12</f>
        <v>13.553333333333333</v>
      </c>
      <c r="R15">
        <f>R14/12</f>
        <v>11.662500000000001</v>
      </c>
    </row>
    <row r="16" spans="2:18">
      <c r="B16" s="4" t="s">
        <v>11</v>
      </c>
      <c r="C16" s="53" t="s">
        <v>12</v>
      </c>
      <c r="D16" s="59"/>
      <c r="E16" s="59"/>
      <c r="F16" s="59">
        <v>155</v>
      </c>
      <c r="G16" s="43"/>
      <c r="I16" t="s">
        <v>115</v>
      </c>
      <c r="Q16">
        <f>Q15/1.25</f>
        <v>10.842666666666666</v>
      </c>
      <c r="R16">
        <f>R15/1.25</f>
        <v>9.3300000000000018</v>
      </c>
    </row>
    <row r="17" spans="1:18">
      <c r="B17" s="4" t="s">
        <v>70</v>
      </c>
      <c r="C17" s="54" t="s">
        <v>3</v>
      </c>
      <c r="E17" s="94">
        <v>9.1999999999999993</v>
      </c>
      <c r="F17" s="41"/>
      <c r="G17" s="43"/>
      <c r="I17" t="s">
        <v>181</v>
      </c>
      <c r="O17" t="s">
        <v>172</v>
      </c>
      <c r="Q17" s="72">
        <f>Q16-'CO2-avgift, grunnavgift'!C5</f>
        <v>5.6526666666666658</v>
      </c>
      <c r="R17" s="72">
        <f>R16-'CO2-avgift, grunnavgift'!C3</f>
        <v>5.530000000000002</v>
      </c>
    </row>
    <row r="18" spans="1:18">
      <c r="B18" s="4" t="s">
        <v>72</v>
      </c>
      <c r="C18" s="54" t="s">
        <v>3</v>
      </c>
      <c r="E18" s="94">
        <v>5.9</v>
      </c>
      <c r="F18" s="41"/>
      <c r="G18" s="43"/>
      <c r="I18" t="s">
        <v>181</v>
      </c>
    </row>
    <row r="19" spans="1:18">
      <c r="B19" s="4" t="s">
        <v>86</v>
      </c>
      <c r="C19" s="54" t="s">
        <v>3</v>
      </c>
      <c r="E19" s="94">
        <v>10</v>
      </c>
      <c r="F19" s="95"/>
      <c r="G19" s="43"/>
      <c r="I19" t="s">
        <v>176</v>
      </c>
    </row>
    <row r="20" spans="1:18">
      <c r="B20" s="4" t="s">
        <v>77</v>
      </c>
      <c r="C20" s="54" t="s">
        <v>1</v>
      </c>
      <c r="E20" s="95"/>
      <c r="F20" s="94">
        <v>4.67</v>
      </c>
      <c r="G20" s="43"/>
      <c r="H20" t="s">
        <v>141</v>
      </c>
    </row>
    <row r="21" spans="1:18">
      <c r="B21" s="4" t="s">
        <v>88</v>
      </c>
      <c r="C21" s="54" t="s">
        <v>3</v>
      </c>
      <c r="E21" s="94">
        <v>10.06</v>
      </c>
      <c r="F21" s="95"/>
      <c r="G21" s="43"/>
      <c r="I21" t="s">
        <v>176</v>
      </c>
      <c r="K21">
        <v>0.84</v>
      </c>
      <c r="L21" t="s">
        <v>189</v>
      </c>
      <c r="Q21" s="65"/>
    </row>
    <row r="22" spans="1:18">
      <c r="B22" s="4" t="s">
        <v>24</v>
      </c>
      <c r="C22" s="54" t="s">
        <v>3</v>
      </c>
      <c r="E22" s="94">
        <v>9.0299999999999994</v>
      </c>
      <c r="F22" s="95"/>
      <c r="G22" s="43"/>
      <c r="I22" t="s">
        <v>176</v>
      </c>
    </row>
    <row r="23" spans="1:18">
      <c r="B23" s="4" t="s">
        <v>179</v>
      </c>
      <c r="C23" s="54" t="s">
        <v>3</v>
      </c>
      <c r="E23" s="94">
        <v>9.69</v>
      </c>
      <c r="F23" s="41"/>
      <c r="G23" s="43"/>
      <c r="I23" t="s">
        <v>180</v>
      </c>
    </row>
    <row r="24" spans="1:18">
      <c r="B24" s="4" t="s">
        <v>94</v>
      </c>
      <c r="C24" s="54" t="s">
        <v>3</v>
      </c>
      <c r="D24" s="41"/>
      <c r="E24" s="94">
        <v>9.69</v>
      </c>
      <c r="F24" s="41"/>
      <c r="G24" s="43"/>
      <c r="I24" t="s">
        <v>176</v>
      </c>
    </row>
    <row r="25" spans="1:18">
      <c r="B25" s="4" t="s">
        <v>177</v>
      </c>
      <c r="C25" s="54" t="s">
        <v>12</v>
      </c>
      <c r="D25" s="41"/>
      <c r="E25" s="94">
        <v>24000</v>
      </c>
      <c r="F25" s="41"/>
      <c r="G25" s="43"/>
      <c r="I25" t="s">
        <v>178</v>
      </c>
    </row>
    <row r="26" spans="1:18">
      <c r="B26" s="4" t="s">
        <v>106</v>
      </c>
      <c r="C26" s="54" t="s">
        <v>1</v>
      </c>
      <c r="D26" s="41"/>
      <c r="E26" s="94">
        <v>33</v>
      </c>
      <c r="F26" s="41"/>
      <c r="G26" s="64"/>
    </row>
    <row r="27" spans="1:18">
      <c r="B27" s="4" t="s">
        <v>161</v>
      </c>
      <c r="C27" s="54" t="s">
        <v>3</v>
      </c>
      <c r="E27" s="94">
        <v>11.06</v>
      </c>
      <c r="I27" t="s">
        <v>176</v>
      </c>
    </row>
    <row r="28" spans="1:18">
      <c r="B28" s="4" t="s">
        <v>183</v>
      </c>
      <c r="C28" s="46" t="s">
        <v>1</v>
      </c>
      <c r="D28" s="5">
        <v>4.28</v>
      </c>
      <c r="E28" s="5"/>
      <c r="F28" s="5">
        <v>3.5</v>
      </c>
      <c r="G28" s="131"/>
      <c r="I28" s="132" t="s">
        <v>223</v>
      </c>
    </row>
    <row r="29" spans="1:18">
      <c r="A29" s="6" t="s">
        <v>13</v>
      </c>
      <c r="B29" s="30" t="s">
        <v>64</v>
      </c>
      <c r="C29" s="31" t="s">
        <v>65</v>
      </c>
      <c r="D29" t="s">
        <v>74</v>
      </c>
      <c r="E29" s="30" t="s">
        <v>66</v>
      </c>
      <c r="F29" s="30" t="s">
        <v>67</v>
      </c>
      <c r="G29" s="32" t="s">
        <v>68</v>
      </c>
      <c r="H29" s="30" t="s">
        <v>69</v>
      </c>
    </row>
    <row r="30" spans="1:18">
      <c r="B30" s="33" t="s">
        <v>70</v>
      </c>
      <c r="C30" s="63">
        <f>E30*1000/E17</f>
        <v>872.82608695652186</v>
      </c>
      <c r="D30" s="60">
        <f>C30*100/1000</f>
        <v>87.282608695652186</v>
      </c>
      <c r="E30" s="130">
        <f>11.83-'CO2-avgift, grunnavgift'!$C$11</f>
        <v>8.0300000000000011</v>
      </c>
      <c r="F30" s="34" t="s">
        <v>14</v>
      </c>
      <c r="G30" s="35" t="s">
        <v>71</v>
      </c>
      <c r="H30" t="s">
        <v>186</v>
      </c>
    </row>
    <row r="31" spans="1:18">
      <c r="B31" s="33" t="s">
        <v>72</v>
      </c>
      <c r="C31" s="38"/>
      <c r="D31" s="39"/>
      <c r="E31" s="41"/>
      <c r="F31" s="34"/>
      <c r="H31" t="s">
        <v>226</v>
      </c>
    </row>
    <row r="32" spans="1:18">
      <c r="B32" s="33" t="s">
        <v>73</v>
      </c>
      <c r="C32" s="63">
        <v>291</v>
      </c>
      <c r="D32" s="60">
        <f t="shared" ref="D32:D59" si="0">C32*100/1000</f>
        <v>29.1</v>
      </c>
      <c r="E32" s="40"/>
      <c r="F32" s="34" t="s">
        <v>74</v>
      </c>
      <c r="G32" s="55" t="s">
        <v>120</v>
      </c>
    </row>
    <row r="33" spans="2:18">
      <c r="B33" s="33" t="s">
        <v>75</v>
      </c>
      <c r="C33" s="63">
        <f>D33*1000/100</f>
        <v>580</v>
      </c>
      <c r="D33" s="60">
        <v>58</v>
      </c>
      <c r="E33" s="62">
        <v>58</v>
      </c>
      <c r="F33" s="34" t="s">
        <v>74</v>
      </c>
      <c r="G33" s="34" t="s">
        <v>142</v>
      </c>
    </row>
    <row r="34" spans="2:18" ht="15.75">
      <c r="B34" s="33" t="s">
        <v>76</v>
      </c>
      <c r="C34" s="38"/>
      <c r="D34" s="39"/>
      <c r="E34" s="41"/>
      <c r="M34" s="45"/>
      <c r="N34" s="49"/>
      <c r="O34" s="50"/>
      <c r="P34" s="51"/>
      <c r="Q34" s="45"/>
      <c r="R34" s="48"/>
    </row>
    <row r="35" spans="2:18">
      <c r="B35" s="33" t="s">
        <v>183</v>
      </c>
      <c r="C35" s="63">
        <f>E35*1000/3.5</f>
        <v>-14.285714285714286</v>
      </c>
      <c r="D35" s="60">
        <f>C35*100/1000</f>
        <v>-1.4285714285714286</v>
      </c>
      <c r="E35" s="59">
        <v>-0.05</v>
      </c>
      <c r="F35" s="34" t="s">
        <v>15</v>
      </c>
      <c r="G35" s="55" t="s">
        <v>184</v>
      </c>
      <c r="M35" s="52"/>
      <c r="N35" s="46"/>
      <c r="O35" s="47"/>
      <c r="P35" s="47"/>
      <c r="Q35" s="45"/>
      <c r="R35" s="44"/>
    </row>
    <row r="36" spans="2:18">
      <c r="B36" s="33" t="s">
        <v>117</v>
      </c>
      <c r="C36" s="63">
        <v>200</v>
      </c>
      <c r="D36" s="60">
        <f>C36*100/1000</f>
        <v>20</v>
      </c>
      <c r="E36" s="40"/>
      <c r="F36" s="34" t="s">
        <v>65</v>
      </c>
      <c r="G36" s="55" t="s">
        <v>119</v>
      </c>
    </row>
    <row r="37" spans="2:18">
      <c r="B37" s="33" t="s">
        <v>118</v>
      </c>
      <c r="C37" s="63">
        <v>185</v>
      </c>
      <c r="D37" s="60">
        <f t="shared" si="0"/>
        <v>18.5</v>
      </c>
      <c r="E37" s="40"/>
      <c r="F37" s="34" t="s">
        <v>74</v>
      </c>
      <c r="G37" s="55" t="s">
        <v>119</v>
      </c>
    </row>
    <row r="38" spans="2:18">
      <c r="B38" s="33" t="s">
        <v>9</v>
      </c>
      <c r="C38" s="63">
        <f>E38*1000/2.92</f>
        <v>-273.97260273972603</v>
      </c>
      <c r="D38" s="60">
        <f t="shared" si="0"/>
        <v>-27.397260273972602</v>
      </c>
      <c r="E38" s="62">
        <v>-0.8</v>
      </c>
      <c r="F38" s="34" t="s">
        <v>15</v>
      </c>
      <c r="G38" s="55" t="s">
        <v>185</v>
      </c>
    </row>
    <row r="39" spans="2:18">
      <c r="B39" s="33" t="s">
        <v>77</v>
      </c>
      <c r="C39" s="63">
        <f>D39*1000/100</f>
        <v>9.883050568275408</v>
      </c>
      <c r="D39" s="60">
        <f>E39/(325*F20)</f>
        <v>0.98830505682754077</v>
      </c>
      <c r="E39" s="62">
        <v>1500</v>
      </c>
      <c r="F39" s="34" t="s">
        <v>143</v>
      </c>
      <c r="G39" s="35" t="s">
        <v>78</v>
      </c>
      <c r="H39" t="s">
        <v>144</v>
      </c>
    </row>
    <row r="40" spans="2:18">
      <c r="B40" s="33" t="s">
        <v>79</v>
      </c>
      <c r="C40" s="38"/>
      <c r="D40" s="39"/>
      <c r="E40" s="41"/>
    </row>
    <row r="41" spans="2:18">
      <c r="B41" s="33" t="s">
        <v>80</v>
      </c>
      <c r="C41" s="38"/>
      <c r="D41" s="39"/>
      <c r="E41" s="41"/>
    </row>
    <row r="42" spans="2:18">
      <c r="B42" s="33" t="s">
        <v>81</v>
      </c>
      <c r="C42" s="38"/>
      <c r="D42" s="39"/>
      <c r="E42" s="41"/>
    </row>
    <row r="43" spans="2:18">
      <c r="B43" s="33" t="s">
        <v>82</v>
      </c>
      <c r="C43" s="63">
        <f>D43*1000/100</f>
        <v>1148.3301574566242</v>
      </c>
      <c r="D43" s="60">
        <f>E43/E6*100</f>
        <v>114.83301574566241</v>
      </c>
      <c r="E43" s="62">
        <f>E44*0.9</f>
        <v>10.305</v>
      </c>
      <c r="F43" s="34" t="s">
        <v>14</v>
      </c>
      <c r="H43" t="s">
        <v>187</v>
      </c>
    </row>
    <row r="44" spans="2:18">
      <c r="B44" s="33" t="s">
        <v>83</v>
      </c>
      <c r="C44" s="63">
        <f>D44*1000/100</f>
        <v>1275.9223971740266</v>
      </c>
      <c r="D44" s="60">
        <f>E44/E6*100</f>
        <v>127.59223971740268</v>
      </c>
      <c r="E44" s="62">
        <v>11.45</v>
      </c>
      <c r="F44" s="34" t="s">
        <v>14</v>
      </c>
      <c r="G44" t="s">
        <v>71</v>
      </c>
      <c r="H44" t="s">
        <v>186</v>
      </c>
    </row>
    <row r="45" spans="2:18">
      <c r="B45" s="33" t="s">
        <v>84</v>
      </c>
      <c r="C45" s="38"/>
      <c r="D45" s="39"/>
      <c r="E45" s="41"/>
    </row>
    <row r="46" spans="2:18">
      <c r="B46" s="33" t="s">
        <v>10</v>
      </c>
      <c r="C46" s="70">
        <f>D46*1000/100</f>
        <v>57.556641025641021</v>
      </c>
      <c r="D46" s="69">
        <f>(E46*C71*100)/(1000*E15)</f>
        <v>5.7556641025641015</v>
      </c>
      <c r="E46">
        <v>53</v>
      </c>
      <c r="F46" t="s">
        <v>148</v>
      </c>
      <c r="G46" t="s">
        <v>236</v>
      </c>
    </row>
    <row r="47" spans="2:18">
      <c r="B47" s="17" t="s">
        <v>183</v>
      </c>
      <c r="C47" s="63"/>
      <c r="D47" s="60">
        <f>E47*100/F28</f>
        <v>1.4285714285714286</v>
      </c>
      <c r="E47" s="59">
        <f>50/1000</f>
        <v>0.05</v>
      </c>
      <c r="F47" t="s">
        <v>15</v>
      </c>
      <c r="G47" s="55" t="s">
        <v>222</v>
      </c>
    </row>
    <row r="48" spans="2:18">
      <c r="B48" s="33" t="s">
        <v>5</v>
      </c>
      <c r="C48" s="63">
        <f>E48*C72*D7/E7</f>
        <v>193.47380258899673</v>
      </c>
      <c r="D48" s="60">
        <f>C48*100/1000</f>
        <v>19.347380258899673</v>
      </c>
      <c r="E48" s="62">
        <v>19</v>
      </c>
      <c r="F48" s="34" t="s">
        <v>150</v>
      </c>
      <c r="G48" t="s">
        <v>149</v>
      </c>
    </row>
    <row r="49" spans="2:8">
      <c r="B49" s="33" t="s">
        <v>85</v>
      </c>
      <c r="C49" s="63">
        <f>D49*1000/100</f>
        <v>382</v>
      </c>
      <c r="D49" s="60">
        <f>48.7-10.5</f>
        <v>38.200000000000003</v>
      </c>
      <c r="E49" s="67">
        <f>D49</f>
        <v>38.200000000000003</v>
      </c>
      <c r="F49" s="34" t="s">
        <v>74</v>
      </c>
      <c r="G49" s="34" t="s">
        <v>145</v>
      </c>
      <c r="H49" t="s">
        <v>146</v>
      </c>
    </row>
    <row r="50" spans="2:8">
      <c r="B50" s="33" t="s">
        <v>86</v>
      </c>
      <c r="C50" s="63">
        <f>D50*1000/100</f>
        <v>299.56825020677149</v>
      </c>
      <c r="D50" s="60">
        <f>(E50*C71*100*3.6)/(158.99*0.847*42.686)</f>
        <v>29.956825020677151</v>
      </c>
      <c r="E50" s="68">
        <v>56.47</v>
      </c>
      <c r="F50" s="34" t="s">
        <v>151</v>
      </c>
      <c r="G50" t="s">
        <v>149</v>
      </c>
      <c r="H50" t="s">
        <v>87</v>
      </c>
    </row>
    <row r="51" spans="2:8">
      <c r="B51" s="33" t="s">
        <v>88</v>
      </c>
      <c r="C51" s="63">
        <f>E51*1000/10.11</f>
        <v>546.98318496538081</v>
      </c>
      <c r="D51" s="60">
        <f t="shared" si="0"/>
        <v>54.698318496538079</v>
      </c>
      <c r="E51" s="62">
        <v>5.53</v>
      </c>
      <c r="F51" s="34" t="s">
        <v>14</v>
      </c>
      <c r="G51" t="s">
        <v>173</v>
      </c>
    </row>
    <row r="52" spans="2:8">
      <c r="B52" s="33" t="s">
        <v>24</v>
      </c>
      <c r="C52" s="63">
        <f>E52*1000/9.1</f>
        <v>620.87912087912093</v>
      </c>
      <c r="D52" s="60">
        <f t="shared" si="0"/>
        <v>62.087912087912095</v>
      </c>
      <c r="E52" s="62">
        <v>5.65</v>
      </c>
      <c r="F52" s="34" t="s">
        <v>14</v>
      </c>
      <c r="G52" t="s">
        <v>173</v>
      </c>
    </row>
    <row r="53" spans="2:8">
      <c r="B53" s="33" t="s">
        <v>90</v>
      </c>
      <c r="C53" s="38"/>
      <c r="D53" s="39"/>
      <c r="E53" s="41"/>
      <c r="G53" t="s">
        <v>89</v>
      </c>
      <c r="H53" t="s">
        <v>91</v>
      </c>
    </row>
    <row r="54" spans="2:8">
      <c r="B54" s="33" t="s">
        <v>92</v>
      </c>
      <c r="C54" s="38"/>
      <c r="D54" s="39"/>
      <c r="E54" s="41"/>
      <c r="H54" t="s">
        <v>91</v>
      </c>
    </row>
    <row r="55" spans="2:8">
      <c r="B55" s="33" t="s">
        <v>179</v>
      </c>
      <c r="C55" s="63">
        <f>D55*1000/100</f>
        <v>567.59545923632618</v>
      </c>
      <c r="D55" s="60">
        <f>E55*100/E24</f>
        <v>56.759545923632615</v>
      </c>
      <c r="E55" s="62">
        <v>5.5</v>
      </c>
      <c r="F55" s="34" t="s">
        <v>14</v>
      </c>
      <c r="G55" s="34" t="s">
        <v>221</v>
      </c>
      <c r="H55" t="s">
        <v>93</v>
      </c>
    </row>
    <row r="56" spans="2:8">
      <c r="B56" s="33" t="s">
        <v>94</v>
      </c>
      <c r="C56" s="63">
        <f>E56*1000/E24</f>
        <v>660.16511867905047</v>
      </c>
      <c r="D56" s="60">
        <f t="shared" si="0"/>
        <v>66.016511867905052</v>
      </c>
      <c r="E56" s="130">
        <f>9.2-'CO2-avgift, grunnavgift'!E15-'CO2-avgift, grunnavgift'!G15</f>
        <v>6.3969999999999994</v>
      </c>
      <c r="F56" s="34" t="s">
        <v>14</v>
      </c>
      <c r="G56" t="s">
        <v>89</v>
      </c>
      <c r="H56" t="s">
        <v>220</v>
      </c>
    </row>
    <row r="57" spans="2:8">
      <c r="B57" s="33" t="s">
        <v>95</v>
      </c>
      <c r="C57" s="63">
        <f>E57*1000/E5</f>
        <v>409.86394557823127</v>
      </c>
      <c r="D57" s="60">
        <f>C57*100/1000</f>
        <v>40.986394557823125</v>
      </c>
      <c r="E57" s="130">
        <f>6.9-'CO2-avgift, grunnavgift'!E4-'CO2-avgift, grunnavgift'!G4</f>
        <v>4.0970000000000004</v>
      </c>
      <c r="F57" s="34" t="s">
        <v>14</v>
      </c>
      <c r="G57" t="s">
        <v>89</v>
      </c>
      <c r="H57" t="s">
        <v>96</v>
      </c>
    </row>
    <row r="58" spans="2:8">
      <c r="B58" s="33" t="s">
        <v>97</v>
      </c>
      <c r="C58" s="63">
        <f>E58*1000/E5</f>
        <v>522.90916366546605</v>
      </c>
      <c r="D58" s="60">
        <f t="shared" si="0"/>
        <v>52.290916366546604</v>
      </c>
      <c r="E58" s="130">
        <f>8.03-'CO2-avgift, grunnavgift'!E4-'CO2-avgift, grunnavgift'!G4</f>
        <v>5.2269999999999994</v>
      </c>
      <c r="F58" s="34" t="s">
        <v>14</v>
      </c>
      <c r="G58" t="s">
        <v>89</v>
      </c>
      <c r="H58" t="s">
        <v>98</v>
      </c>
    </row>
    <row r="59" spans="2:8" ht="15.75" thickBot="1">
      <c r="B59" s="36" t="s">
        <v>99</v>
      </c>
      <c r="C59" s="63">
        <f>E59*1000/E21</f>
        <v>397.31610337972165</v>
      </c>
      <c r="D59" s="60">
        <f t="shared" si="0"/>
        <v>39.731610337972171</v>
      </c>
      <c r="E59" s="130">
        <f>6.8-'CO2-avgift, grunnavgift'!E12-'CO2-avgift, grunnavgift'!G12</f>
        <v>3.9969999999999999</v>
      </c>
      <c r="F59" s="34" t="s">
        <v>14</v>
      </c>
      <c r="G59" t="s">
        <v>89</v>
      </c>
      <c r="H59" t="s">
        <v>100</v>
      </c>
    </row>
    <row r="60" spans="2:8">
      <c r="B60" s="17" t="s">
        <v>138</v>
      </c>
      <c r="C60" s="61">
        <f t="shared" ref="C60:C65" si="1">D60*1000/100</f>
        <v>44.047119999999993</v>
      </c>
      <c r="D60" s="60">
        <f>C71*E60</f>
        <v>4.404712</v>
      </c>
      <c r="E60" s="62">
        <v>0.52</v>
      </c>
      <c r="F60" s="34" t="s">
        <v>139</v>
      </c>
      <c r="G60" t="s">
        <v>140</v>
      </c>
    </row>
    <row r="61" spans="2:8">
      <c r="B61" s="17" t="s">
        <v>152</v>
      </c>
      <c r="C61" s="61">
        <f t="shared" si="1"/>
        <v>230</v>
      </c>
      <c r="D61" s="59">
        <v>23</v>
      </c>
      <c r="E61" s="41"/>
      <c r="G61" t="s">
        <v>147</v>
      </c>
    </row>
    <row r="62" spans="2:8">
      <c r="B62" s="17" t="s">
        <v>126</v>
      </c>
      <c r="C62" s="61">
        <f t="shared" si="1"/>
        <v>279</v>
      </c>
      <c r="D62" s="59">
        <v>27.9</v>
      </c>
      <c r="E62" s="41"/>
      <c r="G62" t="s">
        <v>130</v>
      </c>
      <c r="H62" t="s">
        <v>235</v>
      </c>
    </row>
    <row r="63" spans="2:8">
      <c r="B63" s="17" t="s">
        <v>127</v>
      </c>
      <c r="C63" s="61">
        <f t="shared" si="1"/>
        <v>218</v>
      </c>
      <c r="D63" s="59">
        <v>21.8</v>
      </c>
      <c r="E63" s="41"/>
      <c r="G63" t="s">
        <v>129</v>
      </c>
    </row>
    <row r="64" spans="2:8">
      <c r="B64" s="17" t="s">
        <v>153</v>
      </c>
      <c r="C64" s="61">
        <f t="shared" si="1"/>
        <v>578</v>
      </c>
      <c r="D64" s="59">
        <v>57.8</v>
      </c>
      <c r="E64" s="41"/>
      <c r="G64" t="s">
        <v>125</v>
      </c>
    </row>
    <row r="65" spans="2:8">
      <c r="B65" s="17" t="s">
        <v>154</v>
      </c>
      <c r="C65" s="61">
        <f t="shared" si="1"/>
        <v>448</v>
      </c>
      <c r="D65" s="59">
        <f>D61+D63</f>
        <v>44.8</v>
      </c>
      <c r="E65" s="41"/>
    </row>
    <row r="66" spans="2:8">
      <c r="B66" s="17" t="s">
        <v>155</v>
      </c>
      <c r="C66" s="61"/>
      <c r="D66" s="59"/>
      <c r="E66" s="41"/>
    </row>
    <row r="67" spans="2:8">
      <c r="B67" s="17" t="s">
        <v>106</v>
      </c>
      <c r="C67" s="61">
        <f>D67*1000/100</f>
        <v>1818.1818181818182</v>
      </c>
      <c r="D67" s="60">
        <f>E67*100/E26</f>
        <v>181.81818181818181</v>
      </c>
      <c r="E67" s="62">
        <v>60</v>
      </c>
      <c r="F67" s="34" t="s">
        <v>15</v>
      </c>
      <c r="G67" t="s">
        <v>109</v>
      </c>
      <c r="H67" t="s">
        <v>108</v>
      </c>
    </row>
    <row r="70" spans="2:8">
      <c r="B70" t="s">
        <v>131</v>
      </c>
      <c r="D70" t="s">
        <v>132</v>
      </c>
    </row>
    <row r="71" spans="2:8">
      <c r="B71" t="s">
        <v>133</v>
      </c>
      <c r="C71" s="66">
        <v>8.4705999999999992</v>
      </c>
    </row>
    <row r="72" spans="2:8">
      <c r="B72" t="s">
        <v>134</v>
      </c>
      <c r="C72" s="66">
        <v>9.0329999999999995</v>
      </c>
    </row>
    <row r="73" spans="2:8">
      <c r="B73" t="s">
        <v>135</v>
      </c>
      <c r="C73" s="66">
        <v>10.403</v>
      </c>
    </row>
    <row r="74" spans="2:8">
      <c r="B74" t="s">
        <v>136</v>
      </c>
      <c r="C74" s="66">
        <v>121.47</v>
      </c>
    </row>
    <row r="75" spans="2:8">
      <c r="B75" t="s">
        <v>137</v>
      </c>
      <c r="C75" s="66">
        <v>94.76</v>
      </c>
    </row>
  </sheetData>
  <mergeCells count="1">
    <mergeCell ref="B3:I3"/>
  </mergeCells>
  <hyperlinks>
    <hyperlink ref="G30" r:id="rId1" display="www.statoil.no"/>
    <hyperlink ref="G39" r:id="rId2"/>
    <hyperlink ref="G56" r:id="rId3" display="www.statoil.no"/>
    <hyperlink ref="G53" r:id="rId4" display="www.statoil.no"/>
    <hyperlink ref="G57:G59" r:id="rId5" display="www.statoil.no"/>
  </hyperlinks>
  <pageMargins left="0.70866141732283472" right="0.70866141732283472" top="0.74803149606299213" bottom="0.74803149606299213" header="0.31496062992125984" footer="0.31496062992125984"/>
  <pageSetup paperSize="9" orientation="landscape"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7"/>
  <sheetViews>
    <sheetView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I1" sqref="I1"/>
    </sheetView>
  </sheetViews>
  <sheetFormatPr baseColWidth="10" defaultColWidth="11.42578125" defaultRowHeight="15"/>
  <cols>
    <col min="2" max="2" width="21" style="30" customWidth="1"/>
    <col min="3" max="3" width="18.42578125" customWidth="1"/>
    <col min="4" max="11" width="16.28515625" customWidth="1"/>
  </cols>
  <sheetData>
    <row r="1" spans="2:13">
      <c r="C1" s="8" t="s">
        <v>27</v>
      </c>
      <c r="D1" t="s">
        <v>166</v>
      </c>
    </row>
    <row r="2" spans="2:13" s="30" customFormat="1" ht="60">
      <c r="B2" s="78" t="s">
        <v>21</v>
      </c>
      <c r="C2" s="77" t="s">
        <v>165</v>
      </c>
      <c r="D2" s="77" t="s">
        <v>157</v>
      </c>
      <c r="E2" s="77" t="s">
        <v>167</v>
      </c>
      <c r="F2" s="77" t="s">
        <v>158</v>
      </c>
      <c r="G2" s="77" t="s">
        <v>160</v>
      </c>
      <c r="H2" s="77" t="s">
        <v>164</v>
      </c>
      <c r="I2" s="77" t="s">
        <v>162</v>
      </c>
      <c r="J2" s="77" t="s">
        <v>163</v>
      </c>
      <c r="K2" s="77" t="s">
        <v>171</v>
      </c>
      <c r="L2" s="82" t="s">
        <v>28</v>
      </c>
      <c r="M2" s="77" t="s">
        <v>170</v>
      </c>
    </row>
    <row r="3" spans="2:13">
      <c r="B3" s="79" t="s">
        <v>22</v>
      </c>
      <c r="C3" s="71">
        <v>3.8</v>
      </c>
      <c r="D3" s="72">
        <f>C3*100/'Brennverdier og priser'!E22</f>
        <v>42.081949058693247</v>
      </c>
      <c r="E3" s="72">
        <v>0</v>
      </c>
      <c r="F3" s="72">
        <f>E3*100/'Brennverdier og priser'!E21</f>
        <v>0</v>
      </c>
      <c r="G3" s="72">
        <v>1.2</v>
      </c>
      <c r="H3" s="72">
        <f>G3*100/'Brennverdier og priser'!E21</f>
        <v>11.928429423459244</v>
      </c>
      <c r="I3" s="72">
        <v>0</v>
      </c>
      <c r="J3" s="72"/>
      <c r="K3" s="72">
        <v>0</v>
      </c>
      <c r="L3" s="83"/>
      <c r="M3" s="72">
        <f>D3+F3+H3+J3+L3</f>
        <v>54.01037848215249</v>
      </c>
    </row>
    <row r="4" spans="2:13">
      <c r="B4" s="79" t="s">
        <v>23</v>
      </c>
      <c r="C4" s="71"/>
      <c r="D4" s="72"/>
      <c r="E4" s="72">
        <v>1.603</v>
      </c>
      <c r="F4" s="72">
        <f>E4*100/'Brennverdier og priser'!E5</f>
        <v>16.03641456582633</v>
      </c>
      <c r="G4" s="72">
        <v>1.2</v>
      </c>
      <c r="H4" s="72">
        <f>G4*100/'Brennverdier og priser'!E5</f>
        <v>12.004801920768307</v>
      </c>
      <c r="I4" s="72">
        <v>0</v>
      </c>
      <c r="J4" s="72"/>
      <c r="K4" s="72">
        <v>0</v>
      </c>
      <c r="L4" s="83"/>
      <c r="M4" s="72">
        <f t="shared" ref="M4:M15" si="0">D4+F4+H4+J4+L4</f>
        <v>28.041216486594635</v>
      </c>
    </row>
    <row r="5" spans="2:13">
      <c r="B5" s="79" t="s">
        <v>24</v>
      </c>
      <c r="C5" s="71">
        <v>5.19</v>
      </c>
      <c r="D5" s="72">
        <f>C5*100/'Brennverdier og priser'!E21</f>
        <v>51.590457256461228</v>
      </c>
      <c r="E5" s="72">
        <v>0</v>
      </c>
      <c r="F5" s="72">
        <f>E5*100/'Brennverdier og priser'!E22</f>
        <v>0</v>
      </c>
      <c r="G5" s="72">
        <v>1.04</v>
      </c>
      <c r="H5" s="72">
        <f>G5*100/'Brennverdier og priser'!E22</f>
        <v>11.5171650055371</v>
      </c>
      <c r="I5" s="72">
        <v>0</v>
      </c>
      <c r="J5" s="72"/>
      <c r="K5" s="72">
        <v>0</v>
      </c>
      <c r="L5" s="83"/>
      <c r="M5" s="72">
        <f t="shared" si="0"/>
        <v>63.10762226199833</v>
      </c>
    </row>
    <row r="6" spans="2:13">
      <c r="B6" s="79" t="s">
        <v>5</v>
      </c>
      <c r="C6" s="73">
        <v>0</v>
      </c>
      <c r="D6" s="73">
        <v>0</v>
      </c>
      <c r="E6" s="73">
        <v>0</v>
      </c>
      <c r="F6" s="72">
        <f>E6*100/'Brennverdier og priser'!D7</f>
        <v>0</v>
      </c>
      <c r="G6" s="73">
        <v>0.9</v>
      </c>
      <c r="H6" s="72">
        <f>G6*100/'Brennverdier og priser'!E7</f>
        <v>8.7378640776699026</v>
      </c>
      <c r="I6" s="73">
        <v>0</v>
      </c>
      <c r="J6" s="73"/>
      <c r="K6" s="73">
        <v>0</v>
      </c>
      <c r="L6" s="83"/>
      <c r="M6" s="72">
        <f t="shared" si="0"/>
        <v>8.7378640776699026</v>
      </c>
    </row>
    <row r="7" spans="2:13">
      <c r="B7" s="79" t="s">
        <v>7</v>
      </c>
      <c r="C7" s="71">
        <v>1.43</v>
      </c>
      <c r="D7" s="71">
        <f>C7*100/'Brennverdier og priser'!E8</f>
        <v>11.171875</v>
      </c>
      <c r="E7" s="71">
        <v>0</v>
      </c>
      <c r="F7" s="72">
        <f>E7*100/'Brennverdier og priser'!E8</f>
        <v>0</v>
      </c>
      <c r="G7" s="71">
        <v>1.35</v>
      </c>
      <c r="H7" s="72">
        <f>G7*100/'Brennverdier og priser'!D8</f>
        <v>9.7122302158273381</v>
      </c>
      <c r="I7" s="71">
        <v>0</v>
      </c>
      <c r="J7" s="71"/>
      <c r="K7" s="71">
        <v>0</v>
      </c>
      <c r="L7" s="83"/>
      <c r="M7" s="72">
        <f t="shared" si="0"/>
        <v>20.88410521582734</v>
      </c>
    </row>
    <row r="8" spans="2:13">
      <c r="B8" s="79" t="s">
        <v>25</v>
      </c>
      <c r="C8" s="75"/>
      <c r="D8" s="75"/>
      <c r="E8" s="75"/>
      <c r="F8" s="76"/>
      <c r="G8" s="75"/>
      <c r="H8" s="76"/>
      <c r="I8" s="75"/>
      <c r="J8" s="75"/>
      <c r="K8" s="75"/>
      <c r="L8" s="84">
        <v>16.32</v>
      </c>
      <c r="M8" s="72">
        <f t="shared" si="0"/>
        <v>16.32</v>
      </c>
    </row>
    <row r="9" spans="2:13">
      <c r="B9" s="79" t="s">
        <v>26</v>
      </c>
      <c r="C9" s="75"/>
      <c r="D9" s="76"/>
      <c r="E9" s="75"/>
      <c r="F9" s="76"/>
      <c r="G9" s="75"/>
      <c r="H9" s="76"/>
      <c r="I9" s="75"/>
      <c r="J9" s="75"/>
      <c r="K9" s="75"/>
      <c r="L9" s="84">
        <v>0.48</v>
      </c>
      <c r="M9" s="72">
        <f t="shared" si="0"/>
        <v>0.48</v>
      </c>
    </row>
    <row r="10" spans="2:13">
      <c r="B10" s="80" t="s">
        <v>72</v>
      </c>
      <c r="C10" s="72">
        <v>5.19</v>
      </c>
      <c r="D10" s="72">
        <f>C10*100/'Brennverdier og priser'!E18</f>
        <v>87.966101694915253</v>
      </c>
      <c r="E10" s="74">
        <v>0</v>
      </c>
      <c r="F10" s="72">
        <f>E10*100/'Brennverdier og priser'!E18</f>
        <v>0</v>
      </c>
      <c r="G10" s="74">
        <v>0</v>
      </c>
      <c r="H10" s="72">
        <v>0</v>
      </c>
      <c r="I10" s="74">
        <v>0</v>
      </c>
      <c r="J10" s="74"/>
      <c r="K10" s="74">
        <v>0</v>
      </c>
      <c r="L10" s="83"/>
      <c r="M10" s="72">
        <f t="shared" si="0"/>
        <v>87.966101694915253</v>
      </c>
    </row>
    <row r="11" spans="2:13">
      <c r="B11" s="80" t="s">
        <v>70</v>
      </c>
      <c r="C11" s="72">
        <v>3.8</v>
      </c>
      <c r="D11" s="72">
        <f>C11*100/'Brennverdier og priser'!E17</f>
        <v>41.304347826086961</v>
      </c>
      <c r="E11" s="74">
        <v>0</v>
      </c>
      <c r="F11" s="72">
        <f>E11*100/'Brennverdier og priser'!E17</f>
        <v>0</v>
      </c>
      <c r="G11" s="74">
        <v>0</v>
      </c>
      <c r="H11" s="72">
        <v>0</v>
      </c>
      <c r="I11" s="74">
        <v>0</v>
      </c>
      <c r="J11" s="74"/>
      <c r="K11" s="74">
        <v>0</v>
      </c>
      <c r="L11" s="83"/>
      <c r="M11" s="72">
        <f t="shared" si="0"/>
        <v>41.304347826086961</v>
      </c>
    </row>
    <row r="12" spans="2:13">
      <c r="B12" s="80" t="s">
        <v>99</v>
      </c>
      <c r="C12" s="74">
        <v>0</v>
      </c>
      <c r="D12" s="72"/>
      <c r="E12" s="74">
        <v>1.603</v>
      </c>
      <c r="F12" s="72">
        <f>E12*100/'Brennverdier og priser'!E21</f>
        <v>15.934393638170974</v>
      </c>
      <c r="G12" s="74">
        <v>1.2</v>
      </c>
      <c r="H12" s="72">
        <f>G12*100/'Brennverdier og priser'!E21</f>
        <v>11.928429423459244</v>
      </c>
      <c r="I12" s="74">
        <v>0</v>
      </c>
      <c r="J12" s="74"/>
      <c r="K12" s="74">
        <v>0</v>
      </c>
      <c r="L12" s="83"/>
      <c r="M12" s="72">
        <f t="shared" si="0"/>
        <v>27.862823061630216</v>
      </c>
    </row>
    <row r="13" spans="2:13">
      <c r="B13" s="80" t="s">
        <v>159</v>
      </c>
      <c r="C13" s="74">
        <v>0</v>
      </c>
      <c r="D13" s="72">
        <v>0</v>
      </c>
      <c r="E13" s="74">
        <v>1.603</v>
      </c>
      <c r="F13" s="72">
        <f>E13*100/'Brennverdier og priser'!E23</f>
        <v>16.542827657378744</v>
      </c>
      <c r="G13" s="74">
        <v>1.1000000000000001</v>
      </c>
      <c r="H13" s="72">
        <f>G13*100/'Brennverdier og priser'!E23</f>
        <v>11.351909184726525</v>
      </c>
      <c r="I13" s="74">
        <v>0</v>
      </c>
      <c r="J13" s="74"/>
      <c r="K13" s="74">
        <v>0</v>
      </c>
      <c r="L13" s="83"/>
      <c r="M13" s="72">
        <f t="shared" si="0"/>
        <v>27.894736842105267</v>
      </c>
    </row>
    <row r="14" spans="2:13">
      <c r="B14" s="80" t="s">
        <v>161</v>
      </c>
      <c r="C14" s="74">
        <v>0</v>
      </c>
      <c r="D14" s="72">
        <v>0</v>
      </c>
      <c r="E14" s="74">
        <v>1.603</v>
      </c>
      <c r="F14" s="72" t="e">
        <f>E14*100/'Brennverdier og priser'!D27</f>
        <v>#DIV/0!</v>
      </c>
      <c r="G14" s="74">
        <v>1.2</v>
      </c>
      <c r="H14" s="72">
        <f>G14*100/'Brennverdier og priser'!E27</f>
        <v>10.849909584086799</v>
      </c>
      <c r="I14" s="74">
        <v>1.36</v>
      </c>
      <c r="J14" s="74">
        <f>I14*100/'Brennverdier og priser'!E27</f>
        <v>12.296564195298371</v>
      </c>
      <c r="K14" s="74">
        <v>0</v>
      </c>
      <c r="L14" s="83"/>
      <c r="M14" s="72" t="e">
        <f t="shared" si="0"/>
        <v>#DIV/0!</v>
      </c>
    </row>
    <row r="15" spans="2:13">
      <c r="B15" s="80" t="s">
        <v>94</v>
      </c>
      <c r="C15" s="74">
        <v>0</v>
      </c>
      <c r="D15" s="72">
        <v>0</v>
      </c>
      <c r="E15" s="74">
        <v>1.603</v>
      </c>
      <c r="F15" s="72">
        <f>E15*100/'Brennverdier og priser'!E24</f>
        <v>16.542827657378744</v>
      </c>
      <c r="G15" s="74">
        <v>1.2</v>
      </c>
      <c r="H15" s="72">
        <f>G15*100/'Brennverdier og priser'!E24</f>
        <v>12.383900928792571</v>
      </c>
      <c r="I15" s="72">
        <v>0</v>
      </c>
      <c r="J15" s="72"/>
      <c r="K15" s="74">
        <v>0</v>
      </c>
      <c r="L15" s="83"/>
      <c r="M15" s="72">
        <f t="shared" si="0"/>
        <v>28.926728586171315</v>
      </c>
    </row>
    <row r="16" spans="2:13">
      <c r="B16" s="81" t="s">
        <v>88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2:13">
      <c r="B17" s="80" t="s">
        <v>156</v>
      </c>
      <c r="C17" s="72">
        <v>0.25</v>
      </c>
      <c r="D17" s="72"/>
      <c r="E17" s="72"/>
      <c r="F17" s="72"/>
      <c r="G17" s="72"/>
      <c r="H17" s="72"/>
      <c r="I17" s="72"/>
      <c r="J17" s="72"/>
      <c r="K17" s="72"/>
      <c r="M17" s="72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"/>
  <sheetViews>
    <sheetView workbookViewId="0">
      <selection activeCell="D18" sqref="D18"/>
    </sheetView>
  </sheetViews>
  <sheetFormatPr baseColWidth="10" defaultColWidth="11.42578125" defaultRowHeight="15"/>
  <cols>
    <col min="2" max="2" width="16.85546875" customWidth="1"/>
    <col min="4" max="4" width="35.7109375" customWidth="1"/>
    <col min="5" max="5" width="16" customWidth="1"/>
  </cols>
  <sheetData>
    <row r="1" spans="1:6" ht="18.75">
      <c r="A1" s="147"/>
      <c r="B1" s="148"/>
      <c r="C1" s="155" t="s">
        <v>234</v>
      </c>
      <c r="D1" s="156"/>
      <c r="E1" s="149" t="s">
        <v>232</v>
      </c>
      <c r="F1" s="141"/>
    </row>
    <row r="2" spans="1:6" ht="25.5">
      <c r="A2" s="142"/>
      <c r="B2" s="143"/>
      <c r="C2" s="144"/>
      <c r="D2" s="145" t="s">
        <v>233</v>
      </c>
      <c r="E2" s="150" t="s">
        <v>231</v>
      </c>
    </row>
    <row r="3" spans="1:6" ht="15.75">
      <c r="A3" s="133" t="s">
        <v>2</v>
      </c>
      <c r="B3" s="134" t="s">
        <v>227</v>
      </c>
      <c r="C3" s="139">
        <v>2.67</v>
      </c>
      <c r="D3" s="146">
        <f>C3/'Brennverdier og priser'!E5</f>
        <v>0.26710684273709484</v>
      </c>
      <c r="E3" s="151">
        <f>$C$9*100/1000*D3</f>
        <v>1.3355342136854742</v>
      </c>
    </row>
    <row r="4" spans="1:6" ht="15.75">
      <c r="A4" s="133" t="s">
        <v>5</v>
      </c>
      <c r="B4" s="134" t="s">
        <v>228</v>
      </c>
      <c r="C4" s="139">
        <v>1.99</v>
      </c>
      <c r="D4" s="135">
        <f>C4/'Brennverdier og priser'!E7</f>
        <v>0.19320388349514561</v>
      </c>
      <c r="E4" s="151">
        <f t="shared" ref="E4:E6" si="0">$C$9*100/1000*D4</f>
        <v>0.96601941747572806</v>
      </c>
    </row>
    <row r="5" spans="1:6" ht="15.75">
      <c r="A5" s="133" t="s">
        <v>7</v>
      </c>
      <c r="B5" s="134" t="s">
        <v>229</v>
      </c>
      <c r="C5" s="139">
        <v>3</v>
      </c>
      <c r="D5" s="135">
        <f>C5/'Brennverdier og priser'!E8</f>
        <v>0.234375</v>
      </c>
      <c r="E5" s="151">
        <f t="shared" si="0"/>
        <v>1.171875</v>
      </c>
    </row>
    <row r="6" spans="1:6" ht="15.75">
      <c r="A6" s="136" t="s">
        <v>230</v>
      </c>
      <c r="B6" s="137" t="s">
        <v>229</v>
      </c>
      <c r="C6" s="140">
        <v>2.64</v>
      </c>
      <c r="D6" s="138">
        <f>C6/'Brennverdier og priser'!E15</f>
        <v>0.33846153846153848</v>
      </c>
      <c r="E6" s="152">
        <f t="shared" si="0"/>
        <v>1.6923076923076925</v>
      </c>
    </row>
    <row r="9" spans="1:6">
      <c r="A9" s="30" t="s">
        <v>224</v>
      </c>
      <c r="B9" t="s">
        <v>225</v>
      </c>
      <c r="C9">
        <v>50</v>
      </c>
    </row>
  </sheetData>
  <mergeCells count="1">
    <mergeCell ref="C1:D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2"/>
  <sheetViews>
    <sheetView topLeftCell="A25" workbookViewId="0">
      <selection activeCell="N36" sqref="N36"/>
    </sheetView>
  </sheetViews>
  <sheetFormatPr baseColWidth="10" defaultColWidth="11.42578125" defaultRowHeight="15"/>
  <cols>
    <col min="2" max="2" width="34.140625" customWidth="1"/>
    <col min="3" max="3" width="6.140625" customWidth="1"/>
    <col min="4" max="4" width="9" customWidth="1"/>
    <col min="5" max="5" width="13.28515625" customWidth="1"/>
    <col min="6" max="6" width="20.7109375" customWidth="1"/>
    <col min="9" max="9" width="6.42578125" customWidth="1"/>
    <col min="10" max="10" width="44.140625" customWidth="1"/>
    <col min="11" max="11" width="8" customWidth="1"/>
    <col min="12" max="12" width="11.7109375" customWidth="1"/>
  </cols>
  <sheetData>
    <row r="1" spans="2:27">
      <c r="B1" t="s">
        <v>168</v>
      </c>
      <c r="C1">
        <f>144.9/134.2</f>
        <v>1.07973174366617</v>
      </c>
      <c r="E1" t="s">
        <v>169</v>
      </c>
    </row>
    <row r="2" spans="2:27">
      <c r="B2" s="157" t="s">
        <v>29</v>
      </c>
      <c r="C2" s="158"/>
      <c r="D2" s="159"/>
      <c r="E2" s="9"/>
      <c r="Y2" s="10"/>
      <c r="Z2" s="10"/>
      <c r="AA2" s="11"/>
    </row>
    <row r="3" spans="2:27" ht="39">
      <c r="B3" s="12" t="s">
        <v>30</v>
      </c>
      <c r="C3" s="13" t="s">
        <v>31</v>
      </c>
      <c r="D3" s="14" t="s">
        <v>32</v>
      </c>
      <c r="E3" s="56" t="s">
        <v>116</v>
      </c>
      <c r="F3" s="29" t="s">
        <v>33</v>
      </c>
      <c r="G3" s="29" t="s">
        <v>34</v>
      </c>
    </row>
    <row r="4" spans="2:27">
      <c r="B4" s="16" t="s">
        <v>35</v>
      </c>
      <c r="C4" s="17">
        <v>2</v>
      </c>
      <c r="D4" s="18">
        <v>0.06</v>
      </c>
      <c r="E4" s="57"/>
      <c r="F4" s="15" t="s">
        <v>36</v>
      </c>
      <c r="G4" t="s">
        <v>37</v>
      </c>
    </row>
    <row r="5" spans="2:27">
      <c r="B5" s="16" t="s">
        <v>38</v>
      </c>
      <c r="C5" s="17">
        <v>2.5</v>
      </c>
      <c r="D5" s="18">
        <v>0.06</v>
      </c>
      <c r="E5" s="57"/>
      <c r="F5" s="15" t="s">
        <v>36</v>
      </c>
      <c r="G5" t="s">
        <v>37</v>
      </c>
    </row>
    <row r="6" spans="2:27">
      <c r="B6" s="16" t="s">
        <v>39</v>
      </c>
      <c r="C6" s="17">
        <v>2.5</v>
      </c>
      <c r="D6" s="18">
        <v>0.06</v>
      </c>
      <c r="E6" s="57"/>
      <c r="F6" s="15" t="s">
        <v>36</v>
      </c>
      <c r="G6" t="s">
        <v>37</v>
      </c>
    </row>
    <row r="7" spans="2:27">
      <c r="B7" s="21" t="s">
        <v>40</v>
      </c>
      <c r="C7" s="17">
        <v>1</v>
      </c>
      <c r="D7" s="18">
        <v>0.06</v>
      </c>
      <c r="E7" s="57"/>
      <c r="F7" s="15" t="s">
        <v>36</v>
      </c>
      <c r="G7" t="s">
        <v>37</v>
      </c>
    </row>
    <row r="8" spans="2:27">
      <c r="B8" s="16" t="s">
        <v>41</v>
      </c>
      <c r="C8" s="17">
        <v>4</v>
      </c>
      <c r="D8" s="18">
        <v>0.06</v>
      </c>
      <c r="E8" s="57"/>
      <c r="F8" s="15" t="s">
        <v>36</v>
      </c>
      <c r="G8" t="s">
        <v>37</v>
      </c>
    </row>
    <row r="9" spans="2:27">
      <c r="B9" s="16" t="s">
        <v>42</v>
      </c>
      <c r="C9" s="17">
        <v>4</v>
      </c>
      <c r="D9" s="18">
        <v>0.06</v>
      </c>
      <c r="E9" s="57"/>
      <c r="F9" s="15" t="s">
        <v>43</v>
      </c>
      <c r="G9" t="s">
        <v>37</v>
      </c>
    </row>
    <row r="10" spans="2:27">
      <c r="B10" s="16" t="s">
        <v>44</v>
      </c>
      <c r="C10" s="17">
        <v>2.5</v>
      </c>
      <c r="D10" s="18">
        <v>0.06</v>
      </c>
      <c r="E10" s="57"/>
      <c r="F10" s="15" t="s">
        <v>45</v>
      </c>
      <c r="G10" t="s">
        <v>37</v>
      </c>
    </row>
    <row r="11" spans="2:27">
      <c r="B11" s="21" t="s">
        <v>46</v>
      </c>
      <c r="C11" s="22">
        <v>8</v>
      </c>
      <c r="D11" s="18">
        <v>0.06</v>
      </c>
      <c r="E11" s="57"/>
      <c r="F11" s="15" t="s">
        <v>36</v>
      </c>
      <c r="G11" t="s">
        <v>37</v>
      </c>
    </row>
    <row r="12" spans="2:27">
      <c r="B12" s="16" t="s">
        <v>47</v>
      </c>
      <c r="C12" s="17">
        <v>1</v>
      </c>
      <c r="D12" s="18">
        <v>0.06</v>
      </c>
      <c r="E12" s="57"/>
      <c r="F12" t="s">
        <v>48</v>
      </c>
      <c r="G12" t="s">
        <v>37</v>
      </c>
    </row>
    <row r="13" spans="2:27">
      <c r="B13" s="16" t="s">
        <v>52</v>
      </c>
      <c r="C13" s="17">
        <v>2</v>
      </c>
      <c r="D13" s="18">
        <v>0.06</v>
      </c>
      <c r="E13" s="57"/>
      <c r="G13" t="s">
        <v>37</v>
      </c>
    </row>
    <row r="14" spans="2:27">
      <c r="B14" s="16" t="s">
        <v>54</v>
      </c>
      <c r="C14" s="17">
        <v>1</v>
      </c>
      <c r="D14" s="18">
        <v>0.06</v>
      </c>
      <c r="E14" s="57"/>
      <c r="G14" t="s">
        <v>37</v>
      </c>
    </row>
    <row r="15" spans="2:27">
      <c r="B15" s="21" t="s">
        <v>49</v>
      </c>
      <c r="C15" s="17">
        <v>1</v>
      </c>
      <c r="D15" s="18">
        <v>0.06</v>
      </c>
      <c r="E15" s="57"/>
      <c r="F15" s="15" t="s">
        <v>50</v>
      </c>
      <c r="G15" t="s">
        <v>37</v>
      </c>
    </row>
    <row r="16" spans="2:27">
      <c r="B16" s="21" t="s">
        <v>51</v>
      </c>
      <c r="C16" s="17">
        <v>1</v>
      </c>
      <c r="D16" s="18">
        <v>0.06</v>
      </c>
      <c r="E16" s="57"/>
      <c r="F16" s="15" t="s">
        <v>50</v>
      </c>
      <c r="G16" t="s">
        <v>37</v>
      </c>
    </row>
    <row r="17" spans="2:7">
      <c r="B17" s="21" t="s">
        <v>53</v>
      </c>
      <c r="C17" s="17">
        <v>1</v>
      </c>
      <c r="D17" s="18">
        <v>0.06</v>
      </c>
      <c r="E17" s="57"/>
      <c r="F17" s="15" t="s">
        <v>50</v>
      </c>
      <c r="G17" t="s">
        <v>37</v>
      </c>
    </row>
    <row r="18" spans="2:7">
      <c r="B18" s="21" t="s">
        <v>55</v>
      </c>
      <c r="C18" s="23">
        <v>0.5</v>
      </c>
      <c r="D18" s="18">
        <v>0.06</v>
      </c>
      <c r="E18" s="57"/>
      <c r="F18" s="15" t="s">
        <v>56</v>
      </c>
      <c r="G18" t="s">
        <v>37</v>
      </c>
    </row>
    <row r="19" spans="2:7">
      <c r="B19" s="21" t="s">
        <v>57</v>
      </c>
      <c r="C19" s="23">
        <v>1</v>
      </c>
      <c r="D19" s="18">
        <v>0.06</v>
      </c>
      <c r="E19" s="57"/>
      <c r="F19" s="15" t="s">
        <v>58</v>
      </c>
      <c r="G19" t="s">
        <v>37</v>
      </c>
    </row>
    <row r="20" spans="2:7">
      <c r="B20" s="21" t="s">
        <v>101</v>
      </c>
      <c r="C20" s="17">
        <v>1</v>
      </c>
      <c r="D20" s="18">
        <v>0.06</v>
      </c>
      <c r="E20" s="58"/>
      <c r="G20" t="s">
        <v>37</v>
      </c>
    </row>
    <row r="21" spans="2:7">
      <c r="B21" s="21" t="s">
        <v>59</v>
      </c>
      <c r="C21" s="17">
        <v>1.3</v>
      </c>
      <c r="D21" s="18">
        <v>0.06</v>
      </c>
      <c r="E21" s="57"/>
      <c r="F21" s="15" t="s">
        <v>60</v>
      </c>
      <c r="G21" t="s">
        <v>37</v>
      </c>
    </row>
    <row r="22" spans="2:7">
      <c r="B22" s="21" t="s">
        <v>61</v>
      </c>
      <c r="C22" s="17">
        <v>3</v>
      </c>
      <c r="D22" s="18">
        <v>0.06</v>
      </c>
      <c r="E22" s="57"/>
      <c r="F22" t="s">
        <v>48</v>
      </c>
      <c r="G22" t="s">
        <v>37</v>
      </c>
    </row>
    <row r="23" spans="2:7">
      <c r="B23" s="16" t="s">
        <v>102</v>
      </c>
      <c r="C23" s="17">
        <v>1</v>
      </c>
      <c r="D23" s="18">
        <v>0.06</v>
      </c>
      <c r="E23" s="57"/>
      <c r="G23" t="s">
        <v>37</v>
      </c>
    </row>
    <row r="24" spans="2:7">
      <c r="B24" s="16" t="s">
        <v>110</v>
      </c>
      <c r="C24" s="17">
        <v>1</v>
      </c>
      <c r="D24" s="18">
        <v>0.06</v>
      </c>
      <c r="E24" s="57"/>
      <c r="G24" t="s">
        <v>37</v>
      </c>
    </row>
    <row r="25" spans="2:7">
      <c r="B25" s="16" t="s">
        <v>104</v>
      </c>
      <c r="C25" s="17">
        <v>0</v>
      </c>
      <c r="D25" s="18">
        <v>0.06</v>
      </c>
      <c r="E25" s="57"/>
      <c r="G25" t="s">
        <v>37</v>
      </c>
    </row>
    <row r="26" spans="2:7" ht="15.75" thickBot="1">
      <c r="B26" s="16" t="s">
        <v>105</v>
      </c>
      <c r="C26" s="17">
        <v>0</v>
      </c>
      <c r="D26" s="18">
        <v>0.06</v>
      </c>
      <c r="E26" s="57"/>
      <c r="G26" t="s">
        <v>37</v>
      </c>
    </row>
    <row r="27" spans="2:7">
      <c r="B27" s="26" t="s">
        <v>62</v>
      </c>
      <c r="C27" s="27" t="s">
        <v>31</v>
      </c>
      <c r="D27" s="28" t="s">
        <v>32</v>
      </c>
      <c r="E27" s="19"/>
    </row>
    <row r="28" spans="2:7">
      <c r="B28" s="21" t="s">
        <v>63</v>
      </c>
      <c r="C28" s="17">
        <v>40</v>
      </c>
      <c r="D28" s="18">
        <v>0.06</v>
      </c>
      <c r="E28" s="19">
        <v>0</v>
      </c>
      <c r="F28" t="s">
        <v>37</v>
      </c>
      <c r="G28" t="s">
        <v>37</v>
      </c>
    </row>
    <row r="29" spans="2:7">
      <c r="B29" s="16" t="s">
        <v>35</v>
      </c>
      <c r="C29" s="17">
        <v>25</v>
      </c>
      <c r="D29" s="18">
        <v>0.06</v>
      </c>
      <c r="E29" s="19">
        <v>1E-3</v>
      </c>
      <c r="F29" t="s">
        <v>37</v>
      </c>
      <c r="G29" t="s">
        <v>37</v>
      </c>
    </row>
    <row r="30" spans="2:7">
      <c r="B30" s="16" t="s">
        <v>38</v>
      </c>
      <c r="C30" s="17">
        <v>25</v>
      </c>
      <c r="D30" s="18">
        <v>0.06</v>
      </c>
      <c r="E30" s="19">
        <v>1E-3</v>
      </c>
      <c r="F30" t="s">
        <v>37</v>
      </c>
      <c r="G30" t="s">
        <v>37</v>
      </c>
    </row>
    <row r="31" spans="2:7">
      <c r="B31" s="16" t="s">
        <v>39</v>
      </c>
      <c r="C31" s="17">
        <v>25</v>
      </c>
      <c r="D31" s="18">
        <v>0.06</v>
      </c>
      <c r="E31" s="19">
        <v>1E-3</v>
      </c>
      <c r="F31" t="s">
        <v>37</v>
      </c>
      <c r="G31" t="s">
        <v>37</v>
      </c>
    </row>
    <row r="32" spans="2:7">
      <c r="B32" s="21" t="s">
        <v>40</v>
      </c>
      <c r="C32" s="17">
        <v>25</v>
      </c>
      <c r="D32" s="18">
        <v>0.06</v>
      </c>
      <c r="E32" s="19">
        <v>1E-3</v>
      </c>
      <c r="F32" t="s">
        <v>37</v>
      </c>
      <c r="G32" t="s">
        <v>37</v>
      </c>
    </row>
    <row r="33" spans="2:25">
      <c r="B33" s="16" t="s">
        <v>41</v>
      </c>
      <c r="C33" s="17">
        <v>25</v>
      </c>
      <c r="D33" s="18">
        <v>0.06</v>
      </c>
      <c r="E33" s="19">
        <v>1E-3</v>
      </c>
      <c r="F33" t="s">
        <v>37</v>
      </c>
      <c r="G33" t="s">
        <v>37</v>
      </c>
    </row>
    <row r="34" spans="2:25">
      <c r="B34" s="16" t="s">
        <v>42</v>
      </c>
      <c r="C34" s="17">
        <v>25</v>
      </c>
      <c r="D34" s="18">
        <v>0.06</v>
      </c>
      <c r="E34" s="19">
        <v>1E-3</v>
      </c>
      <c r="F34" t="s">
        <v>37</v>
      </c>
      <c r="G34" t="s">
        <v>37</v>
      </c>
    </row>
    <row r="35" spans="2:25">
      <c r="B35" s="16" t="s">
        <v>44</v>
      </c>
      <c r="C35" s="17">
        <v>25</v>
      </c>
      <c r="D35" s="18">
        <v>0.06</v>
      </c>
      <c r="E35" s="19">
        <v>1E-3</v>
      </c>
      <c r="F35" t="s">
        <v>37</v>
      </c>
      <c r="G35" t="s">
        <v>37</v>
      </c>
    </row>
    <row r="36" spans="2:25">
      <c r="B36" s="21" t="s">
        <v>46</v>
      </c>
      <c r="C36" s="17">
        <v>40</v>
      </c>
      <c r="D36" s="18">
        <v>0.06</v>
      </c>
      <c r="E36" s="19">
        <v>1E-3</v>
      </c>
      <c r="F36" t="s">
        <v>37</v>
      </c>
      <c r="G36" t="s">
        <v>37</v>
      </c>
      <c r="Y36" s="11"/>
    </row>
    <row r="37" spans="2:25">
      <c r="B37" s="16" t="s">
        <v>47</v>
      </c>
      <c r="C37" s="17">
        <v>15</v>
      </c>
      <c r="D37" s="18">
        <v>0.06</v>
      </c>
      <c r="E37" s="19">
        <v>1E-3</v>
      </c>
      <c r="F37" t="s">
        <v>37</v>
      </c>
      <c r="G37" t="s">
        <v>37</v>
      </c>
    </row>
    <row r="38" spans="2:25">
      <c r="B38" s="16" t="s">
        <v>52</v>
      </c>
      <c r="C38" s="17">
        <v>25</v>
      </c>
      <c r="D38" s="18">
        <v>0.06</v>
      </c>
      <c r="E38" s="19">
        <v>1E-3</v>
      </c>
      <c r="F38" t="s">
        <v>37</v>
      </c>
      <c r="G38" t="s">
        <v>37</v>
      </c>
    </row>
    <row r="39" spans="2:25">
      <c r="B39" s="16" t="s">
        <v>54</v>
      </c>
      <c r="C39" s="17">
        <v>20</v>
      </c>
      <c r="D39" s="18">
        <v>0.06</v>
      </c>
      <c r="E39" s="19">
        <v>1E-3</v>
      </c>
      <c r="F39" t="s">
        <v>37</v>
      </c>
      <c r="G39" t="s">
        <v>37</v>
      </c>
    </row>
    <row r="40" spans="2:25">
      <c r="B40" s="21" t="s">
        <v>49</v>
      </c>
      <c r="C40" s="17">
        <v>20</v>
      </c>
      <c r="D40" s="18">
        <v>0.06</v>
      </c>
      <c r="E40" s="19">
        <v>1E-3</v>
      </c>
      <c r="F40" t="s">
        <v>37</v>
      </c>
      <c r="G40" t="s">
        <v>37</v>
      </c>
    </row>
    <row r="41" spans="2:25">
      <c r="B41" s="21" t="s">
        <v>51</v>
      </c>
      <c r="C41" s="17">
        <v>20</v>
      </c>
      <c r="D41" s="18">
        <v>0.06</v>
      </c>
      <c r="E41" s="19">
        <v>1E-3</v>
      </c>
      <c r="F41" t="s">
        <v>37</v>
      </c>
      <c r="G41" t="s">
        <v>37</v>
      </c>
    </row>
    <row r="42" spans="2:25">
      <c r="B42" s="21" t="s">
        <v>53</v>
      </c>
      <c r="C42" s="17">
        <v>20</v>
      </c>
      <c r="D42" s="18">
        <v>0.06</v>
      </c>
      <c r="E42" s="19">
        <v>1E-3</v>
      </c>
      <c r="F42" t="s">
        <v>37</v>
      </c>
      <c r="G42" t="s">
        <v>37</v>
      </c>
    </row>
    <row r="43" spans="2:25">
      <c r="B43" s="21" t="s">
        <v>55</v>
      </c>
      <c r="C43" s="17">
        <v>15</v>
      </c>
      <c r="D43" s="18">
        <v>0.06</v>
      </c>
      <c r="E43" s="19">
        <v>1E-3</v>
      </c>
      <c r="F43" t="s">
        <v>37</v>
      </c>
      <c r="G43" t="s">
        <v>37</v>
      </c>
    </row>
    <row r="44" spans="2:25">
      <c r="B44" s="21" t="s">
        <v>57</v>
      </c>
      <c r="C44" s="17">
        <v>15</v>
      </c>
      <c r="D44" s="18">
        <v>0.06</v>
      </c>
      <c r="E44" s="19">
        <v>1E-3</v>
      </c>
      <c r="F44" t="s">
        <v>37</v>
      </c>
      <c r="G44" t="s">
        <v>37</v>
      </c>
    </row>
    <row r="45" spans="2:25">
      <c r="B45" s="21" t="s">
        <v>101</v>
      </c>
      <c r="C45" s="17">
        <v>20</v>
      </c>
      <c r="D45" s="18">
        <v>0.06</v>
      </c>
      <c r="E45" s="19">
        <v>1E-3</v>
      </c>
      <c r="F45" t="s">
        <v>37</v>
      </c>
      <c r="G45" t="s">
        <v>37</v>
      </c>
    </row>
    <row r="46" spans="2:25">
      <c r="B46" s="21" t="s">
        <v>59</v>
      </c>
      <c r="C46" s="17">
        <v>20</v>
      </c>
      <c r="D46" s="18">
        <v>0.06</v>
      </c>
      <c r="E46" s="19">
        <v>0</v>
      </c>
      <c r="F46" t="s">
        <v>37</v>
      </c>
      <c r="G46" t="s">
        <v>37</v>
      </c>
    </row>
    <row r="47" spans="2:25">
      <c r="B47" s="21" t="s">
        <v>61</v>
      </c>
      <c r="C47" s="17">
        <v>20</v>
      </c>
      <c r="D47" s="18">
        <v>0.06</v>
      </c>
      <c r="E47" s="19">
        <v>1E-3</v>
      </c>
      <c r="F47" t="s">
        <v>37</v>
      </c>
      <c r="G47" t="s">
        <v>37</v>
      </c>
    </row>
    <row r="48" spans="2:25">
      <c r="B48" s="21" t="s">
        <v>102</v>
      </c>
      <c r="C48" s="17">
        <v>5</v>
      </c>
      <c r="D48" s="18">
        <v>0.06</v>
      </c>
      <c r="E48" s="19">
        <v>1E-3</v>
      </c>
      <c r="F48" t="s">
        <v>37</v>
      </c>
      <c r="G48" t="s">
        <v>37</v>
      </c>
    </row>
    <row r="49" spans="2:7">
      <c r="B49" s="16" t="s">
        <v>110</v>
      </c>
      <c r="C49" s="17">
        <v>12</v>
      </c>
      <c r="D49" s="18">
        <v>0.06</v>
      </c>
      <c r="E49" s="19">
        <v>1E-3</v>
      </c>
      <c r="F49" t="s">
        <v>37</v>
      </c>
      <c r="G49" t="s">
        <v>37</v>
      </c>
    </row>
    <row r="50" spans="2:7">
      <c r="B50" s="16" t="s">
        <v>103</v>
      </c>
      <c r="C50" s="17">
        <v>25</v>
      </c>
      <c r="D50" s="18">
        <v>0.06</v>
      </c>
      <c r="E50" s="19">
        <v>4.0000000000000001E-3</v>
      </c>
      <c r="F50" t="s">
        <v>37</v>
      </c>
      <c r="G50" t="s">
        <v>37</v>
      </c>
    </row>
    <row r="51" spans="2:7">
      <c r="B51" s="21" t="s">
        <v>105</v>
      </c>
      <c r="C51" s="17">
        <v>25</v>
      </c>
      <c r="D51" s="18">
        <v>0.06</v>
      </c>
      <c r="E51" s="19">
        <v>1E-3</v>
      </c>
      <c r="F51" t="s">
        <v>37</v>
      </c>
      <c r="G51" t="s">
        <v>37</v>
      </c>
    </row>
    <row r="52" spans="2:7">
      <c r="B52" s="16"/>
      <c r="C52" s="17"/>
      <c r="D52" s="18"/>
    </row>
    <row r="53" spans="2:7">
      <c r="B53" s="16"/>
      <c r="C53" s="17"/>
      <c r="D53" s="20"/>
    </row>
    <row r="54" spans="2:7">
      <c r="B54" s="16"/>
      <c r="C54" s="17"/>
      <c r="D54" s="20"/>
    </row>
    <row r="55" spans="2:7">
      <c r="B55" s="21"/>
      <c r="C55" s="17"/>
      <c r="D55" s="20"/>
    </row>
    <row r="56" spans="2:7">
      <c r="B56" s="21"/>
      <c r="C56" s="17"/>
      <c r="D56" s="20"/>
    </row>
    <row r="57" spans="2:7">
      <c r="B57" s="21"/>
      <c r="C57" s="17"/>
      <c r="D57" s="20"/>
    </row>
    <row r="58" spans="2:7">
      <c r="B58" s="21"/>
      <c r="C58" s="17"/>
      <c r="D58" s="24"/>
    </row>
    <row r="59" spans="2:7">
      <c r="B59" s="21"/>
      <c r="C59" s="17"/>
      <c r="D59" s="24"/>
    </row>
    <row r="60" spans="2:7">
      <c r="B60" s="21"/>
      <c r="C60" s="17"/>
      <c r="D60" s="20"/>
    </row>
    <row r="61" spans="2:7">
      <c r="B61" s="21"/>
      <c r="C61" s="17"/>
      <c r="D61" s="20"/>
    </row>
    <row r="62" spans="2:7" ht="15.75" thickBot="1">
      <c r="B62" s="25"/>
      <c r="C62" s="17"/>
      <c r="D62" s="20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22"/>
  <sheetViews>
    <sheetView zoomScaleNormal="100" zoomScaleSheetLayoutView="100" workbookViewId="0">
      <pane xSplit="1" ySplit="2" topLeftCell="E3" activePane="bottomRight" state="frozen"/>
      <selection activeCell="T1" sqref="T1"/>
      <selection pane="topRight" activeCell="W1" sqref="W1"/>
      <selection pane="bottomLeft" activeCell="T4" sqref="T4"/>
      <selection pane="bottomRight" activeCell="G29" sqref="G29"/>
    </sheetView>
  </sheetViews>
  <sheetFormatPr baseColWidth="10" defaultColWidth="9.140625" defaultRowHeight="12.75"/>
  <cols>
    <col min="1" max="1" width="33.7109375" style="97" customWidth="1"/>
    <col min="2" max="2" width="13.28515625" style="97" customWidth="1"/>
    <col min="3" max="3" width="15.85546875" style="97" customWidth="1"/>
    <col min="4" max="4" width="28.42578125" style="97" customWidth="1"/>
    <col min="5" max="5" width="18.42578125" style="97" customWidth="1"/>
    <col min="6" max="6" width="19.7109375" style="97" customWidth="1"/>
    <col min="7" max="7" width="25.42578125" style="97" customWidth="1"/>
    <col min="8" max="8" width="17" style="97" customWidth="1"/>
    <col min="9" max="9" width="13.42578125" style="97" customWidth="1"/>
    <col min="10" max="11" width="9.140625" style="97"/>
    <col min="12" max="12" width="11.85546875" style="97" customWidth="1"/>
    <col min="13" max="13" width="12.28515625" style="97" customWidth="1"/>
    <col min="14" max="14" width="11.7109375" style="97" customWidth="1"/>
    <col min="15" max="15" width="10.7109375" style="97" customWidth="1"/>
    <col min="16" max="17" width="12.140625" style="97" customWidth="1"/>
    <col min="18" max="18" width="11.42578125" style="97" customWidth="1"/>
    <col min="19" max="19" width="10.85546875" style="97" customWidth="1"/>
    <col min="20" max="20" width="10.140625" style="97" customWidth="1"/>
    <col min="21" max="21" width="9.7109375" style="97" customWidth="1"/>
    <col min="22" max="23" width="9.140625" style="97"/>
    <col min="24" max="24" width="13.28515625" style="97" customWidth="1"/>
    <col min="25" max="25" width="11.42578125" style="97" customWidth="1"/>
    <col min="26" max="26" width="11.5703125" style="97" customWidth="1"/>
    <col min="27" max="27" width="12.140625" style="97" customWidth="1"/>
    <col min="28" max="28" width="10.140625" style="97" customWidth="1"/>
    <col min="29" max="29" width="9.7109375" style="97" customWidth="1"/>
    <col min="30" max="30" width="10" style="97" customWidth="1"/>
    <col min="31" max="31" width="11" style="97" customWidth="1"/>
    <col min="32" max="33" width="12.7109375" style="97" customWidth="1"/>
    <col min="34" max="34" width="13.42578125" style="97" customWidth="1"/>
    <col min="35" max="35" width="13.7109375" style="97" customWidth="1"/>
    <col min="36" max="36" width="9.7109375" style="97" customWidth="1"/>
    <col min="37" max="37" width="20.28515625" style="97" customWidth="1"/>
    <col min="38" max="16384" width="9.140625" style="97"/>
  </cols>
  <sheetData>
    <row r="1" spans="1:8" s="96" customFormat="1">
      <c r="A1" s="111" t="s">
        <v>191</v>
      </c>
      <c r="B1" s="160" t="s">
        <v>192</v>
      </c>
      <c r="C1" s="161"/>
      <c r="D1" s="116" t="s">
        <v>107</v>
      </c>
      <c r="E1" s="121" t="s">
        <v>193</v>
      </c>
      <c r="F1" s="117" t="s">
        <v>194</v>
      </c>
      <c r="G1" s="118" t="s">
        <v>195</v>
      </c>
      <c r="H1" s="129" t="s">
        <v>218</v>
      </c>
    </row>
    <row r="2" spans="1:8">
      <c r="A2" s="112"/>
      <c r="B2" s="112"/>
      <c r="C2" s="113"/>
      <c r="D2" s="114"/>
      <c r="E2" s="122"/>
      <c r="F2" s="115"/>
      <c r="G2" s="119" t="s">
        <v>216</v>
      </c>
      <c r="H2" s="119" t="s">
        <v>219</v>
      </c>
    </row>
    <row r="3" spans="1:8">
      <c r="A3" s="105" t="s">
        <v>196</v>
      </c>
      <c r="B3" s="100">
        <v>16</v>
      </c>
      <c r="C3" s="101" t="s">
        <v>197</v>
      </c>
      <c r="D3" s="106" t="s">
        <v>198</v>
      </c>
      <c r="E3" s="123">
        <v>0.9</v>
      </c>
      <c r="F3" s="109" t="s">
        <v>199</v>
      </c>
      <c r="G3" s="125">
        <f>B3*(1-E3)/'Brennverdier og priser'!$E$7</f>
        <v>0.15533980582524268</v>
      </c>
      <c r="H3" s="127">
        <f>$B$19/10*G3</f>
        <v>0.33537864077669893</v>
      </c>
    </row>
    <row r="4" spans="1:8">
      <c r="A4" s="105" t="s">
        <v>200</v>
      </c>
      <c r="B4" s="100">
        <v>4.5</v>
      </c>
      <c r="C4" s="101" t="s">
        <v>201</v>
      </c>
      <c r="D4" s="106" t="s">
        <v>198</v>
      </c>
      <c r="E4" s="123">
        <v>0.8</v>
      </c>
      <c r="F4" s="109" t="s">
        <v>202</v>
      </c>
      <c r="G4" s="125">
        <f>B4*(1-E4)/'Brennverdier og priser'!$E$15</f>
        <v>0.11538461538461536</v>
      </c>
      <c r="H4" s="127">
        <f t="shared" ref="H4:H16" si="0">$B$19/10*G4</f>
        <v>0.24911538461538454</v>
      </c>
    </row>
    <row r="5" spans="1:8">
      <c r="A5" s="105" t="s">
        <v>35</v>
      </c>
      <c r="B5" s="100">
        <v>16</v>
      </c>
      <c r="C5" s="101" t="s">
        <v>197</v>
      </c>
      <c r="D5" s="106" t="s">
        <v>198</v>
      </c>
      <c r="E5" s="123">
        <v>0.9</v>
      </c>
      <c r="F5" s="109" t="s">
        <v>199</v>
      </c>
      <c r="G5" s="125">
        <f>B5*(1-E5)/'Brennverdier og priser'!$E$7</f>
        <v>0.15533980582524268</v>
      </c>
      <c r="H5" s="127">
        <f t="shared" si="0"/>
        <v>0.33537864077669893</v>
      </c>
    </row>
    <row r="6" spans="1:8">
      <c r="A6" s="105" t="s">
        <v>40</v>
      </c>
      <c r="B6" s="102">
        <v>53</v>
      </c>
      <c r="C6" s="101" t="s">
        <v>201</v>
      </c>
      <c r="D6" s="106" t="s">
        <v>198</v>
      </c>
      <c r="E6" s="123">
        <v>0.8</v>
      </c>
      <c r="F6" s="109" t="s">
        <v>202</v>
      </c>
      <c r="G6" s="125">
        <f>B6*(1-E6)*'Brennverdier og priser'!$K$21/'Brennverdier og priser'!$E$21</f>
        <v>0.88508946322067572</v>
      </c>
      <c r="H6" s="127">
        <f t="shared" si="0"/>
        <v>1.9109081510934387</v>
      </c>
    </row>
    <row r="7" spans="1:8">
      <c r="A7" s="105" t="s">
        <v>203</v>
      </c>
      <c r="B7" s="100">
        <v>16</v>
      </c>
      <c r="C7" s="101" t="s">
        <v>197</v>
      </c>
      <c r="D7" s="106" t="s">
        <v>198</v>
      </c>
      <c r="E7" s="123">
        <v>0.9</v>
      </c>
      <c r="F7" s="109" t="s">
        <v>199</v>
      </c>
      <c r="G7" s="125">
        <f>B7*(1-E7)/'Brennverdier og priser'!$E$7</f>
        <v>0.15533980582524268</v>
      </c>
      <c r="H7" s="127">
        <f t="shared" si="0"/>
        <v>0.33537864077669893</v>
      </c>
    </row>
    <row r="8" spans="1:8">
      <c r="A8" s="105" t="s">
        <v>204</v>
      </c>
      <c r="B8" s="100">
        <v>53</v>
      </c>
      <c r="C8" s="101" t="s">
        <v>201</v>
      </c>
      <c r="D8" s="106" t="s">
        <v>198</v>
      </c>
      <c r="E8" s="123">
        <v>0.8</v>
      </c>
      <c r="F8" s="109" t="s">
        <v>202</v>
      </c>
      <c r="G8" s="125">
        <f>B8*(1-E8)*'Brennverdier og priser'!$K$7/'Brennverdier og priser'!$E$7</f>
        <v>0.87475728155339783</v>
      </c>
      <c r="H8" s="127">
        <f t="shared" si="0"/>
        <v>1.8886009708737856</v>
      </c>
    </row>
    <row r="9" spans="1:8">
      <c r="A9" s="105" t="s">
        <v>205</v>
      </c>
      <c r="B9" s="100">
        <v>1.7</v>
      </c>
      <c r="C9" s="101" t="s">
        <v>197</v>
      </c>
      <c r="D9" s="106" t="s">
        <v>198</v>
      </c>
      <c r="E9" s="123">
        <v>0.4</v>
      </c>
      <c r="F9" s="98" t="s">
        <v>206</v>
      </c>
      <c r="G9" s="125">
        <f>B9*(1-E9)/'Brennverdier og priser'!$E$7</f>
        <v>9.9029126213592222E-2</v>
      </c>
      <c r="H9" s="127">
        <f t="shared" si="0"/>
        <v>0.21380388349514559</v>
      </c>
    </row>
    <row r="10" spans="1:8">
      <c r="A10" s="105" t="s">
        <v>207</v>
      </c>
      <c r="B10" s="100">
        <v>3.6</v>
      </c>
      <c r="C10" s="101" t="s">
        <v>201</v>
      </c>
      <c r="D10" s="106" t="s">
        <v>198</v>
      </c>
      <c r="E10" s="123">
        <v>0.3</v>
      </c>
      <c r="F10" s="98" t="s">
        <v>208</v>
      </c>
      <c r="G10" s="125">
        <f>B10*(1-E10)*'Brennverdier og priser'!$K$5/'Brennverdier og priser'!$E$5</f>
        <v>0.21176470588235294</v>
      </c>
      <c r="H10" s="127">
        <f t="shared" si="0"/>
        <v>0.45719999999999994</v>
      </c>
    </row>
    <row r="11" spans="1:8">
      <c r="A11" s="105" t="s">
        <v>54</v>
      </c>
      <c r="B11" s="100">
        <v>3.6</v>
      </c>
      <c r="C11" s="101" t="s">
        <v>201</v>
      </c>
      <c r="D11" s="106" t="s">
        <v>198</v>
      </c>
      <c r="E11" s="123">
        <v>0.3</v>
      </c>
      <c r="F11" s="98" t="s">
        <v>208</v>
      </c>
      <c r="G11" s="125">
        <f>B11*(1-E11)*'Brennverdier og priser'!$K$5/'Brennverdier og priser'!$E$5</f>
        <v>0.21176470588235294</v>
      </c>
      <c r="H11" s="127">
        <f t="shared" si="0"/>
        <v>0.45719999999999994</v>
      </c>
    </row>
    <row r="12" spans="1:8">
      <c r="A12" s="105" t="s">
        <v>209</v>
      </c>
      <c r="B12" s="100">
        <v>1.8</v>
      </c>
      <c r="C12" s="101" t="s">
        <v>210</v>
      </c>
      <c r="D12" s="106" t="s">
        <v>198</v>
      </c>
      <c r="E12" s="123">
        <v>0.5</v>
      </c>
      <c r="F12" s="98" t="s">
        <v>211</v>
      </c>
      <c r="G12" s="125">
        <f>B12*(1-E12)*(1-0.4)/'Brennverdier og priser'!$F$12</f>
        <v>0.18556701030927836</v>
      </c>
      <c r="H12" s="127">
        <f t="shared" si="0"/>
        <v>0.40063917525773196</v>
      </c>
    </row>
    <row r="13" spans="1:8">
      <c r="A13" s="105" t="s">
        <v>212</v>
      </c>
      <c r="B13" s="100">
        <v>1.8</v>
      </c>
      <c r="C13" s="101" t="s">
        <v>210</v>
      </c>
      <c r="D13" s="106" t="s">
        <v>198</v>
      </c>
      <c r="E13" s="123">
        <v>0.5</v>
      </c>
      <c r="F13" s="98" t="s">
        <v>211</v>
      </c>
      <c r="G13" s="125">
        <f>B13*(1-E13)*(1-0.2)/'Brennverdier og priser'!$F$11</f>
        <v>0.17560975609756102</v>
      </c>
      <c r="H13" s="127">
        <f t="shared" si="0"/>
        <v>0.37914146341463423</v>
      </c>
    </row>
    <row r="14" spans="1:8">
      <c r="A14" s="105" t="s">
        <v>213</v>
      </c>
      <c r="B14" s="100">
        <v>1.8</v>
      </c>
      <c r="C14" s="101" t="s">
        <v>210</v>
      </c>
      <c r="D14" s="106" t="s">
        <v>198</v>
      </c>
      <c r="E14" s="123">
        <v>0.5</v>
      </c>
      <c r="F14" s="98" t="s">
        <v>211</v>
      </c>
      <c r="G14" s="125">
        <f>B14*(1-E14)*(1-0.1)/'Brennverdier og priser'!$F$13</f>
        <v>0.17234042553191489</v>
      </c>
      <c r="H14" s="127">
        <f t="shared" si="0"/>
        <v>0.37208297872340423</v>
      </c>
    </row>
    <row r="15" spans="1:8">
      <c r="A15" s="105" t="s">
        <v>214</v>
      </c>
      <c r="B15" s="100">
        <v>2</v>
      </c>
      <c r="C15" s="101" t="s">
        <v>201</v>
      </c>
      <c r="D15" s="107"/>
      <c r="E15" s="123">
        <v>0.5</v>
      </c>
      <c r="F15" s="98" t="s">
        <v>211</v>
      </c>
      <c r="G15" s="125">
        <f>B15*(1-E15)/'Brennverdier og priser'!$F$14</f>
        <v>0.33333333333333331</v>
      </c>
      <c r="H15" s="127">
        <f t="shared" si="0"/>
        <v>0.71966666666666657</v>
      </c>
    </row>
    <row r="16" spans="1:8">
      <c r="A16" s="112" t="s">
        <v>215</v>
      </c>
      <c r="B16" s="103">
        <v>2.4</v>
      </c>
      <c r="C16" s="104" t="s">
        <v>210</v>
      </c>
      <c r="D16" s="108" t="s">
        <v>198</v>
      </c>
      <c r="E16" s="124">
        <v>0.5</v>
      </c>
      <c r="F16" s="110" t="s">
        <v>211</v>
      </c>
      <c r="G16" s="126">
        <f>B16*(1-E16)*(1-0.4)/'Brennverdier og priser'!$F$12</f>
        <v>0.24742268041237112</v>
      </c>
      <c r="H16" s="128">
        <f t="shared" si="0"/>
        <v>0.53418556701030917</v>
      </c>
    </row>
    <row r="17" spans="1:9">
      <c r="I17" s="99"/>
    </row>
    <row r="19" spans="1:9">
      <c r="A19" s="97" t="s">
        <v>217</v>
      </c>
      <c r="B19" s="97">
        <v>21.59</v>
      </c>
      <c r="C19" s="97" t="s">
        <v>15</v>
      </c>
    </row>
    <row r="21" spans="1:9">
      <c r="B21" s="120"/>
    </row>
    <row r="22" spans="1:9">
      <c r="B22" s="120"/>
    </row>
  </sheetData>
  <mergeCells count="1">
    <mergeCell ref="B1:C1"/>
  </mergeCells>
  <pageMargins left="0.7" right="0.7" top="0.75" bottom="0.75" header="0.3" footer="0.3"/>
  <pageSetup paperSize="9" scal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Brennverdier og priser</vt:lpstr>
      <vt:lpstr>CO2-avgift, grunnavgift</vt:lpstr>
      <vt:lpstr>CO2-kvoter</vt:lpstr>
      <vt:lpstr>byggetid levetid rente</vt:lpstr>
      <vt:lpstr>NOX avgift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cp:lastPrinted>2017-03-20T09:07:43Z</cp:lastPrinted>
  <dcterms:created xsi:type="dcterms:W3CDTF">2016-11-18T07:33:08Z</dcterms:created>
  <dcterms:modified xsi:type="dcterms:W3CDTF">2017-06-12T12:45:32Z</dcterms:modified>
</cp:coreProperties>
</file>