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elles\Prosjekt\2016_Kostnadsrapport\Fase3\Regneark - MÅ IKKE FLYTTES\"/>
    </mc:Choice>
  </mc:AlternateContent>
  <bookViews>
    <workbookView xWindow="0" yWindow="0" windowWidth="28800" windowHeight="13365"/>
  </bookViews>
  <sheets>
    <sheet name="Kostnad 2016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8" i="2"/>
  <c r="C7" i="2"/>
  <c r="C6" i="2"/>
  <c r="C5" i="2"/>
  <c r="N34" i="2" l="1"/>
  <c r="M34" i="2"/>
  <c r="K34" i="2"/>
  <c r="L34" i="2"/>
  <c r="J34" i="2"/>
  <c r="I34" i="2"/>
  <c r="E15" i="2"/>
  <c r="D15" i="2"/>
  <c r="C15" i="2"/>
  <c r="I18" i="2" l="1"/>
  <c r="M20" i="2"/>
  <c r="L20" i="2"/>
  <c r="I20" i="2"/>
  <c r="J18" i="2"/>
  <c r="K18" i="2"/>
  <c r="L18" i="2"/>
  <c r="M18" i="2"/>
  <c r="N18" i="2"/>
  <c r="J20" i="2" l="1"/>
  <c r="K20" i="2"/>
  <c r="N20" i="2"/>
  <c r="N22" i="2"/>
  <c r="N32" i="2" s="1"/>
  <c r="K14" i="2" l="1"/>
  <c r="N14" i="2"/>
  <c r="J17" i="2"/>
  <c r="J31" i="2" s="1"/>
  <c r="M17" i="2"/>
  <c r="M31" i="2" s="1"/>
  <c r="I22" i="2"/>
  <c r="I32" i="2" s="1"/>
  <c r="L14" i="2"/>
  <c r="I17" i="2"/>
  <c r="N12" i="2"/>
  <c r="J22" i="2"/>
  <c r="J32" i="2" s="1"/>
  <c r="I11" i="2"/>
  <c r="M13" i="2"/>
  <c r="K22" i="2"/>
  <c r="K32" i="2" s="1"/>
  <c r="M11" i="2"/>
  <c r="I12" i="2"/>
  <c r="K12" i="2"/>
  <c r="M12" i="2"/>
  <c r="I13" i="2"/>
  <c r="K13" i="2"/>
  <c r="J11" i="2"/>
  <c r="N13" i="2"/>
  <c r="L22" i="2"/>
  <c r="L32" i="2" s="1"/>
  <c r="N11" i="2"/>
  <c r="J12" i="2"/>
  <c r="K17" i="2"/>
  <c r="K31" i="2" s="1"/>
  <c r="J13" i="2"/>
  <c r="L13" i="2"/>
  <c r="K11" i="2"/>
  <c r="I14" i="2"/>
  <c r="M22" i="2"/>
  <c r="M32" i="2" s="1"/>
  <c r="M14" i="2"/>
  <c r="L12" i="2"/>
  <c r="L17" i="2"/>
  <c r="L31" i="2" s="1"/>
  <c r="N17" i="2"/>
  <c r="N31" i="2" s="1"/>
  <c r="L11" i="2"/>
  <c r="J14" i="2"/>
  <c r="E14" i="2"/>
  <c r="D14" i="2"/>
  <c r="C14" i="2"/>
  <c r="E13" i="2"/>
  <c r="D13" i="2"/>
  <c r="C13" i="2"/>
  <c r="E12" i="2"/>
  <c r="D12" i="2"/>
  <c r="C12" i="2"/>
  <c r="L19" i="2" l="1"/>
  <c r="L21" i="2" s="1"/>
  <c r="L33" i="2" s="1"/>
  <c r="K19" i="2"/>
  <c r="K21" i="2" s="1"/>
  <c r="K33" i="2" s="1"/>
  <c r="J19" i="2"/>
  <c r="J21" i="2" s="1"/>
  <c r="J33" i="2" s="1"/>
  <c r="I19" i="2"/>
  <c r="I21" i="2" s="1"/>
  <c r="I33" i="2" s="1"/>
  <c r="I9" i="2"/>
  <c r="N19" i="2"/>
  <c r="N21" i="2" s="1"/>
  <c r="N33" i="2" s="1"/>
  <c r="M19" i="2"/>
  <c r="M21" i="2" s="1"/>
  <c r="M33" i="2" s="1"/>
  <c r="J9" i="2"/>
  <c r="L9" i="2"/>
  <c r="M9" i="2"/>
  <c r="N9" i="2"/>
  <c r="K9" i="2"/>
  <c r="J15" i="2" l="1"/>
  <c r="J16" i="2" s="1"/>
  <c r="J30" i="2" s="1"/>
  <c r="I31" i="2" l="1"/>
  <c r="I15" i="2"/>
  <c r="I16" i="2" s="1"/>
  <c r="I30" i="2" s="1"/>
  <c r="K15" i="2"/>
  <c r="K16" i="2" s="1"/>
  <c r="K30" i="2" s="1"/>
  <c r="N15" i="2"/>
  <c r="N16" i="2" s="1"/>
  <c r="N30" i="2" s="1"/>
  <c r="M15" i="2"/>
  <c r="M16" i="2" s="1"/>
  <c r="M30" i="2" s="1"/>
  <c r="L15" i="2"/>
  <c r="L16" i="2" s="1"/>
  <c r="L30" i="2" s="1"/>
  <c r="J23" i="2" l="1"/>
  <c r="J25" i="2" s="1"/>
  <c r="N23" i="2"/>
  <c r="N25" i="2" s="1"/>
  <c r="K23" i="2"/>
  <c r="K25" i="2" s="1"/>
  <c r="L23" i="2"/>
  <c r="L25" i="2" s="1"/>
  <c r="M23" i="2"/>
  <c r="M25" i="2" s="1"/>
  <c r="G33" i="2"/>
  <c r="G32" i="2"/>
  <c r="G31" i="2"/>
  <c r="G30" i="2"/>
  <c r="I23" i="2"/>
  <c r="I25" i="2" l="1"/>
</calcChain>
</file>

<file path=xl/sharedStrings.xml><?xml version="1.0" encoding="utf-8"?>
<sst xmlns="http://schemas.openxmlformats.org/spreadsheetml/2006/main" count="85" uniqueCount="58">
  <si>
    <t>Faste driftskostnader</t>
  </si>
  <si>
    <t>%</t>
  </si>
  <si>
    <r>
      <t>kr/kW</t>
    </r>
    <r>
      <rPr>
        <vertAlign val="subscript"/>
        <sz val="10"/>
        <rFont val="Calibri"/>
        <family val="2"/>
        <scheme val="minor"/>
      </rPr>
      <t>el</t>
    </r>
    <r>
      <rPr>
        <sz val="10"/>
        <rFont val="Calibri"/>
        <family val="2"/>
        <scheme val="minor"/>
      </rPr>
      <t xml:space="preserve"> /år</t>
    </r>
  </si>
  <si>
    <t>Enhet</t>
  </si>
  <si>
    <t>Ytelse</t>
  </si>
  <si>
    <r>
      <t>MW</t>
    </r>
    <r>
      <rPr>
        <b/>
        <vertAlign val="subscript"/>
        <sz val="10"/>
        <color theme="0"/>
        <rFont val="Calibri"/>
        <family val="2"/>
        <scheme val="minor"/>
      </rPr>
      <t>el</t>
    </r>
  </si>
  <si>
    <t xml:space="preserve">Fullasttimer </t>
  </si>
  <si>
    <t>timer/år</t>
  </si>
  <si>
    <t>Investeringskostnader</t>
  </si>
  <si>
    <t>Maskiner og utstyr</t>
  </si>
  <si>
    <r>
      <t>kr/kW</t>
    </r>
    <r>
      <rPr>
        <vertAlign val="subscript"/>
        <sz val="10"/>
        <rFont val="Calibri"/>
        <family val="2"/>
        <scheme val="minor"/>
      </rPr>
      <t>el</t>
    </r>
  </si>
  <si>
    <t>Byggekostnader</t>
  </si>
  <si>
    <t>Nettilknytning</t>
  </si>
  <si>
    <t>Prosjektering og administrasjon</t>
  </si>
  <si>
    <t xml:space="preserve">   Byggetidsrenter     </t>
  </si>
  <si>
    <t xml:space="preserve">Sum investeringskostnader </t>
  </si>
  <si>
    <t>NOx-avgift</t>
  </si>
  <si>
    <t>Brensels- og utslippskostnader</t>
  </si>
  <si>
    <t>Variable kostnader eks brensel</t>
  </si>
  <si>
    <t>Nåverdier</t>
  </si>
  <si>
    <t>øre</t>
  </si>
  <si>
    <t>Produsert elektrisitet</t>
  </si>
  <si>
    <r>
      <t>kWh</t>
    </r>
    <r>
      <rPr>
        <sz val="9"/>
        <rFont val="Calibri"/>
        <family val="2"/>
        <scheme val="minor"/>
      </rPr>
      <t>el</t>
    </r>
  </si>
  <si>
    <t>Merknad</t>
  </si>
  <si>
    <t>Kilde</t>
  </si>
  <si>
    <t>Faktor for teknologiforbedring 2016 - 2035</t>
  </si>
  <si>
    <t>LCOE 2016</t>
  </si>
  <si>
    <t>LCOE 2035</t>
  </si>
  <si>
    <t>år</t>
  </si>
  <si>
    <t>Byggetid</t>
  </si>
  <si>
    <t>Levetid</t>
  </si>
  <si>
    <t>prosent/år</t>
  </si>
  <si>
    <t>Biokraftverk</t>
  </si>
  <si>
    <t>enhet</t>
  </si>
  <si>
    <t>Diskonteringsrente</t>
  </si>
  <si>
    <t>Fuktig flis</t>
  </si>
  <si>
    <t>Tørr flis</t>
  </si>
  <si>
    <t>Pellets</t>
  </si>
  <si>
    <t>Effektiv brennverdi</t>
  </si>
  <si>
    <t>Øvre brennverdi</t>
  </si>
  <si>
    <t>Brenselspris</t>
  </si>
  <si>
    <t>Virkningsgrad (effektiv brennverdi)</t>
  </si>
  <si>
    <t>Virkningsgrad (øvre brennverdi)</t>
  </si>
  <si>
    <r>
      <t xml:space="preserve">Justert opp fra </t>
    </r>
    <r>
      <rPr>
        <i/>
        <sz val="11"/>
        <color theme="1"/>
        <rFont val="Calibri"/>
        <family val="2"/>
        <scheme val="minor"/>
      </rPr>
      <t xml:space="preserve">Kostnader i energisektoren 2015 </t>
    </r>
    <r>
      <rPr>
        <sz val="11"/>
        <color theme="1"/>
        <rFont val="Calibri"/>
        <family val="2"/>
        <scheme val="minor"/>
      </rPr>
      <t>vha infasjonsindeks</t>
    </r>
  </si>
  <si>
    <t>faktor</t>
  </si>
  <si>
    <t>Inflasjon 2013-2016</t>
  </si>
  <si>
    <t>Spesifikt brenselsforbruk</t>
  </si>
  <si>
    <r>
      <t>øre/kWh</t>
    </r>
    <r>
      <rPr>
        <sz val="8"/>
        <rFont val="Calibri"/>
        <family val="2"/>
        <scheme val="minor"/>
      </rPr>
      <t>brensel</t>
    </r>
  </si>
  <si>
    <r>
      <t>kWh</t>
    </r>
    <r>
      <rPr>
        <sz val="8"/>
        <rFont val="Calibri"/>
        <family val="2"/>
        <scheme val="minor"/>
      </rPr>
      <t>brensel/</t>
    </r>
    <r>
      <rPr>
        <sz val="10"/>
        <rFont val="Calibri"/>
        <family val="2"/>
        <scheme val="minor"/>
      </rPr>
      <t>kWh</t>
    </r>
    <r>
      <rPr>
        <sz val="8"/>
        <rFont val="Calibri"/>
        <family val="2"/>
        <scheme val="minor"/>
      </rPr>
      <t>el</t>
    </r>
  </si>
  <si>
    <r>
      <t>øre/kWh</t>
    </r>
    <r>
      <rPr>
        <sz val="8"/>
        <rFont val="Calibri"/>
        <family val="2"/>
        <scheme val="minor"/>
      </rPr>
      <t>el</t>
    </r>
  </si>
  <si>
    <r>
      <t>øre/kWh</t>
    </r>
    <r>
      <rPr>
        <b/>
        <sz val="8"/>
        <rFont val="Calibri"/>
        <family val="2"/>
        <scheme val="minor"/>
      </rPr>
      <t>el</t>
    </r>
  </si>
  <si>
    <r>
      <t>kWh</t>
    </r>
    <r>
      <rPr>
        <sz val="8"/>
        <rFont val="Calibri"/>
        <family val="2"/>
        <scheme val="minor"/>
      </rPr>
      <t>brensel/</t>
    </r>
    <r>
      <rPr>
        <sz val="11"/>
        <rFont val="Calibri"/>
        <family val="2"/>
        <scheme val="minor"/>
      </rPr>
      <t>kg</t>
    </r>
  </si>
  <si>
    <r>
      <t>kWh</t>
    </r>
    <r>
      <rPr>
        <sz val="8"/>
        <rFont val="Calibri"/>
        <family val="2"/>
        <scheme val="minor"/>
      </rPr>
      <t>brensel</t>
    </r>
    <r>
      <rPr>
        <sz val="11"/>
        <rFont val="Calibri"/>
        <family val="2"/>
        <scheme val="minor"/>
      </rPr>
      <t>/kg</t>
    </r>
  </si>
  <si>
    <t>Degradering</t>
  </si>
  <si>
    <t>Nordic Energy technology perspectives 2016, s 231</t>
  </si>
  <si>
    <t>Erfaringstall fra Norconsult og Calambio</t>
  </si>
  <si>
    <t>Biokjel er moden teknologi med begrenset potensial for kostnadsreduksjon. Det er forutsatt forbedring i virkningsgraden med 2 prosent poeng. Brenselskostnader er konstante.</t>
  </si>
  <si>
    <t>Dette er momentan virkningsgrad.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</si>
</sst>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General_)"/>
    <numFmt numFmtId="165" formatCode="0.0"/>
    <numFmt numFmtId="166" formatCode="0.0\ %"/>
    <numFmt numFmtId="167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Helv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3" fillId="0" borderId="0"/>
    <xf numFmtId="43" fontId="10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0">
    <xf numFmtId="0" fontId="0" fillId="0" borderId="0" xfId="0"/>
    <xf numFmtId="164" fontId="9" fillId="0" borderId="1" xfId="1" applyFont="1" applyFill="1" applyBorder="1"/>
    <xf numFmtId="164" fontId="4" fillId="0" borderId="11" xfId="1" applyFont="1" applyFill="1" applyBorder="1" applyAlignment="1">
      <alignment horizontal="right"/>
    </xf>
    <xf numFmtId="164" fontId="9" fillId="0" borderId="13" xfId="1" applyFont="1" applyFill="1" applyBorder="1"/>
    <xf numFmtId="164" fontId="9" fillId="0" borderId="14" xfId="1" applyFont="1" applyFill="1" applyBorder="1" applyAlignment="1">
      <alignment horizontal="right"/>
    </xf>
    <xf numFmtId="164" fontId="9" fillId="0" borderId="2" xfId="1" applyFont="1" applyFill="1" applyBorder="1"/>
    <xf numFmtId="164" fontId="9" fillId="0" borderId="16" xfId="1" applyFont="1" applyFill="1" applyBorder="1" applyAlignment="1">
      <alignment horizontal="right"/>
    </xf>
    <xf numFmtId="164" fontId="4" fillId="0" borderId="2" xfId="1" applyFont="1" applyFill="1" applyBorder="1" applyAlignment="1">
      <alignment horizontal="left" indent="1"/>
    </xf>
    <xf numFmtId="164" fontId="4" fillId="0" borderId="16" xfId="1" applyFont="1" applyFill="1" applyBorder="1" applyAlignment="1">
      <alignment horizontal="right"/>
    </xf>
    <xf numFmtId="3" fontId="4" fillId="0" borderId="9" xfId="1" applyNumberFormat="1" applyFont="1" applyFill="1" applyBorder="1"/>
    <xf numFmtId="164" fontId="4" fillId="0" borderId="2" xfId="1" applyFont="1" applyFill="1" applyBorder="1"/>
    <xf numFmtId="164" fontId="4" fillId="0" borderId="14" xfId="1" applyFont="1" applyFill="1" applyBorder="1" applyAlignment="1">
      <alignment horizontal="right"/>
    </xf>
    <xf numFmtId="3" fontId="4" fillId="0" borderId="3" xfId="2" applyNumberFormat="1" applyFont="1" applyFill="1" applyBorder="1"/>
    <xf numFmtId="165" fontId="4" fillId="0" borderId="9" xfId="1" applyNumberFormat="1" applyFont="1" applyFill="1" applyBorder="1"/>
    <xf numFmtId="164" fontId="4" fillId="0" borderId="18" xfId="1" applyFont="1" applyFill="1" applyBorder="1" applyAlignment="1">
      <alignment horizontal="right"/>
    </xf>
    <xf numFmtId="165" fontId="4" fillId="0" borderId="19" xfId="2" applyNumberFormat="1" applyFont="1" applyFill="1" applyBorder="1"/>
    <xf numFmtId="164" fontId="9" fillId="0" borderId="20" xfId="1" applyFont="1" applyFill="1" applyBorder="1"/>
    <xf numFmtId="164" fontId="9" fillId="0" borderId="21" xfId="1" applyFont="1" applyFill="1" applyBorder="1" applyAlignment="1">
      <alignment horizontal="right"/>
    </xf>
    <xf numFmtId="165" fontId="9" fillId="0" borderId="21" xfId="0" applyNumberFormat="1" applyFont="1" applyFill="1" applyBorder="1"/>
    <xf numFmtId="0" fontId="4" fillId="0" borderId="0" xfId="0" applyFont="1"/>
    <xf numFmtId="164" fontId="11" fillId="0" borderId="0" xfId="1" applyFont="1" applyFill="1" applyBorder="1"/>
    <xf numFmtId="164" fontId="11" fillId="0" borderId="0" xfId="1" applyFont="1" applyFill="1" applyBorder="1" applyAlignment="1">
      <alignment horizontal="right"/>
    </xf>
    <xf numFmtId="165" fontId="11" fillId="0" borderId="0" xfId="1" applyNumberFormat="1" applyFont="1" applyFill="1" applyBorder="1"/>
    <xf numFmtId="164" fontId="4" fillId="0" borderId="22" xfId="0" applyNumberFormat="1" applyFont="1" applyBorder="1"/>
    <xf numFmtId="0" fontId="4" fillId="0" borderId="8" xfId="0" applyFont="1" applyBorder="1" applyAlignment="1">
      <alignment horizontal="right"/>
    </xf>
    <xf numFmtId="164" fontId="4" fillId="0" borderId="17" xfId="0" applyNumberFormat="1" applyFont="1" applyBorder="1"/>
    <xf numFmtId="0" fontId="4" fillId="0" borderId="16" xfId="0" applyFont="1" applyBorder="1" applyAlignment="1">
      <alignment horizontal="right"/>
    </xf>
    <xf numFmtId="40" fontId="4" fillId="0" borderId="0" xfId="0" applyNumberFormat="1" applyFont="1" applyBorder="1"/>
    <xf numFmtId="0" fontId="6" fillId="2" borderId="24" xfId="0" applyFont="1" applyFill="1" applyBorder="1"/>
    <xf numFmtId="0" fontId="6" fillId="2" borderId="25" xfId="0" applyFont="1" applyFill="1" applyBorder="1"/>
    <xf numFmtId="2" fontId="4" fillId="0" borderId="0" xfId="0" applyNumberFormat="1" applyFont="1"/>
    <xf numFmtId="0" fontId="2" fillId="0" borderId="0" xfId="0" applyFont="1" applyBorder="1"/>
    <xf numFmtId="0" fontId="0" fillId="3" borderId="0" xfId="0" applyFill="1"/>
    <xf numFmtId="164" fontId="6" fillId="3" borderId="2" xfId="1" applyFont="1" applyFill="1" applyBorder="1"/>
    <xf numFmtId="164" fontId="6" fillId="3" borderId="8" xfId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/>
    </xf>
    <xf numFmtId="164" fontId="6" fillId="3" borderId="9" xfId="1" applyFont="1" applyFill="1" applyBorder="1" applyAlignment="1">
      <alignment horizontal="right"/>
    </xf>
    <xf numFmtId="0" fontId="0" fillId="0" borderId="0" xfId="0" applyBorder="1"/>
    <xf numFmtId="0" fontId="6" fillId="0" borderId="0" xfId="0" applyFont="1" applyFill="1" applyBorder="1"/>
    <xf numFmtId="166" fontId="2" fillId="0" borderId="0" xfId="3" applyNumberFormat="1" applyFont="1" applyBorder="1"/>
    <xf numFmtId="164" fontId="6" fillId="3" borderId="0" xfId="1" applyFont="1" applyFill="1" applyBorder="1"/>
    <xf numFmtId="165" fontId="9" fillId="0" borderId="26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1" fillId="2" borderId="24" xfId="0" applyFont="1" applyFill="1" applyBorder="1"/>
    <xf numFmtId="0" fontId="1" fillId="2" borderId="2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4" fillId="0" borderId="0" xfId="0" applyFont="1"/>
    <xf numFmtId="2" fontId="14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2" borderId="27" xfId="0" applyFont="1" applyFill="1" applyBorder="1"/>
    <xf numFmtId="2" fontId="14" fillId="0" borderId="0" xfId="0" applyNumberFormat="1" applyFont="1" applyAlignment="1">
      <alignment horizontal="center"/>
    </xf>
    <xf numFmtId="0" fontId="1" fillId="3" borderId="5" xfId="0" applyFont="1" applyFill="1" applyBorder="1" applyAlignment="1"/>
    <xf numFmtId="0" fontId="1" fillId="3" borderId="6" xfId="0" applyFont="1" applyFill="1" applyBorder="1" applyAlignment="1"/>
    <xf numFmtId="0" fontId="7" fillId="3" borderId="0" xfId="0" applyFont="1" applyFill="1" applyBorder="1" applyAlignment="1">
      <alignment horizontal="center"/>
    </xf>
    <xf numFmtId="164" fontId="6" fillId="3" borderId="0" xfId="1" applyFont="1" applyFill="1" applyBorder="1" applyAlignment="1">
      <alignment horizontal="right"/>
    </xf>
    <xf numFmtId="3" fontId="4" fillId="0" borderId="12" xfId="1" applyNumberFormat="1" applyFont="1" applyFill="1" applyBorder="1"/>
    <xf numFmtId="9" fontId="4" fillId="0" borderId="3" xfId="1" applyNumberFormat="1" applyFont="1" applyFill="1" applyBorder="1"/>
    <xf numFmtId="0" fontId="7" fillId="3" borderId="2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3" fontId="4" fillId="0" borderId="10" xfId="1" applyNumberFormat="1" applyFont="1" applyFill="1" applyBorder="1"/>
    <xf numFmtId="9" fontId="4" fillId="0" borderId="15" xfId="1" applyNumberFormat="1" applyFont="1" applyFill="1" applyBorder="1"/>
    <xf numFmtId="3" fontId="4" fillId="0" borderId="15" xfId="2" applyNumberFormat="1" applyFont="1" applyFill="1" applyBorder="1"/>
    <xf numFmtId="165" fontId="4" fillId="0" borderId="10" xfId="1" applyNumberFormat="1" applyFont="1" applyFill="1" applyBorder="1"/>
    <xf numFmtId="165" fontId="4" fillId="0" borderId="34" xfId="2" applyNumberFormat="1" applyFont="1" applyFill="1" applyBorder="1"/>
    <xf numFmtId="164" fontId="6" fillId="3" borderId="16" xfId="1" applyFont="1" applyFill="1" applyBorder="1" applyAlignment="1">
      <alignment horizontal="right"/>
    </xf>
    <xf numFmtId="164" fontId="6" fillId="3" borderId="17" xfId="1" applyFont="1" applyFill="1" applyBorder="1" applyAlignment="1">
      <alignment horizontal="right"/>
    </xf>
    <xf numFmtId="164" fontId="6" fillId="3" borderId="35" xfId="1" applyFont="1" applyFill="1" applyBorder="1" applyAlignment="1">
      <alignment horizontal="right"/>
    </xf>
    <xf numFmtId="3" fontId="4" fillId="0" borderId="33" xfId="1" applyNumberFormat="1" applyFont="1" applyFill="1" applyBorder="1"/>
    <xf numFmtId="166" fontId="0" fillId="0" borderId="0" xfId="3" applyNumberFormat="1" applyFont="1" applyFill="1" applyBorder="1"/>
    <xf numFmtId="2" fontId="0" fillId="0" borderId="0" xfId="0" applyNumberFormat="1"/>
    <xf numFmtId="167" fontId="0" fillId="0" borderId="0" xfId="0" applyNumberFormat="1" applyFont="1" applyFill="1" applyAlignment="1">
      <alignment horizontal="center"/>
    </xf>
    <xf numFmtId="167" fontId="14" fillId="0" borderId="0" xfId="0" applyNumberFormat="1" applyFont="1" applyAlignment="1">
      <alignment horizontal="center"/>
    </xf>
    <xf numFmtId="164" fontId="9" fillId="0" borderId="9" xfId="1" applyFont="1" applyFill="1" applyBorder="1"/>
    <xf numFmtId="164" fontId="9" fillId="0" borderId="0" xfId="1" applyFont="1" applyFill="1" applyBorder="1"/>
    <xf numFmtId="164" fontId="4" fillId="0" borderId="10" xfId="1" applyFont="1" applyFill="1" applyBorder="1"/>
    <xf numFmtId="3" fontId="4" fillId="0" borderId="16" xfId="1" applyNumberFormat="1" applyFont="1" applyFill="1" applyBorder="1"/>
    <xf numFmtId="3" fontId="4" fillId="0" borderId="0" xfId="1" applyNumberFormat="1" applyFont="1" applyFill="1" applyBorder="1"/>
    <xf numFmtId="3" fontId="4" fillId="0" borderId="16" xfId="0" applyNumberFormat="1" applyFont="1" applyFill="1" applyBorder="1"/>
    <xf numFmtId="3" fontId="4" fillId="0" borderId="10" xfId="0" applyNumberFormat="1" applyFont="1" applyFill="1" applyBorder="1"/>
    <xf numFmtId="1" fontId="4" fillId="0" borderId="14" xfId="1" applyNumberFormat="1" applyFont="1" applyFill="1" applyBorder="1"/>
    <xf numFmtId="1" fontId="4" fillId="0" borderId="23" xfId="1" applyNumberFormat="1" applyFont="1" applyFill="1" applyBorder="1"/>
    <xf numFmtId="1" fontId="4" fillId="0" borderId="3" xfId="1" applyNumberFormat="1" applyFont="1" applyFill="1" applyBorder="1"/>
    <xf numFmtId="1" fontId="4" fillId="0" borderId="15" xfId="1" applyNumberFormat="1" applyFont="1" applyFill="1" applyBorder="1"/>
    <xf numFmtId="4" fontId="4" fillId="0" borderId="9" xfId="1" applyNumberFormat="1" applyFont="1" applyFill="1" applyBorder="1"/>
    <xf numFmtId="4" fontId="4" fillId="0" borderId="0" xfId="1" applyNumberFormat="1" applyFont="1" applyFill="1" applyBorder="1"/>
    <xf numFmtId="165" fontId="4" fillId="0" borderId="8" xfId="2" applyNumberFormat="1" applyFont="1" applyFill="1" applyBorder="1"/>
    <xf numFmtId="165" fontId="4" fillId="0" borderId="4" xfId="2" applyNumberFormat="1" applyFont="1" applyFill="1" applyBorder="1"/>
    <xf numFmtId="165" fontId="4" fillId="0" borderId="28" xfId="2" applyNumberFormat="1" applyFont="1" applyFill="1" applyBorder="1"/>
    <xf numFmtId="165" fontId="4" fillId="0" borderId="29" xfId="2" applyNumberFormat="1" applyFont="1" applyFill="1" applyBorder="1"/>
    <xf numFmtId="164" fontId="9" fillId="0" borderId="8" xfId="1" applyFont="1" applyFill="1" applyBorder="1"/>
    <xf numFmtId="3" fontId="4" fillId="0" borderId="18" xfId="1" applyNumberFormat="1" applyFont="1" applyFill="1" applyBorder="1"/>
    <xf numFmtId="3" fontId="4" fillId="0" borderId="0" xfId="0" applyNumberFormat="1" applyFont="1" applyFill="1" applyBorder="1"/>
    <xf numFmtId="165" fontId="4" fillId="0" borderId="0" xfId="1" applyNumberFormat="1" applyFont="1" applyFill="1" applyBorder="1"/>
    <xf numFmtId="165" fontId="4" fillId="0" borderId="37" xfId="2" applyNumberFormat="1" applyFont="1" applyFill="1" applyBorder="1"/>
    <xf numFmtId="165" fontId="4" fillId="0" borderId="8" xfId="1" applyNumberFormat="1" applyFont="1" applyFill="1" applyBorder="1"/>
    <xf numFmtId="165" fontId="4" fillId="0" borderId="16" xfId="1" applyNumberFormat="1" applyFont="1" applyFill="1" applyBorder="1"/>
    <xf numFmtId="4" fontId="4" fillId="0" borderId="16" xfId="1" applyNumberFormat="1" applyFont="1" applyFill="1" applyBorder="1"/>
    <xf numFmtId="165" fontId="4" fillId="0" borderId="18" xfId="2" applyNumberFormat="1" applyFont="1" applyFill="1" applyBorder="1"/>
    <xf numFmtId="4" fontId="4" fillId="0" borderId="10" xfId="1" applyNumberFormat="1" applyFont="1" applyFill="1" applyBorder="1"/>
    <xf numFmtId="164" fontId="4" fillId="0" borderId="8" xfId="1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164" fontId="4" fillId="0" borderId="0" xfId="1" applyFont="1" applyFill="1" applyBorder="1"/>
    <xf numFmtId="0" fontId="9" fillId="0" borderId="0" xfId="0" applyFont="1" applyBorder="1" applyAlignment="1">
      <alignment horizontal="right"/>
    </xf>
    <xf numFmtId="0" fontId="9" fillId="0" borderId="37" xfId="0" applyFont="1" applyBorder="1"/>
    <xf numFmtId="0" fontId="4" fillId="0" borderId="0" xfId="0" applyFont="1" applyBorder="1"/>
    <xf numFmtId="164" fontId="4" fillId="0" borderId="36" xfId="0" applyNumberFormat="1" applyFont="1" applyBorder="1"/>
    <xf numFmtId="0" fontId="4" fillId="0" borderId="18" xfId="0" applyFont="1" applyBorder="1" applyAlignment="1">
      <alignment horizontal="right"/>
    </xf>
    <xf numFmtId="165" fontId="9" fillId="0" borderId="0" xfId="0" applyNumberFormat="1" applyFont="1" applyFill="1" applyBorder="1"/>
    <xf numFmtId="40" fontId="4" fillId="0" borderId="17" xfId="0" applyNumberFormat="1" applyFont="1" applyBorder="1"/>
    <xf numFmtId="40" fontId="4" fillId="0" borderId="36" xfId="0" applyNumberFormat="1" applyFont="1" applyBorder="1"/>
    <xf numFmtId="0" fontId="0" fillId="0" borderId="0" xfId="0" applyAlignment="1">
      <alignment wrapText="1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Normal" xfId="0" builtinId="0"/>
    <cellStyle name="Normal_Ark1" xfId="1"/>
    <cellStyle name="Prosent" xfId="3" builtinId="5"/>
    <cellStyle name="Tusenskille_Ar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utset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nnverdier og priser"/>
      <sheetName val="CO2-avgift, grunnavgift"/>
      <sheetName val="CO2-kvoter"/>
      <sheetName val="byggetid levetid rente"/>
      <sheetName val="NOX avgift"/>
    </sheetNames>
    <sheetDataSet>
      <sheetData sheetId="0">
        <row r="11">
          <cell r="D11">
            <v>4.5599999999999996</v>
          </cell>
          <cell r="F11">
            <v>4.0999999999999996</v>
          </cell>
        </row>
        <row r="12">
          <cell r="D12">
            <v>3.42</v>
          </cell>
          <cell r="F12">
            <v>2.91</v>
          </cell>
        </row>
        <row r="13">
          <cell r="D13">
            <v>5.13</v>
          </cell>
          <cell r="F13">
            <v>4.7</v>
          </cell>
        </row>
        <row r="32">
          <cell r="D32">
            <v>29.1</v>
          </cell>
        </row>
        <row r="36">
          <cell r="D36">
            <v>20</v>
          </cell>
        </row>
        <row r="37">
          <cell r="D37">
            <v>18.5</v>
          </cell>
        </row>
      </sheetData>
      <sheetData sheetId="1"/>
      <sheetData sheetId="2"/>
      <sheetData sheetId="3">
        <row r="1">
          <cell r="C1">
            <v>1.07973174366617</v>
          </cell>
        </row>
        <row r="10">
          <cell r="C10">
            <v>2.5</v>
          </cell>
          <cell r="D10">
            <v>0.06</v>
          </cell>
        </row>
        <row r="31">
          <cell r="C31">
            <v>25</v>
          </cell>
        </row>
        <row r="35">
          <cell r="E35">
            <v>1E-3</v>
          </cell>
        </row>
      </sheetData>
      <sheetData sheetId="4">
        <row r="12">
          <cell r="H12">
            <v>0.40063917525773196</v>
          </cell>
        </row>
        <row r="13">
          <cell r="H13">
            <v>0.37914146341463423</v>
          </cell>
        </row>
        <row r="14">
          <cell r="H14">
            <v>0.37208297872340423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4"/>
  <sheetViews>
    <sheetView tabSelected="1" topLeftCell="B4" workbookViewId="0">
      <selection activeCell="I27" sqref="I27"/>
    </sheetView>
  </sheetViews>
  <sheetFormatPr baseColWidth="10" defaultRowHeight="15" x14ac:dyDescent="0.25"/>
  <cols>
    <col min="1" max="1" width="16.85546875" customWidth="1"/>
    <col min="2" max="2" width="15" customWidth="1"/>
    <col min="7" max="7" width="35.5703125" customWidth="1"/>
    <col min="8" max="8" width="15.140625" customWidth="1"/>
    <col min="9" max="9" width="20.5703125" customWidth="1"/>
    <col min="10" max="10" width="17.140625" customWidth="1"/>
    <col min="11" max="11" width="18.7109375" customWidth="1"/>
    <col min="12" max="12" width="18.42578125" customWidth="1"/>
    <col min="13" max="13" width="16.5703125" customWidth="1"/>
    <col min="14" max="14" width="18.5703125" customWidth="1"/>
    <col min="15" max="15" width="24.42578125" customWidth="1"/>
    <col min="16" max="16" width="32" customWidth="1"/>
  </cols>
  <sheetData>
    <row r="3" spans="1:16" ht="15.75" thickBot="1" x14ac:dyDescent="0.3"/>
    <row r="4" spans="1:16" x14ac:dyDescent="0.25">
      <c r="A4" s="28"/>
      <c r="B4" s="28" t="s">
        <v>33</v>
      </c>
      <c r="C4" s="29"/>
      <c r="D4" s="38"/>
      <c r="E4" s="38"/>
      <c r="G4" s="53" t="s">
        <v>32</v>
      </c>
      <c r="H4" s="54"/>
      <c r="I4" s="114" t="s">
        <v>35</v>
      </c>
      <c r="J4" s="115"/>
      <c r="K4" s="114" t="s">
        <v>36</v>
      </c>
      <c r="L4" s="115"/>
      <c r="M4" s="116" t="s">
        <v>37</v>
      </c>
      <c r="N4" s="117"/>
      <c r="O4" s="32"/>
      <c r="P4" s="32"/>
    </row>
    <row r="5" spans="1:16" x14ac:dyDescent="0.25">
      <c r="A5" s="28" t="s">
        <v>29</v>
      </c>
      <c r="B5" t="s">
        <v>28</v>
      </c>
      <c r="C5">
        <f>'[1]byggetid levetid rente'!$C$10</f>
        <v>2.5</v>
      </c>
      <c r="F5" s="31"/>
      <c r="G5" s="33"/>
      <c r="H5" s="34" t="s">
        <v>3</v>
      </c>
      <c r="I5" s="35"/>
      <c r="J5" s="35"/>
      <c r="K5" s="55"/>
      <c r="L5" s="60"/>
      <c r="M5" s="59"/>
      <c r="N5" s="61"/>
      <c r="O5" s="32"/>
      <c r="P5" s="32"/>
    </row>
    <row r="6" spans="1:16" ht="15.75" thickBot="1" x14ac:dyDescent="0.3">
      <c r="A6" s="28" t="s">
        <v>30</v>
      </c>
      <c r="B6" t="s">
        <v>28</v>
      </c>
      <c r="C6" s="37">
        <f>'[1]byggetid levetid rente'!$C$31</f>
        <v>25</v>
      </c>
      <c r="F6" s="31"/>
      <c r="G6" s="33" t="s">
        <v>4</v>
      </c>
      <c r="H6" s="67" t="s">
        <v>5</v>
      </c>
      <c r="I6" s="36">
        <v>10</v>
      </c>
      <c r="J6" s="36">
        <v>50</v>
      </c>
      <c r="K6" s="56">
        <v>10</v>
      </c>
      <c r="L6" s="67">
        <v>50</v>
      </c>
      <c r="M6" s="68">
        <v>10</v>
      </c>
      <c r="N6" s="69">
        <v>50</v>
      </c>
      <c r="O6" s="40" t="s">
        <v>24</v>
      </c>
      <c r="P6" s="40" t="s">
        <v>23</v>
      </c>
    </row>
    <row r="7" spans="1:16" x14ac:dyDescent="0.25">
      <c r="A7" s="28" t="s">
        <v>34</v>
      </c>
      <c r="B7" t="s">
        <v>31</v>
      </c>
      <c r="C7" s="39">
        <f>'[1]byggetid levetid rente'!$D$10</f>
        <v>0.06</v>
      </c>
      <c r="F7" s="31"/>
      <c r="G7" s="1" t="s">
        <v>6</v>
      </c>
      <c r="H7" s="2" t="s">
        <v>7</v>
      </c>
      <c r="I7" s="57">
        <v>8000</v>
      </c>
      <c r="J7" s="57">
        <v>8000</v>
      </c>
      <c r="K7" s="57">
        <v>8000</v>
      </c>
      <c r="L7" s="57">
        <v>8000</v>
      </c>
      <c r="M7" s="57">
        <v>8000</v>
      </c>
      <c r="N7" s="70">
        <v>8000</v>
      </c>
      <c r="O7" t="s">
        <v>55</v>
      </c>
    </row>
    <row r="8" spans="1:16" x14ac:dyDescent="0.25">
      <c r="A8" s="28" t="s">
        <v>53</v>
      </c>
      <c r="B8" t="s">
        <v>31</v>
      </c>
      <c r="C8" s="71">
        <f>'[1]byggetid levetid rente'!$E$35</f>
        <v>1E-3</v>
      </c>
      <c r="F8" s="19"/>
      <c r="G8" s="3" t="s">
        <v>41</v>
      </c>
      <c r="H8" s="11" t="s">
        <v>1</v>
      </c>
      <c r="I8" s="58">
        <v>0.28000000000000003</v>
      </c>
      <c r="J8" s="58">
        <v>0.3</v>
      </c>
      <c r="K8" s="58">
        <v>0.28999999999999998</v>
      </c>
      <c r="L8" s="58">
        <v>0.28999999999999998</v>
      </c>
      <c r="M8" s="58">
        <v>0.28999999999999998</v>
      </c>
      <c r="N8" s="63">
        <v>0.31</v>
      </c>
      <c r="O8" t="s">
        <v>55</v>
      </c>
      <c r="P8" s="113" t="s">
        <v>57</v>
      </c>
    </row>
    <row r="9" spans="1:16" x14ac:dyDescent="0.25">
      <c r="A9" s="38"/>
      <c r="B9" s="44"/>
      <c r="C9" s="42"/>
      <c r="D9" s="19"/>
      <c r="E9" s="19"/>
      <c r="F9" s="19"/>
      <c r="G9" s="3" t="s">
        <v>42</v>
      </c>
      <c r="H9" s="4" t="s">
        <v>1</v>
      </c>
      <c r="I9" s="58">
        <f>I8/$C$13*$C$12</f>
        <v>0.23824561403508776</v>
      </c>
      <c r="J9" s="58">
        <f t="shared" ref="J9" si="0">J8/$C$13*$C$12</f>
        <v>0.25526315789473686</v>
      </c>
      <c r="K9" s="58">
        <f>K8/$D$13*$D$12</f>
        <v>0.26074561403508772</v>
      </c>
      <c r="L9" s="58">
        <f>L8/$D$13*$D$12</f>
        <v>0.26074561403508772</v>
      </c>
      <c r="M9" s="58">
        <f>M8/$E$13*$E$12</f>
        <v>0.26569200779727092</v>
      </c>
      <c r="N9" s="63">
        <f>N8/$E$13*$E$12</f>
        <v>0.28401559454191033</v>
      </c>
    </row>
    <row r="10" spans="1:16" x14ac:dyDescent="0.25">
      <c r="A10" s="38"/>
      <c r="B10" s="44"/>
      <c r="C10" s="43"/>
      <c r="F10" s="19"/>
      <c r="G10" s="5" t="s">
        <v>8</v>
      </c>
      <c r="H10" s="6"/>
      <c r="I10" s="75"/>
      <c r="J10" s="75"/>
      <c r="K10" s="92"/>
      <c r="L10" s="76"/>
      <c r="M10" s="92"/>
      <c r="N10" s="77"/>
    </row>
    <row r="11" spans="1:16" x14ac:dyDescent="0.25">
      <c r="A11" s="45"/>
      <c r="B11" s="45"/>
      <c r="C11" s="46" t="s">
        <v>35</v>
      </c>
      <c r="D11" s="46" t="s">
        <v>36</v>
      </c>
      <c r="E11" s="47" t="s">
        <v>37</v>
      </c>
      <c r="F11" s="19"/>
      <c r="G11" s="7" t="s">
        <v>9</v>
      </c>
      <c r="H11" s="8" t="s">
        <v>10</v>
      </c>
      <c r="I11" s="78">
        <f>29900*C17</f>
        <v>32283.979135618483</v>
      </c>
      <c r="J11" s="79">
        <f>18000*C17</f>
        <v>19435.17138599106</v>
      </c>
      <c r="K11" s="80">
        <f>29900*C17</f>
        <v>32283.979135618483</v>
      </c>
      <c r="L11" s="94">
        <f>18000*C17</f>
        <v>19435.17138599106</v>
      </c>
      <c r="M11" s="80">
        <f>24000*C17</f>
        <v>25913.56184798808</v>
      </c>
      <c r="N11" s="81">
        <f>14400*C17</f>
        <v>15548.137108792847</v>
      </c>
      <c r="O11" s="118" t="s">
        <v>55</v>
      </c>
      <c r="P11" s="119" t="s">
        <v>43</v>
      </c>
    </row>
    <row r="12" spans="1:16" x14ac:dyDescent="0.25">
      <c r="A12" s="45" t="s">
        <v>38</v>
      </c>
      <c r="B12" s="48" t="s">
        <v>51</v>
      </c>
      <c r="C12" s="49">
        <f>'[1]Brennverdier og priser'!$F$12</f>
        <v>2.91</v>
      </c>
      <c r="D12" s="50">
        <f>'[1]Brennverdier og priser'!$F$11</f>
        <v>4.0999999999999996</v>
      </c>
      <c r="E12" s="50">
        <f>'[1]Brennverdier og priser'!$F$13</f>
        <v>4.7</v>
      </c>
      <c r="F12" s="19"/>
      <c r="G12" s="7" t="s">
        <v>11</v>
      </c>
      <c r="H12" s="8" t="s">
        <v>10</v>
      </c>
      <c r="I12" s="78">
        <f>9300*C17</f>
        <v>10041.50521609538</v>
      </c>
      <c r="J12" s="79">
        <f>5600*C17</f>
        <v>6046.4977645305516</v>
      </c>
      <c r="K12" s="80">
        <f>9300*C17</f>
        <v>10041.50521609538</v>
      </c>
      <c r="L12" s="94">
        <f>5600*C17</f>
        <v>6046.4977645305516</v>
      </c>
      <c r="M12" s="80">
        <f>7400*C17</f>
        <v>7990.0149031296578</v>
      </c>
      <c r="N12" s="81">
        <f>4500*C17</f>
        <v>4858.7928464977649</v>
      </c>
      <c r="O12" s="118"/>
      <c r="P12" s="119"/>
    </row>
    <row r="13" spans="1:16" x14ac:dyDescent="0.25">
      <c r="A13" s="51" t="s">
        <v>39</v>
      </c>
      <c r="B13" s="48" t="s">
        <v>52</v>
      </c>
      <c r="C13" s="50">
        <f>'[1]Brennverdier og priser'!$D$12</f>
        <v>3.42</v>
      </c>
      <c r="D13" s="52">
        <f>'[1]Brennverdier og priser'!$D$11</f>
        <v>4.5599999999999996</v>
      </c>
      <c r="E13" s="52">
        <f>'[1]Brennverdier og priser'!$D$13</f>
        <v>5.13</v>
      </c>
      <c r="F13" s="19"/>
      <c r="G13" s="7" t="s">
        <v>12</v>
      </c>
      <c r="H13" s="8" t="s">
        <v>10</v>
      </c>
      <c r="I13" s="78">
        <f>230*C17</f>
        <v>248.3383010432191</v>
      </c>
      <c r="J13" s="79">
        <f>170*C17</f>
        <v>183.5543964232489</v>
      </c>
      <c r="K13" s="80">
        <f>230*C17</f>
        <v>248.3383010432191</v>
      </c>
      <c r="L13" s="94">
        <f>170*C17</f>
        <v>183.5543964232489</v>
      </c>
      <c r="M13" s="80">
        <f>230*C17</f>
        <v>248.3383010432191</v>
      </c>
      <c r="N13" s="81">
        <f>170*C17</f>
        <v>183.5543964232489</v>
      </c>
      <c r="O13" s="118"/>
      <c r="P13" s="119"/>
    </row>
    <row r="14" spans="1:16" x14ac:dyDescent="0.25">
      <c r="A14" s="45" t="s">
        <v>40</v>
      </c>
      <c r="B14" s="48" t="s">
        <v>47</v>
      </c>
      <c r="C14" s="49">
        <f>'[1]Brennverdier og priser'!$D$37</f>
        <v>18.5</v>
      </c>
      <c r="D14" s="49">
        <f>'[1]Brennverdier og priser'!$D$36</f>
        <v>20</v>
      </c>
      <c r="E14" s="49">
        <f>'[1]Brennverdier og priser'!$D$32</f>
        <v>29.1</v>
      </c>
      <c r="F14" s="19"/>
      <c r="G14" s="7" t="s">
        <v>13</v>
      </c>
      <c r="H14" s="8" t="s">
        <v>10</v>
      </c>
      <c r="I14" s="78">
        <f>7000*C17</f>
        <v>7558.1222056631896</v>
      </c>
      <c r="J14" s="79">
        <f>4200*C17</f>
        <v>4534.8733233979137</v>
      </c>
      <c r="K14" s="78">
        <f>7000*C17</f>
        <v>7558.1222056631896</v>
      </c>
      <c r="L14" s="79">
        <f>4200*C17</f>
        <v>4534.8733233979137</v>
      </c>
      <c r="M14" s="78">
        <f>5600*C17</f>
        <v>6046.4977645305516</v>
      </c>
      <c r="N14" s="62">
        <f>3400*C17</f>
        <v>3671.0879284649777</v>
      </c>
      <c r="O14" s="118"/>
      <c r="P14" s="119"/>
    </row>
    <row r="15" spans="1:16" x14ac:dyDescent="0.25">
      <c r="A15" s="28" t="s">
        <v>16</v>
      </c>
      <c r="B15" s="48" t="s">
        <v>47</v>
      </c>
      <c r="C15" s="73">
        <f>'[1]NOX avgift'!$H$12</f>
        <v>0.40063917525773196</v>
      </c>
      <c r="D15" s="74">
        <f>'[1]NOX avgift'!$H$13</f>
        <v>0.37914146341463423</v>
      </c>
      <c r="E15" s="74">
        <f>'[1]NOX avgift'!$H$14</f>
        <v>0.37208297872340423</v>
      </c>
      <c r="F15" s="30"/>
      <c r="G15" s="10" t="s">
        <v>14</v>
      </c>
      <c r="H15" s="8" t="s">
        <v>10</v>
      </c>
      <c r="I15" s="9">
        <f>SUM(I11:I14)*(((1+($C$7))*((1+$C$7)^($C$5)-1))/($C$7*$C$5))-SUM(I11:I14)</f>
        <v>5422.9472017994776</v>
      </c>
      <c r="J15" s="9">
        <f t="shared" ref="J15:N15" si="1">SUM(J11:J14)*(((1+($C$7))*((1+$C$7)^($C$5)-1))/($C$7*$C$5))-SUM(J11:J14)</f>
        <v>3266.8497358244967</v>
      </c>
      <c r="K15" s="93">
        <f t="shared" si="1"/>
        <v>5422.9472017994776</v>
      </c>
      <c r="L15" s="79">
        <f t="shared" si="1"/>
        <v>3266.8497358244967</v>
      </c>
      <c r="M15" s="93">
        <f t="shared" si="1"/>
        <v>4348.4024191900608</v>
      </c>
      <c r="N15" s="62">
        <f t="shared" si="1"/>
        <v>2624.4588331775631</v>
      </c>
    </row>
    <row r="16" spans="1:16" x14ac:dyDescent="0.25">
      <c r="G16" s="3" t="s">
        <v>15</v>
      </c>
      <c r="H16" s="11" t="s">
        <v>10</v>
      </c>
      <c r="I16" s="12">
        <f>SUM(I11:I15)</f>
        <v>55554.892060219754</v>
      </c>
      <c r="J16" s="12">
        <f t="shared" ref="J16:N16" si="2">SUM(J11:J15)</f>
        <v>33466.946606167272</v>
      </c>
      <c r="K16" s="12">
        <f t="shared" si="2"/>
        <v>55554.892060219754</v>
      </c>
      <c r="L16" s="12">
        <f t="shared" si="2"/>
        <v>33466.946606167272</v>
      </c>
      <c r="M16" s="12">
        <f t="shared" si="2"/>
        <v>44546.815235881579</v>
      </c>
      <c r="N16" s="64">
        <f t="shared" si="2"/>
        <v>26886.031113356403</v>
      </c>
    </row>
    <row r="17" spans="1:16" x14ac:dyDescent="0.25">
      <c r="A17" s="28" t="s">
        <v>45</v>
      </c>
      <c r="B17" s="19" t="s">
        <v>44</v>
      </c>
      <c r="C17" s="72">
        <f>'[1]byggetid levetid rente'!$C$1</f>
        <v>1.07973174366617</v>
      </c>
      <c r="G17" s="3" t="s">
        <v>0</v>
      </c>
      <c r="H17" s="11" t="s">
        <v>2</v>
      </c>
      <c r="I17" s="82">
        <f>840*C17</f>
        <v>906.97466467958282</v>
      </c>
      <c r="J17" s="83">
        <f>360*C17</f>
        <v>388.70342771982121</v>
      </c>
      <c r="K17" s="82">
        <f>840*C17</f>
        <v>906.97466467958282</v>
      </c>
      <c r="L17" s="84">
        <f>360*C17</f>
        <v>388.70342771982121</v>
      </c>
      <c r="M17" s="84">
        <f>770*C17</f>
        <v>831.39344262295083</v>
      </c>
      <c r="N17" s="85">
        <f>340*C17</f>
        <v>367.10879284649781</v>
      </c>
      <c r="O17" t="s">
        <v>55</v>
      </c>
      <c r="P17" t="s">
        <v>43</v>
      </c>
    </row>
    <row r="18" spans="1:16" x14ac:dyDescent="0.25">
      <c r="G18" s="5" t="s">
        <v>46</v>
      </c>
      <c r="H18" s="102" t="s">
        <v>48</v>
      </c>
      <c r="I18" s="97">
        <f>1/I8</f>
        <v>3.5714285714285712</v>
      </c>
      <c r="J18" s="13">
        <f t="shared" ref="J18:N18" si="3">1/J8</f>
        <v>3.3333333333333335</v>
      </c>
      <c r="K18" s="97">
        <f t="shared" si="3"/>
        <v>3.4482758620689657</v>
      </c>
      <c r="L18" s="95">
        <f t="shared" si="3"/>
        <v>3.4482758620689657</v>
      </c>
      <c r="M18" s="97">
        <f t="shared" si="3"/>
        <v>3.4482758620689657</v>
      </c>
      <c r="N18" s="65">
        <f t="shared" si="3"/>
        <v>3.2258064516129035</v>
      </c>
    </row>
    <row r="19" spans="1:16" x14ac:dyDescent="0.25">
      <c r="G19" s="10" t="s">
        <v>40</v>
      </c>
      <c r="H19" s="103" t="s">
        <v>47</v>
      </c>
      <c r="I19" s="98">
        <f>$C$14</f>
        <v>18.5</v>
      </c>
      <c r="J19" s="13">
        <f>$C$14</f>
        <v>18.5</v>
      </c>
      <c r="K19" s="98">
        <f>$D$14</f>
        <v>20</v>
      </c>
      <c r="L19" s="95">
        <f>$D$14</f>
        <v>20</v>
      </c>
      <c r="M19" s="98">
        <f>$E$14</f>
        <v>29.1</v>
      </c>
      <c r="N19" s="65">
        <f>$E$14</f>
        <v>29.1</v>
      </c>
    </row>
    <row r="20" spans="1:16" x14ac:dyDescent="0.25">
      <c r="G20" s="10" t="s">
        <v>16</v>
      </c>
      <c r="H20" s="103" t="s">
        <v>47</v>
      </c>
      <c r="I20" s="99">
        <f>$C$15</f>
        <v>0.40063917525773196</v>
      </c>
      <c r="J20" s="86">
        <f>$C$15</f>
        <v>0.40063917525773196</v>
      </c>
      <c r="K20" s="99">
        <f>$D$15</f>
        <v>0.37914146341463423</v>
      </c>
      <c r="L20" s="87">
        <f>$D$15</f>
        <v>0.37914146341463423</v>
      </c>
      <c r="M20" s="99">
        <f>$E$15</f>
        <v>0.37208297872340423</v>
      </c>
      <c r="N20" s="101">
        <f>$E$15</f>
        <v>0.37208297872340423</v>
      </c>
    </row>
    <row r="21" spans="1:16" x14ac:dyDescent="0.25">
      <c r="G21" s="5" t="s">
        <v>17</v>
      </c>
      <c r="H21" s="14" t="s">
        <v>49</v>
      </c>
      <c r="I21" s="100">
        <f>(I19+I20)*I18</f>
        <v>67.502282768777619</v>
      </c>
      <c r="J21" s="15">
        <f t="shared" ref="J21:N21" si="4">(J19+J20)*J18</f>
        <v>63.00213058419245</v>
      </c>
      <c r="K21" s="100">
        <f t="shared" si="4"/>
        <v>70.272901597981502</v>
      </c>
      <c r="L21" s="96">
        <f t="shared" si="4"/>
        <v>70.272901597981502</v>
      </c>
      <c r="M21" s="100">
        <f t="shared" si="4"/>
        <v>101.62787234042554</v>
      </c>
      <c r="N21" s="66">
        <f t="shared" si="4"/>
        <v>95.071235415236799</v>
      </c>
    </row>
    <row r="22" spans="1:16" x14ac:dyDescent="0.25">
      <c r="G22" s="3" t="s">
        <v>18</v>
      </c>
      <c r="H22" s="11" t="s">
        <v>49</v>
      </c>
      <c r="I22" s="88">
        <f>8.5*C17</f>
        <v>9.1777198211624444</v>
      </c>
      <c r="J22" s="89">
        <f>7.8*C17</f>
        <v>8.4219076005961249</v>
      </c>
      <c r="K22" s="88">
        <f>8.4*C17</f>
        <v>9.0697466467958279</v>
      </c>
      <c r="L22" s="90">
        <f>7.6*C17</f>
        <v>8.2059612518628917</v>
      </c>
      <c r="M22" s="90">
        <f>8.4*C17</f>
        <v>9.0697466467958279</v>
      </c>
      <c r="N22" s="91">
        <f>8.4*C17</f>
        <v>9.0697466467958279</v>
      </c>
      <c r="O22" t="s">
        <v>55</v>
      </c>
      <c r="P22" t="s">
        <v>43</v>
      </c>
    </row>
    <row r="23" spans="1:16" ht="15.75" thickBot="1" x14ac:dyDescent="0.3">
      <c r="G23" s="16" t="s">
        <v>26</v>
      </c>
      <c r="H23" s="17" t="s">
        <v>50</v>
      </c>
      <c r="I23" s="18">
        <f>(I30+I31+I32+I33)/I34</f>
        <v>143.69598791200301</v>
      </c>
      <c r="J23" s="18">
        <f t="shared" ref="J23:N23" si="5">(J30+J31+J32+J33)/J34</f>
        <v>110.04590178332509</v>
      </c>
      <c r="K23" s="18">
        <f t="shared" si="5"/>
        <v>146.38398677915569</v>
      </c>
      <c r="L23" s="18">
        <f t="shared" si="5"/>
        <v>117.16790116509777</v>
      </c>
      <c r="M23" s="18">
        <f t="shared" si="5"/>
        <v>166.21718749927902</v>
      </c>
      <c r="N23" s="41">
        <f t="shared" si="5"/>
        <v>136.30555103181669</v>
      </c>
    </row>
    <row r="24" spans="1:16" ht="90" customHeight="1" x14ac:dyDescent="0.25">
      <c r="G24" s="5" t="s">
        <v>25</v>
      </c>
      <c r="H24" s="6"/>
      <c r="I24" s="86">
        <v>0.96</v>
      </c>
      <c r="J24" s="86">
        <v>0.96</v>
      </c>
      <c r="K24" s="86">
        <v>0.96</v>
      </c>
      <c r="L24" s="86">
        <v>0.96</v>
      </c>
      <c r="M24" s="86">
        <v>0.96</v>
      </c>
      <c r="N24" s="101">
        <v>0.96</v>
      </c>
      <c r="O24" s="113" t="s">
        <v>54</v>
      </c>
      <c r="P24" s="113" t="s">
        <v>56</v>
      </c>
    </row>
    <row r="25" spans="1:16" ht="15.75" thickBot="1" x14ac:dyDescent="0.3">
      <c r="G25" s="16" t="s">
        <v>27</v>
      </c>
      <c r="H25" s="17" t="s">
        <v>50</v>
      </c>
      <c r="I25" s="18">
        <f>I23*I24</f>
        <v>137.94814839552288</v>
      </c>
      <c r="J25" s="18">
        <f t="shared" ref="J25:N25" si="6">J23*J24</f>
        <v>105.64406571199208</v>
      </c>
      <c r="K25" s="18">
        <f t="shared" si="6"/>
        <v>140.52862730798947</v>
      </c>
      <c r="L25" s="18">
        <f t="shared" si="6"/>
        <v>112.48118511849385</v>
      </c>
      <c r="M25" s="18">
        <f t="shared" si="6"/>
        <v>159.56849999930785</v>
      </c>
      <c r="N25" s="41">
        <f t="shared" si="6"/>
        <v>130.85332899054401</v>
      </c>
    </row>
    <row r="26" spans="1:16" x14ac:dyDescent="0.25">
      <c r="J26" s="22"/>
      <c r="K26" s="22"/>
      <c r="L26" s="22"/>
      <c r="M26" s="22"/>
      <c r="N26" s="22"/>
    </row>
    <row r="27" spans="1:16" x14ac:dyDescent="0.25">
      <c r="F27" s="104"/>
      <c r="G27" s="20"/>
      <c r="H27" s="21"/>
      <c r="I27" s="110"/>
      <c r="J27" s="110"/>
      <c r="K27" s="110"/>
      <c r="L27" s="110"/>
      <c r="M27" s="110"/>
      <c r="N27" s="110"/>
    </row>
    <row r="28" spans="1:16" x14ac:dyDescent="0.25">
      <c r="G28" s="107"/>
      <c r="H28" s="107"/>
      <c r="I28" s="27"/>
      <c r="J28" s="27"/>
      <c r="K28" s="27"/>
      <c r="L28" s="27"/>
      <c r="M28" s="27"/>
      <c r="N28" s="27"/>
    </row>
    <row r="29" spans="1:16" x14ac:dyDescent="0.25">
      <c r="F29" s="37"/>
      <c r="G29" s="76" t="s">
        <v>19</v>
      </c>
      <c r="H29" s="105"/>
      <c r="I29" s="106"/>
      <c r="J29" s="106"/>
      <c r="K29" s="106"/>
      <c r="L29" s="106"/>
      <c r="M29" s="106"/>
      <c r="N29" s="106"/>
    </row>
    <row r="30" spans="1:16" x14ac:dyDescent="0.25">
      <c r="G30" s="23" t="str">
        <f>G10</f>
        <v>Investeringskostnader</v>
      </c>
      <c r="H30" s="24" t="s">
        <v>20</v>
      </c>
      <c r="I30" s="23">
        <f>I16*100*1000*I6</f>
        <v>55554892060.219757</v>
      </c>
      <c r="J30" s="23">
        <f t="shared" ref="J30:N30" si="7">J16*100*1000*J6</f>
        <v>167334733030.83633</v>
      </c>
      <c r="K30" s="23">
        <f t="shared" si="7"/>
        <v>55554892060.219757</v>
      </c>
      <c r="L30" s="23">
        <f t="shared" si="7"/>
        <v>167334733030.83633</v>
      </c>
      <c r="M30" s="23">
        <f t="shared" si="7"/>
        <v>44546815235.881584</v>
      </c>
      <c r="N30" s="23">
        <f t="shared" si="7"/>
        <v>134430155566.78203</v>
      </c>
    </row>
    <row r="31" spans="1:16" x14ac:dyDescent="0.25">
      <c r="G31" s="25" t="str">
        <f>G17</f>
        <v>Faste driftskostnader</v>
      </c>
      <c r="H31" s="26" t="s">
        <v>20</v>
      </c>
      <c r="I31" s="111">
        <f t="shared" ref="I31" si="8">-PV($C$7,$C$6,I17*100*1000*I6)</f>
        <v>11594180165.125172</v>
      </c>
      <c r="J31" s="111">
        <f t="shared" ref="J31:N31" si="9">-PV($C$7,$C$6,J17*100*1000*J6)</f>
        <v>24844671782.411083</v>
      </c>
      <c r="K31" s="111">
        <f t="shared" si="9"/>
        <v>11594180165.125172</v>
      </c>
      <c r="L31" s="111">
        <f t="shared" si="9"/>
        <v>24844671782.411083</v>
      </c>
      <c r="M31" s="111">
        <f t="shared" si="9"/>
        <v>10627998484.698074</v>
      </c>
      <c r="N31" s="111">
        <f t="shared" si="9"/>
        <v>23464412238.943806</v>
      </c>
    </row>
    <row r="32" spans="1:16" x14ac:dyDescent="0.25">
      <c r="G32" s="25" t="str">
        <f>G22</f>
        <v>Variable kostnader eks brensel</v>
      </c>
      <c r="H32" s="26" t="s">
        <v>20</v>
      </c>
      <c r="I32" s="111">
        <f>-PV($C$7,$C$6,I22*1000*I6*I7)</f>
        <v>9385764895.5775185</v>
      </c>
      <c r="J32" s="111">
        <f t="shared" ref="J32:N32" si="10">-PV($C$7,$C$6,J22*1000*J6*J7)</f>
        <v>43064097756.179214</v>
      </c>
      <c r="K32" s="111">
        <f t="shared" si="10"/>
        <v>9275344132.1001377</v>
      </c>
      <c r="L32" s="111">
        <f>-PV($C$7,$C$6,L22*1000*L6*L7)</f>
        <v>41959890121.40538</v>
      </c>
      <c r="M32" s="111">
        <f t="shared" si="10"/>
        <v>9275344132.1001377</v>
      </c>
      <c r="N32" s="111">
        <f t="shared" si="10"/>
        <v>46376720660.500687</v>
      </c>
    </row>
    <row r="33" spans="7:14" x14ac:dyDescent="0.25">
      <c r="G33" s="25" t="str">
        <f>G21</f>
        <v>Brensels- og utslippskostnader</v>
      </c>
      <c r="H33" s="26" t="s">
        <v>20</v>
      </c>
      <c r="I33" s="111">
        <f>-PV($C$7,$C$6,I21*1000*I6*I7)</f>
        <v>69032457770.354324</v>
      </c>
      <c r="J33" s="111">
        <f t="shared" ref="J33:N33" si="11">-PV($C$7,$C$6,J21*1000*J6*J7)</f>
        <v>322151469594.98688</v>
      </c>
      <c r="K33" s="111">
        <f t="shared" si="11"/>
        <v>71865882352.155746</v>
      </c>
      <c r="L33" s="111">
        <f t="shared" si="11"/>
        <v>359329411760.77881</v>
      </c>
      <c r="M33" s="111">
        <f>-PV($C$7,$C$6,M21*1000*M6*M7)</f>
        <v>103931623018.7756</v>
      </c>
      <c r="N33" s="111">
        <f t="shared" si="11"/>
        <v>486131785087.82135</v>
      </c>
    </row>
    <row r="34" spans="7:14" x14ac:dyDescent="0.25">
      <c r="G34" s="108" t="s">
        <v>21</v>
      </c>
      <c r="H34" s="109" t="s">
        <v>22</v>
      </c>
      <c r="I34" s="112">
        <f>-PV($C$7+$C$8,$C$6,I7*I6*1000)</f>
        <v>1013022680.7753305</v>
      </c>
      <c r="J34" s="112">
        <f t="shared" ref="J34:M34" si="12">-PV($C$7+$C$8,$C$6,J7*J6*1000)</f>
        <v>5065113403.8766527</v>
      </c>
      <c r="K34" s="112">
        <f t="shared" si="12"/>
        <v>1013022680.7753305</v>
      </c>
      <c r="L34" s="112">
        <f t="shared" si="12"/>
        <v>5065113403.8766527</v>
      </c>
      <c r="M34" s="112">
        <f t="shared" si="12"/>
        <v>1013022680.7753305</v>
      </c>
      <c r="N34" s="112">
        <f>-PV($C$7+$C$8,$C$6,N7*N6*1000)</f>
        <v>5065113403.8766527</v>
      </c>
    </row>
  </sheetData>
  <mergeCells count="5">
    <mergeCell ref="I4:J4"/>
    <mergeCell ref="K4:L4"/>
    <mergeCell ref="M4:N4"/>
    <mergeCell ref="O11:O14"/>
    <mergeCell ref="P11:P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Kostnad 2016</vt:lpstr>
    </vt:vector>
  </TitlesOfParts>
  <Company>NVE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 Karstad Isachsen</dc:creator>
  <cp:lastModifiedBy>Olav Karstad Isachsen</cp:lastModifiedBy>
  <dcterms:created xsi:type="dcterms:W3CDTF">2016-11-15T12:54:30Z</dcterms:created>
  <dcterms:modified xsi:type="dcterms:W3CDTF">2017-02-27T17:57:48Z</dcterms:modified>
</cp:coreProperties>
</file>