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8" i="2"/>
  <c r="C7" i="2"/>
  <c r="C6" i="2"/>
  <c r="C5" i="2"/>
  <c r="E17" i="2" l="1"/>
  <c r="D17" i="2"/>
  <c r="C17" i="2"/>
  <c r="L11" i="2" l="1"/>
  <c r="K11" i="2"/>
  <c r="L7" i="2"/>
  <c r="K7" i="2"/>
  <c r="J18" i="2" l="1"/>
  <c r="M18" i="2"/>
  <c r="N18" i="2"/>
  <c r="O18" i="2"/>
  <c r="P18" i="2"/>
  <c r="I18" i="2"/>
  <c r="P20" i="2"/>
  <c r="N20" i="2"/>
  <c r="J20" i="2"/>
  <c r="L20" i="2" l="1"/>
  <c r="L9" i="2"/>
  <c r="L18" i="2" s="1"/>
  <c r="K9" i="2"/>
  <c r="K18" i="2" s="1"/>
  <c r="P22" i="2" l="1"/>
  <c r="O14" i="2" l="1"/>
  <c r="N14" i="2"/>
  <c r="P14" i="2"/>
  <c r="I17" i="2"/>
  <c r="K17" i="2" s="1"/>
  <c r="M14" i="2"/>
  <c r="J17" i="2"/>
  <c r="L17" i="2" s="1"/>
  <c r="M17" i="2"/>
  <c r="N17" i="2"/>
  <c r="I13" i="2"/>
  <c r="K13" i="2" s="1"/>
  <c r="O17" i="2"/>
  <c r="J13" i="2"/>
  <c r="L13" i="2" s="1"/>
  <c r="P17" i="2"/>
  <c r="M13" i="2"/>
  <c r="I22" i="2"/>
  <c r="N13" i="2"/>
  <c r="J22" i="2"/>
  <c r="O13" i="2"/>
  <c r="M22" i="2"/>
  <c r="P13" i="2"/>
  <c r="N22" i="2"/>
  <c r="I14" i="2"/>
  <c r="K14" i="2" s="1"/>
  <c r="O22" i="2"/>
  <c r="J14" i="2"/>
  <c r="L14" i="2" s="1"/>
  <c r="E16" i="2"/>
  <c r="D16" i="2"/>
  <c r="C16" i="2"/>
  <c r="E15" i="2"/>
  <c r="D15" i="2"/>
  <c r="C15" i="2"/>
  <c r="E14" i="2"/>
  <c r="D14" i="2"/>
  <c r="C14" i="2"/>
  <c r="I34" i="2"/>
  <c r="N35" i="2" l="1"/>
  <c r="J35" i="2"/>
  <c r="M34" i="2"/>
  <c r="O34" i="2"/>
  <c r="K34" i="2"/>
  <c r="M35" i="2"/>
  <c r="P34" i="2"/>
  <c r="L34" i="2"/>
  <c r="L35" i="2"/>
  <c r="O35" i="2"/>
  <c r="K35" i="2"/>
  <c r="N34" i="2"/>
  <c r="I35" i="2"/>
  <c r="I32" i="2"/>
  <c r="P35" i="2"/>
  <c r="J34" i="2"/>
  <c r="K19" i="2"/>
  <c r="K21" i="2" s="1"/>
  <c r="K33" i="2" s="1"/>
  <c r="L19" i="2"/>
  <c r="L21" i="2" s="1"/>
  <c r="L33" i="2" s="1"/>
  <c r="I19" i="2"/>
  <c r="I21" i="2" s="1"/>
  <c r="I33" i="2" s="1"/>
  <c r="J19" i="2"/>
  <c r="J21" i="2" s="1"/>
  <c r="J33" i="2" s="1"/>
  <c r="N19" i="2"/>
  <c r="N21" i="2" s="1"/>
  <c r="N33" i="2" s="1"/>
  <c r="M19" i="2"/>
  <c r="M21" i="2" s="1"/>
  <c r="M33" i="2" s="1"/>
  <c r="O19" i="2"/>
  <c r="O21" i="2" s="1"/>
  <c r="O33" i="2" s="1"/>
  <c r="P19" i="2"/>
  <c r="P21" i="2" s="1"/>
  <c r="P33" i="2" s="1"/>
  <c r="L31" i="2"/>
  <c r="K32" i="2"/>
  <c r="K31" i="2"/>
  <c r="I31" i="2"/>
  <c r="L32" i="2"/>
  <c r="L10" i="2"/>
  <c r="K10" i="2"/>
  <c r="N10" i="2"/>
  <c r="M10" i="2"/>
  <c r="P10" i="2"/>
  <c r="O10" i="2"/>
  <c r="I10" i="2"/>
  <c r="J10" i="2"/>
  <c r="O32" i="2"/>
  <c r="P31" i="2"/>
  <c r="O31" i="2"/>
  <c r="N32" i="2"/>
  <c r="M32" i="2"/>
  <c r="N31" i="2"/>
  <c r="M31" i="2"/>
  <c r="P32" i="2"/>
  <c r="N15" i="2"/>
  <c r="N16" i="2" s="1"/>
  <c r="N30" i="2" s="1"/>
  <c r="L15" i="2" l="1"/>
  <c r="L16" i="2" s="1"/>
  <c r="L30" i="2" s="1"/>
  <c r="K15" i="2"/>
  <c r="K16" i="2" s="1"/>
  <c r="K30" i="2" s="1"/>
  <c r="P15" i="2"/>
  <c r="P16" i="2" s="1"/>
  <c r="M15" i="2"/>
  <c r="M16" i="2" s="1"/>
  <c r="M30" i="2" s="1"/>
  <c r="O15" i="2"/>
  <c r="O16" i="2" s="1"/>
  <c r="O30" i="2" s="1"/>
  <c r="J15" i="2"/>
  <c r="I15" i="2"/>
  <c r="P30" i="2" l="1"/>
  <c r="J32" i="2"/>
  <c r="J31" i="2"/>
  <c r="J16" i="2" l="1"/>
  <c r="J30" i="2" s="1"/>
  <c r="G33" i="2"/>
  <c r="G32" i="2"/>
  <c r="G31" i="2"/>
  <c r="G30" i="2"/>
  <c r="I16" i="2"/>
  <c r="I30" i="2" s="1"/>
  <c r="J23" i="2" l="1"/>
  <c r="I23" i="2"/>
  <c r="M23" i="2"/>
  <c r="P23" i="2"/>
  <c r="O23" i="2"/>
  <c r="N23" i="2"/>
  <c r="P25" i="2" l="1"/>
  <c r="N25" i="2"/>
  <c r="M25" i="2"/>
  <c r="O25" i="2"/>
  <c r="J25" i="2"/>
  <c r="I25" i="2"/>
  <c r="L23" i="2"/>
  <c r="K23" i="2"/>
  <c r="L25" i="2" l="1"/>
  <c r="K25" i="2"/>
</calcChain>
</file>

<file path=xl/comments1.xml><?xml version="1.0" encoding="utf-8"?>
<comments xmlns="http://schemas.openxmlformats.org/spreadsheetml/2006/main">
  <authors>
    <author>Maria Sidelnikova</author>
  </authors>
  <commentList>
    <comment ref="K11" authorId="0" shapeId="0">
      <text>
        <r>
          <rPr>
            <b/>
            <sz val="8"/>
            <color indexed="81"/>
            <rFont val="Tahoma"/>
            <family val="2"/>
          </rPr>
          <t xml:space="preserve">Maria Sidelnikova:
</t>
        </r>
        <r>
          <rPr>
            <sz val="8"/>
            <color indexed="81"/>
            <rFont val="Tahoma"/>
            <family val="2"/>
          </rPr>
          <t>Basert på total ytelse (kjel og kondensering)
Elproduksjonene reduseres med 4,5 % pga trykkfall og temperaturendringer.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 xml:space="preserve">Maria Sidelnikova:
</t>
        </r>
        <r>
          <rPr>
            <sz val="8"/>
            <color indexed="81"/>
            <rFont val="Tahoma"/>
            <family val="2"/>
          </rPr>
          <t>Basert på total ytelse (kjel og kondensering)
Elproduksjonene reduseres med 4,5 % pga trykkfall og temperaturendringer.</t>
        </r>
      </text>
    </comment>
  </commentList>
</comments>
</file>

<file path=xl/sharedStrings.xml><?xml version="1.0" encoding="utf-8"?>
<sst xmlns="http://schemas.openxmlformats.org/spreadsheetml/2006/main" count="88" uniqueCount="60">
  <si>
    <t>Faste driftskostnader</t>
  </si>
  <si>
    <t>%</t>
  </si>
  <si>
    <t>øre/kWh</t>
  </si>
  <si>
    <t>Enhet</t>
  </si>
  <si>
    <t>Ytelse</t>
  </si>
  <si>
    <t xml:space="preserve">Fullasttimer </t>
  </si>
  <si>
    <t>timer/år</t>
  </si>
  <si>
    <t>Elandel</t>
  </si>
  <si>
    <t>Investeringskostnader</t>
  </si>
  <si>
    <t xml:space="preserve">   Byggetidsrenter     </t>
  </si>
  <si>
    <t xml:space="preserve">Sum investeringskostnader </t>
  </si>
  <si>
    <t>NOx-avgift</t>
  </si>
  <si>
    <t>Brensels- og utslippskostnader</t>
  </si>
  <si>
    <t>Variable kostnader eks brensel</t>
  </si>
  <si>
    <t>Nåverdier</t>
  </si>
  <si>
    <t>øre</t>
  </si>
  <si>
    <t>Produsert varme</t>
  </si>
  <si>
    <t>kWhv</t>
  </si>
  <si>
    <t>Produsert elektrisitet</t>
  </si>
  <si>
    <r>
      <t>kWh</t>
    </r>
    <r>
      <rPr>
        <sz val="9"/>
        <rFont val="Calibri"/>
        <family val="2"/>
        <scheme val="minor"/>
      </rPr>
      <t>el</t>
    </r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</si>
  <si>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</si>
  <si>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</si>
  <si>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</si>
  <si>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</si>
  <si>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</si>
  <si>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</si>
  <si>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</si>
  <si>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</si>
  <si>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prosent/år</t>
  </si>
  <si>
    <t>enhet</t>
  </si>
  <si>
    <t>Diskonteringsrente</t>
  </si>
  <si>
    <t>Fuktig flis</t>
  </si>
  <si>
    <t>Tørr flis</t>
  </si>
  <si>
    <t>Pellets</t>
  </si>
  <si>
    <t>Effektiv brennverdi</t>
  </si>
  <si>
    <t>Øvre brennverdi</t>
  </si>
  <si>
    <t>Brenselspris</t>
  </si>
  <si>
    <t>Virkningsgrad (effektiv brennverdi)</t>
  </si>
  <si>
    <t>Virkningsgrad (øvre brennverdi)</t>
  </si>
  <si>
    <t>Anleggskostnader</t>
  </si>
  <si>
    <t>Installasjon</t>
  </si>
  <si>
    <t>MW</t>
  </si>
  <si>
    <t>kr/kW</t>
  </si>
  <si>
    <r>
      <t>kr/kW</t>
    </r>
    <r>
      <rPr>
        <sz val="10"/>
        <rFont val="Calibri"/>
        <family val="2"/>
        <scheme val="minor"/>
      </rPr>
      <t>/år</t>
    </r>
  </si>
  <si>
    <t>Biokjel med mottrykksturbin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</si>
  <si>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infasjonsindeks</t>
    </r>
  </si>
  <si>
    <t>faktor</t>
  </si>
  <si>
    <t>Inflasjon 2013-2016</t>
  </si>
  <si>
    <t>Tilleggseffekt fra røykgasskondensering</t>
  </si>
  <si>
    <t>Fuktig flis, røykgasskondensering</t>
  </si>
  <si>
    <r>
      <t>kWh</t>
    </r>
    <r>
      <rPr>
        <sz val="8"/>
        <rFont val="Calibri"/>
        <family val="2"/>
        <scheme val="minor"/>
      </rPr>
      <t>brensel/</t>
    </r>
    <r>
      <rPr>
        <sz val="11"/>
        <rFont val="Calibri"/>
        <family val="2"/>
        <scheme val="minor"/>
      </rPr>
      <t>kg</t>
    </r>
  </si>
  <si>
    <r>
      <t>kWh</t>
    </r>
    <r>
      <rPr>
        <sz val="8"/>
        <rFont val="Calibri"/>
        <family val="2"/>
        <scheme val="minor"/>
      </rPr>
      <t>brensel</t>
    </r>
    <r>
      <rPr>
        <sz val="11"/>
        <rFont val="Calibri"/>
        <family val="2"/>
        <scheme val="minor"/>
      </rPr>
      <t>/kg</t>
    </r>
  </si>
  <si>
    <r>
      <t>øre/kWh</t>
    </r>
    <r>
      <rPr>
        <sz val="8"/>
        <rFont val="Calibri"/>
        <family val="2"/>
        <scheme val="minor"/>
      </rPr>
      <t>brensel</t>
    </r>
  </si>
  <si>
    <t>Spesifikt brenselsforbruk</t>
  </si>
  <si>
    <r>
      <t>kWh</t>
    </r>
    <r>
      <rPr>
        <sz val="8"/>
        <rFont val="Calibri"/>
        <family val="2"/>
        <scheme val="minor"/>
      </rPr>
      <t>brensel/</t>
    </r>
    <r>
      <rPr>
        <sz val="10"/>
        <rFont val="Calibri"/>
        <family val="2"/>
        <scheme val="minor"/>
      </rPr>
      <t>kWh</t>
    </r>
  </si>
  <si>
    <t>Erfaringstall fra Norconsult og Calambio</t>
  </si>
  <si>
    <t>Degraderingsrate</t>
  </si>
  <si>
    <t>Nordic Energy technology perspectives 2016, s 231</t>
  </si>
  <si>
    <t>Dette er momentan virkningsgrad, årsvirkningsgrad er 5-10% lavere</t>
  </si>
  <si>
    <t>Biokjel er moden anlegg med begrenset potensial for reduksjon i investeringskostnader. Det er forutsatt forbedring i  både total- og elvirkningsgraden med 2 prosent poeng. Brenselskostnader er antatt konstante.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</si>
</sst>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0.000"/>
    <numFmt numFmtId="168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1">
    <xf numFmtId="0" fontId="0" fillId="0" borderId="0" xfId="0"/>
    <xf numFmtId="164" fontId="7" fillId="0" borderId="1" xfId="1" applyFont="1" applyFill="1" applyBorder="1"/>
    <xf numFmtId="164" fontId="7" fillId="0" borderId="7" xfId="1" applyFont="1" applyFill="1" applyBorder="1"/>
    <xf numFmtId="164" fontId="7" fillId="0" borderId="2" xfId="1" applyFont="1" applyFill="1" applyBorder="1"/>
    <xf numFmtId="164" fontId="4" fillId="0" borderId="2" xfId="1" applyFont="1" applyFill="1" applyBorder="1" applyAlignment="1">
      <alignment horizontal="left" indent="1"/>
    </xf>
    <xf numFmtId="164" fontId="4" fillId="0" borderId="2" xfId="1" applyFont="1" applyFill="1" applyBorder="1"/>
    <xf numFmtId="164" fontId="4" fillId="0" borderId="10" xfId="1" applyFont="1" applyFill="1" applyBorder="1"/>
    <xf numFmtId="164" fontId="4" fillId="0" borderId="11" xfId="1" applyFont="1" applyFill="1" applyBorder="1" applyAlignment="1">
      <alignment horizontal="right"/>
    </xf>
    <xf numFmtId="164" fontId="7" fillId="0" borderId="12" xfId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2" applyNumberFormat="1" applyFont="1" applyFill="1" applyBorder="1"/>
    <xf numFmtId="165" fontId="9" fillId="0" borderId="0" xfId="1" applyNumberFormat="1" applyFont="1" applyFill="1" applyBorder="1"/>
    <xf numFmtId="164" fontId="4" fillId="0" borderId="13" xfId="0" applyNumberFormat="1" applyFont="1" applyBorder="1"/>
    <xf numFmtId="0" fontId="4" fillId="0" borderId="4" xfId="0" applyFont="1" applyBorder="1" applyAlignment="1">
      <alignment horizontal="right"/>
    </xf>
    <xf numFmtId="164" fontId="4" fillId="0" borderId="11" xfId="0" applyNumberFormat="1" applyFont="1" applyBorder="1"/>
    <xf numFmtId="0" fontId="4" fillId="0" borderId="9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15" xfId="0" applyFont="1" applyFill="1" applyBorder="1"/>
    <xf numFmtId="0" fontId="5" fillId="2" borderId="16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5" xfId="1" applyFont="1" applyFill="1" applyBorder="1" applyAlignment="1">
      <alignment horizontal="right"/>
    </xf>
    <xf numFmtId="0" fontId="0" fillId="0" borderId="0" xfId="0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3" fontId="4" fillId="0" borderId="8" xfId="2" applyNumberFormat="1" applyFont="1" applyFill="1" applyBorder="1"/>
    <xf numFmtId="165" fontId="4" fillId="0" borderId="5" xfId="1" applyNumberFormat="1" applyFont="1" applyFill="1" applyBorder="1"/>
    <xf numFmtId="165" fontId="4" fillId="0" borderId="17" xfId="2" applyNumberFormat="1" applyFont="1" applyFill="1" applyBorder="1"/>
    <xf numFmtId="165" fontId="7" fillId="0" borderId="18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2" fillId="0" borderId="0" xfId="0" applyFont="1"/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2" borderId="19" xfId="0" applyFont="1" applyFill="1" applyBorder="1"/>
    <xf numFmtId="2" fontId="12" fillId="0" borderId="0" xfId="0" applyNumberFormat="1" applyFont="1" applyAlignment="1">
      <alignment horizontal="center"/>
    </xf>
    <xf numFmtId="40" fontId="0" fillId="0" borderId="0" xfId="0" applyNumberForma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/>
    <xf numFmtId="0" fontId="4" fillId="0" borderId="0" xfId="0" applyFont="1" applyFill="1" applyBorder="1"/>
    <xf numFmtId="2" fontId="7" fillId="0" borderId="0" xfId="0" applyNumberFormat="1" applyFont="1" applyFill="1" applyBorder="1"/>
    <xf numFmtId="2" fontId="4" fillId="0" borderId="0" xfId="0" applyNumberFormat="1" applyFont="1" applyFill="1" applyBorder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3" fontId="4" fillId="0" borderId="10" xfId="1" applyNumberFormat="1" applyFont="1" applyFill="1" applyBorder="1"/>
    <xf numFmtId="3" fontId="4" fillId="0" borderId="5" xfId="1" applyNumberFormat="1" applyFont="1" applyFill="1" applyBorder="1"/>
    <xf numFmtId="3" fontId="4" fillId="0" borderId="25" xfId="2" applyNumberFormat="1" applyFont="1" applyFill="1" applyBorder="1"/>
    <xf numFmtId="165" fontId="4" fillId="0" borderId="10" xfId="1" applyNumberFormat="1" applyFont="1" applyFill="1" applyBorder="1"/>
    <xf numFmtId="165" fontId="4" fillId="0" borderId="26" xfId="2" applyNumberFormat="1" applyFont="1" applyFill="1" applyBorder="1"/>
    <xf numFmtId="165" fontId="7" fillId="0" borderId="27" xfId="0" applyNumberFormat="1" applyFont="1" applyFill="1" applyBorder="1"/>
    <xf numFmtId="3" fontId="4" fillId="0" borderId="2" xfId="1" applyNumberFormat="1" applyFont="1" applyFill="1" applyBorder="1"/>
    <xf numFmtId="3" fontId="4" fillId="0" borderId="7" xfId="2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64" fontId="5" fillId="3" borderId="2" xfId="1" applyFont="1" applyFill="1" applyBorder="1" applyAlignment="1">
      <alignment horizontal="right"/>
    </xf>
    <xf numFmtId="164" fontId="5" fillId="3" borderId="30" xfId="1" applyFont="1" applyFill="1" applyBorder="1" applyAlignment="1">
      <alignment horizontal="right"/>
    </xf>
    <xf numFmtId="3" fontId="4" fillId="0" borderId="30" xfId="1" applyNumberFormat="1" applyFont="1" applyFill="1" applyBorder="1"/>
    <xf numFmtId="3" fontId="4" fillId="0" borderId="31" xfId="2" applyNumberFormat="1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4" fontId="5" fillId="3" borderId="10" xfId="1" applyFont="1" applyFill="1" applyBorder="1" applyAlignment="1">
      <alignment horizontal="right"/>
    </xf>
    <xf numFmtId="3" fontId="4" fillId="0" borderId="11" xfId="1" applyNumberFormat="1" applyFont="1" applyFill="1" applyBorder="1"/>
    <xf numFmtId="3" fontId="4" fillId="0" borderId="20" xfId="2" applyNumberFormat="1" applyFont="1" applyFill="1" applyBorder="1"/>
    <xf numFmtId="164" fontId="7" fillId="0" borderId="11" xfId="1" applyFont="1" applyFill="1" applyBorder="1"/>
    <xf numFmtId="164" fontId="7" fillId="0" borderId="10" xfId="1" applyFont="1" applyFill="1" applyBorder="1"/>
    <xf numFmtId="164" fontId="7" fillId="0" borderId="5" xfId="1" applyFont="1" applyFill="1" applyBorder="1"/>
    <xf numFmtId="164" fontId="7" fillId="0" borderId="30" xfId="1" applyFont="1" applyFill="1" applyBorder="1"/>
    <xf numFmtId="166" fontId="0" fillId="0" borderId="0" xfId="3" applyNumberFormat="1" applyFont="1" applyFill="1" applyBorder="1"/>
    <xf numFmtId="2" fontId="0" fillId="0" borderId="0" xfId="0" applyNumberFormat="1"/>
    <xf numFmtId="164" fontId="5" fillId="3" borderId="11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right"/>
    </xf>
    <xf numFmtId="164" fontId="4" fillId="0" borderId="30" xfId="1" applyFont="1" applyFill="1" applyBorder="1" applyAlignment="1">
      <alignment horizontal="right"/>
    </xf>
    <xf numFmtId="164" fontId="4" fillId="0" borderId="10" xfId="1" applyFont="1" applyFill="1" applyBorder="1" applyAlignment="1">
      <alignment horizontal="right"/>
    </xf>
    <xf numFmtId="164" fontId="4" fillId="0" borderId="5" xfId="1" applyFont="1" applyFill="1" applyBorder="1" applyAlignment="1">
      <alignment horizontal="right"/>
    </xf>
    <xf numFmtId="164" fontId="4" fillId="0" borderId="0" xfId="1" applyFont="1" applyFill="1" applyBorder="1"/>
    <xf numFmtId="3" fontId="4" fillId="0" borderId="3" xfId="0" applyNumberFormat="1" applyFont="1" applyBorder="1"/>
    <xf numFmtId="3" fontId="4" fillId="0" borderId="0" xfId="0" applyNumberFormat="1" applyFont="1" applyBorder="1"/>
    <xf numFmtId="0" fontId="6" fillId="3" borderId="22" xfId="0" applyFont="1" applyFill="1" applyBorder="1" applyAlignment="1">
      <alignment horizontal="center"/>
    </xf>
    <xf numFmtId="0" fontId="1" fillId="3" borderId="33" xfId="0" applyFont="1" applyFill="1" applyBorder="1" applyAlignment="1"/>
    <xf numFmtId="0" fontId="1" fillId="3" borderId="36" xfId="0" applyFont="1" applyFill="1" applyBorder="1" applyAlignment="1"/>
    <xf numFmtId="3" fontId="4" fillId="0" borderId="37" xfId="0" applyNumberFormat="1" applyFont="1" applyBorder="1"/>
    <xf numFmtId="3" fontId="4" fillId="0" borderId="38" xfId="0" applyNumberFormat="1" applyFont="1" applyBorder="1"/>
    <xf numFmtId="164" fontId="4" fillId="0" borderId="14" xfId="0" applyNumberFormat="1" applyFont="1" applyBorder="1"/>
    <xf numFmtId="0" fontId="4" fillId="0" borderId="34" xfId="0" applyFont="1" applyBorder="1" applyAlignment="1">
      <alignment horizontal="right"/>
    </xf>
    <xf numFmtId="3" fontId="4" fillId="0" borderId="32" xfId="0" applyNumberFormat="1" applyFont="1" applyBorder="1"/>
    <xf numFmtId="167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right"/>
    </xf>
    <xf numFmtId="3" fontId="4" fillId="0" borderId="1" xfId="1" applyNumberFormat="1" applyFont="1" applyFill="1" applyBorder="1"/>
    <xf numFmtId="3" fontId="4" fillId="0" borderId="22" xfId="1" applyNumberFormat="1" applyFont="1" applyFill="1" applyBorder="1"/>
    <xf numFmtId="3" fontId="4" fillId="0" borderId="24" xfId="1" applyNumberFormat="1" applyFont="1" applyFill="1" applyBorder="1"/>
    <xf numFmtId="3" fontId="4" fillId="0" borderId="6" xfId="1" applyNumberFormat="1" applyFont="1" applyFill="1" applyBorder="1"/>
    <xf numFmtId="3" fontId="4" fillId="0" borderId="29" xfId="1" applyNumberFormat="1" applyFont="1" applyFill="1" applyBorder="1"/>
    <xf numFmtId="9" fontId="4" fillId="0" borderId="1" xfId="1" applyNumberFormat="1" applyFont="1" applyFill="1" applyBorder="1"/>
    <xf numFmtId="9" fontId="4" fillId="0" borderId="22" xfId="1" applyNumberFormat="1" applyFont="1" applyFill="1" applyBorder="1"/>
    <xf numFmtId="9" fontId="4" fillId="0" borderId="24" xfId="1" applyNumberFormat="1" applyFont="1" applyFill="1" applyBorder="1"/>
    <xf numFmtId="9" fontId="4" fillId="0" borderId="6" xfId="1" applyNumberFormat="1" applyFont="1" applyFill="1" applyBorder="1"/>
    <xf numFmtId="9" fontId="4" fillId="0" borderId="29" xfId="1" applyNumberFormat="1" applyFont="1" applyFill="1" applyBorder="1"/>
    <xf numFmtId="9" fontId="4" fillId="0" borderId="35" xfId="1" applyNumberFormat="1" applyFont="1" applyFill="1" applyBorder="1"/>
    <xf numFmtId="1" fontId="4" fillId="0" borderId="2" xfId="0" applyNumberFormat="1" applyFont="1" applyFill="1" applyBorder="1"/>
    <xf numFmtId="1" fontId="4" fillId="0" borderId="11" xfId="0" applyNumberFormat="1" applyFont="1" applyFill="1" applyBorder="1"/>
    <xf numFmtId="1" fontId="4" fillId="0" borderId="10" xfId="0" applyNumberFormat="1" applyFont="1" applyFill="1" applyBorder="1"/>
    <xf numFmtId="1" fontId="4" fillId="0" borderId="5" xfId="0" applyNumberFormat="1" applyFont="1" applyFill="1" applyBorder="1"/>
    <xf numFmtId="1" fontId="4" fillId="0" borderId="30" xfId="0" applyNumberFormat="1" applyFont="1" applyFill="1" applyBorder="1"/>
    <xf numFmtId="3" fontId="4" fillId="0" borderId="7" xfId="1" applyNumberFormat="1" applyFont="1" applyFill="1" applyBorder="1"/>
    <xf numFmtId="3" fontId="4" fillId="0" borderId="20" xfId="1" applyNumberFormat="1" applyFont="1" applyFill="1" applyBorder="1"/>
    <xf numFmtId="3" fontId="4" fillId="0" borderId="25" xfId="1" applyNumberFormat="1" applyFont="1" applyFill="1" applyBorder="1"/>
    <xf numFmtId="3" fontId="4" fillId="0" borderId="8" xfId="1" applyNumberFormat="1" applyFont="1" applyFill="1" applyBorder="1"/>
    <xf numFmtId="3" fontId="4" fillId="0" borderId="31" xfId="1" applyNumberFormat="1" applyFont="1" applyFill="1" applyBorder="1"/>
    <xf numFmtId="4" fontId="4" fillId="0" borderId="10" xfId="1" applyNumberFormat="1" applyFont="1" applyFill="1" applyBorder="1"/>
    <xf numFmtId="165" fontId="4" fillId="0" borderId="12" xfId="1" applyNumberFormat="1" applyFont="1" applyFill="1" applyBorder="1" applyAlignment="1">
      <alignment horizontal="right"/>
    </xf>
    <xf numFmtId="165" fontId="4" fillId="0" borderId="23" xfId="1" applyNumberFormat="1" applyFont="1" applyFill="1" applyBorder="1" applyAlignment="1">
      <alignment horizontal="right"/>
    </xf>
    <xf numFmtId="165" fontId="4" fillId="0" borderId="27" xfId="1" applyNumberFormat="1" applyFont="1" applyFill="1" applyBorder="1" applyAlignment="1">
      <alignment horizontal="right"/>
    </xf>
    <xf numFmtId="165" fontId="4" fillId="0" borderId="21" xfId="1" applyNumberFormat="1" applyFont="1" applyFill="1" applyBorder="1" applyAlignment="1">
      <alignment horizontal="right"/>
    </xf>
    <xf numFmtId="165" fontId="4" fillId="0" borderId="18" xfId="1" applyNumberFormat="1" applyFont="1" applyFill="1" applyBorder="1" applyAlignment="1">
      <alignment horizontal="right"/>
    </xf>
    <xf numFmtId="4" fontId="4" fillId="0" borderId="0" xfId="1" applyNumberFormat="1" applyFont="1" applyFill="1" applyBorder="1"/>
    <xf numFmtId="165" fontId="4" fillId="0" borderId="0" xfId="1" applyNumberFormat="1" applyFont="1" applyFill="1" applyBorder="1"/>
    <xf numFmtId="165" fontId="4" fillId="0" borderId="32" xfId="2" applyNumberFormat="1" applyFont="1" applyFill="1" applyBorder="1"/>
    <xf numFmtId="4" fontId="4" fillId="0" borderId="39" xfId="1" applyNumberFormat="1" applyFont="1" applyFill="1" applyBorder="1"/>
    <xf numFmtId="165" fontId="4" fillId="0" borderId="38" xfId="1" applyNumberFormat="1" applyFont="1" applyFill="1" applyBorder="1"/>
    <xf numFmtId="4" fontId="4" fillId="0" borderId="38" xfId="1" applyNumberFormat="1" applyFont="1" applyFill="1" applyBorder="1"/>
    <xf numFmtId="4" fontId="4" fillId="0" borderId="5" xfId="1" applyNumberFormat="1" applyFont="1" applyFill="1" applyBorder="1"/>
    <xf numFmtId="164" fontId="5" fillId="3" borderId="1" xfId="1" applyFont="1" applyFill="1" applyBorder="1"/>
    <xf numFmtId="164" fontId="5" fillId="3" borderId="29" xfId="1" applyFont="1" applyFill="1" applyBorder="1" applyAlignment="1">
      <alignment horizontal="right"/>
    </xf>
    <xf numFmtId="164" fontId="4" fillId="0" borderId="29" xfId="1" applyFont="1" applyFill="1" applyBorder="1" applyAlignment="1">
      <alignment horizontal="right"/>
    </xf>
    <xf numFmtId="164" fontId="7" fillId="0" borderId="29" xfId="1" applyFont="1" applyFill="1" applyBorder="1" applyAlignment="1">
      <alignment horizontal="right"/>
    </xf>
    <xf numFmtId="164" fontId="7" fillId="0" borderId="30" xfId="1" applyFont="1" applyFill="1" applyBorder="1" applyAlignment="1">
      <alignment horizontal="right"/>
    </xf>
    <xf numFmtId="164" fontId="4" fillId="0" borderId="31" xfId="1" applyFont="1" applyFill="1" applyBorder="1" applyAlignment="1">
      <alignment horizontal="right"/>
    </xf>
    <xf numFmtId="164" fontId="4" fillId="0" borderId="39" xfId="1" applyFont="1" applyFill="1" applyBorder="1"/>
    <xf numFmtId="164" fontId="7" fillId="0" borderId="26" xfId="1" applyFont="1" applyFill="1" applyBorder="1"/>
    <xf numFmtId="164" fontId="4" fillId="0" borderId="17" xfId="1" applyFont="1" applyFill="1" applyBorder="1" applyAlignment="1">
      <alignment horizontal="right"/>
    </xf>
    <xf numFmtId="164" fontId="7" fillId="0" borderId="18" xfId="1" applyFont="1" applyFill="1" applyBorder="1" applyAlignment="1">
      <alignment horizontal="right"/>
    </xf>
    <xf numFmtId="4" fontId="4" fillId="0" borderId="24" xfId="1" applyNumberFormat="1" applyFont="1" applyFill="1" applyBorder="1"/>
    <xf numFmtId="165" fontId="7" fillId="0" borderId="35" xfId="0" applyNumberFormat="1" applyFont="1" applyFill="1" applyBorder="1"/>
    <xf numFmtId="165" fontId="7" fillId="0" borderId="40" xfId="0" applyNumberFormat="1" applyFont="1" applyFill="1" applyBorder="1"/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3" borderId="3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</cellXfs>
  <cellStyles count="4"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okj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1">
          <cell r="D11">
            <v>4.5599999999999996</v>
          </cell>
          <cell r="F11">
            <v>4.0999999999999996</v>
          </cell>
        </row>
        <row r="12">
          <cell r="D12">
            <v>3.42</v>
          </cell>
          <cell r="F12">
            <v>2.91</v>
          </cell>
        </row>
        <row r="13">
          <cell r="D13">
            <v>5.13</v>
          </cell>
          <cell r="F13">
            <v>4.7</v>
          </cell>
        </row>
        <row r="32">
          <cell r="D32">
            <v>29.1</v>
          </cell>
        </row>
        <row r="36">
          <cell r="D36">
            <v>20</v>
          </cell>
        </row>
        <row r="37">
          <cell r="D37">
            <v>18.5</v>
          </cell>
        </row>
      </sheetData>
      <sheetData sheetId="1"/>
      <sheetData sheetId="2"/>
      <sheetData sheetId="3">
        <row r="1">
          <cell r="C1">
            <v>1.07973174366617</v>
          </cell>
        </row>
        <row r="13">
          <cell r="C13">
            <v>2</v>
          </cell>
        </row>
        <row r="37">
          <cell r="E37">
            <v>1E-3</v>
          </cell>
        </row>
        <row r="38">
          <cell r="C38">
            <v>25</v>
          </cell>
          <cell r="D38">
            <v>0.06</v>
          </cell>
        </row>
      </sheetData>
      <sheetData sheetId="4">
        <row r="12">
          <cell r="H12">
            <v>0.40063917525773196</v>
          </cell>
        </row>
        <row r="13">
          <cell r="H13">
            <v>0.37914146341463423</v>
          </cell>
        </row>
        <row r="14">
          <cell r="H14">
            <v>0.37208297872340423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nad 2016"/>
      <sheetName val="Driftskostnader"/>
    </sheetNames>
    <sheetDataSet>
      <sheetData sheetId="0">
        <row r="7">
          <cell r="C7">
            <v>1</v>
          </cell>
        </row>
        <row r="23">
          <cell r="J23">
            <v>49.723572253833943</v>
          </cell>
          <cell r="K23">
            <v>40.359211993992034</v>
          </cell>
          <cell r="L23">
            <v>44.008142702110867</v>
          </cell>
          <cell r="M23">
            <v>35.077053584773488</v>
          </cell>
          <cell r="P23">
            <v>46.073624330037603</v>
          </cell>
          <cell r="Q23">
            <v>38.5534282731901</v>
          </cell>
          <cell r="U23">
            <v>46.557902147434071</v>
          </cell>
          <cell r="V23">
            <v>43.487426117514666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1"/>
  <sheetViews>
    <sheetView tabSelected="1" topLeftCell="E4" workbookViewId="0">
      <selection activeCell="R34" sqref="R34"/>
    </sheetView>
  </sheetViews>
  <sheetFormatPr baseColWidth="10" defaultRowHeight="15" x14ac:dyDescent="0.25"/>
  <cols>
    <col min="1" max="1" width="16.85546875" customWidth="1"/>
    <col min="2" max="2" width="14.42578125" customWidth="1"/>
    <col min="7" max="7" width="34.5703125" customWidth="1"/>
    <col min="8" max="8" width="14.7109375" customWidth="1"/>
    <col min="9" max="9" width="19.140625" customWidth="1"/>
    <col min="10" max="10" width="15" bestFit="1" customWidth="1"/>
    <col min="11" max="11" width="15.28515625" customWidth="1"/>
    <col min="12" max="12" width="15.7109375" customWidth="1"/>
    <col min="13" max="13" width="13.42578125" customWidth="1"/>
    <col min="14" max="14" width="13.7109375" bestFit="1" customWidth="1"/>
    <col min="15" max="15" width="13.42578125" customWidth="1"/>
    <col min="16" max="16" width="13.7109375" bestFit="1" customWidth="1"/>
    <col min="17" max="17" width="24.42578125" customWidth="1"/>
    <col min="18" max="18" width="42.42578125" customWidth="1"/>
  </cols>
  <sheetData>
    <row r="3" spans="1:18" ht="15.75" thickBot="1" x14ac:dyDescent="0.3"/>
    <row r="4" spans="1:18" ht="15.75" thickBot="1" x14ac:dyDescent="0.3">
      <c r="A4" s="20"/>
      <c r="B4" s="20" t="s">
        <v>29</v>
      </c>
      <c r="C4" s="21"/>
      <c r="D4" s="28"/>
      <c r="E4" s="28"/>
      <c r="G4" s="87" t="s">
        <v>44</v>
      </c>
      <c r="H4" s="88"/>
      <c r="I4" s="147" t="s">
        <v>31</v>
      </c>
      <c r="J4" s="148"/>
      <c r="K4" s="149" t="s">
        <v>49</v>
      </c>
      <c r="L4" s="149"/>
      <c r="M4" s="147" t="s">
        <v>32</v>
      </c>
      <c r="N4" s="148"/>
      <c r="O4" s="147" t="s">
        <v>33</v>
      </c>
      <c r="P4" s="148"/>
      <c r="Q4" s="24"/>
      <c r="R4" s="24"/>
    </row>
    <row r="5" spans="1:18" x14ac:dyDescent="0.25">
      <c r="A5" s="20" t="s">
        <v>26</v>
      </c>
      <c r="B5" t="s">
        <v>25</v>
      </c>
      <c r="C5">
        <f>'[1]byggetid levetid rente'!$C$13</f>
        <v>2</v>
      </c>
      <c r="F5" s="23"/>
      <c r="G5" s="130"/>
      <c r="H5" s="131" t="s">
        <v>3</v>
      </c>
      <c r="I5" s="61"/>
      <c r="J5" s="86"/>
      <c r="K5" s="67"/>
      <c r="L5" s="68"/>
      <c r="M5" s="67"/>
      <c r="N5" s="68"/>
      <c r="O5" s="61"/>
      <c r="P5" s="62"/>
      <c r="Q5" s="24"/>
      <c r="R5" s="24"/>
    </row>
    <row r="6" spans="1:18" x14ac:dyDescent="0.25">
      <c r="A6" s="20" t="s">
        <v>27</v>
      </c>
      <c r="B6" t="s">
        <v>25</v>
      </c>
      <c r="C6" s="27">
        <f>'[1]byggetid levetid rente'!$C$38</f>
        <v>25</v>
      </c>
      <c r="F6" s="23"/>
      <c r="G6" s="25" t="s">
        <v>4</v>
      </c>
      <c r="H6" s="64" t="s">
        <v>41</v>
      </c>
      <c r="I6" s="63">
        <v>10</v>
      </c>
      <c r="J6" s="78">
        <v>30</v>
      </c>
      <c r="K6" s="69">
        <v>10</v>
      </c>
      <c r="L6" s="26">
        <v>30</v>
      </c>
      <c r="M6" s="69">
        <v>10</v>
      </c>
      <c r="N6" s="26">
        <v>30</v>
      </c>
      <c r="O6" s="63">
        <v>10</v>
      </c>
      <c r="P6" s="64">
        <v>30</v>
      </c>
      <c r="Q6" s="30" t="s">
        <v>21</v>
      </c>
      <c r="R6" s="30" t="s">
        <v>20</v>
      </c>
    </row>
    <row r="7" spans="1:18" s="38" customFormat="1" ht="15.75" thickBot="1" x14ac:dyDescent="0.3">
      <c r="A7" s="20" t="s">
        <v>30</v>
      </c>
      <c r="B7" t="s">
        <v>28</v>
      </c>
      <c r="C7" s="29">
        <f>'[1]byggetid levetid rente'!$D$38</f>
        <v>0.06</v>
      </c>
      <c r="D7"/>
      <c r="E7"/>
      <c r="F7" s="23"/>
      <c r="G7" s="3" t="s">
        <v>48</v>
      </c>
      <c r="H7" s="80"/>
      <c r="I7" s="79"/>
      <c r="J7" s="7"/>
      <c r="K7" s="81">
        <f>K6*0.25</f>
        <v>2.5</v>
      </c>
      <c r="L7" s="81">
        <f>L6*0.25</f>
        <v>7.5</v>
      </c>
      <c r="M7" s="81"/>
      <c r="N7" s="82"/>
      <c r="O7" s="79"/>
      <c r="P7" s="80"/>
      <c r="Q7" s="83"/>
      <c r="R7" s="83"/>
    </row>
    <row r="8" spans="1:18" ht="15.75" thickBot="1" x14ac:dyDescent="0.3">
      <c r="A8" s="20" t="s">
        <v>56</v>
      </c>
      <c r="B8" t="s">
        <v>28</v>
      </c>
      <c r="C8" s="76">
        <f>'[1]byggetid levetid rente'!$E$37</f>
        <v>1E-3</v>
      </c>
      <c r="F8" s="9"/>
      <c r="G8" s="1" t="s">
        <v>5</v>
      </c>
      <c r="H8" s="132" t="s">
        <v>6</v>
      </c>
      <c r="I8" s="96">
        <v>5600</v>
      </c>
      <c r="J8" s="97">
        <v>5600</v>
      </c>
      <c r="K8" s="98">
        <v>5600</v>
      </c>
      <c r="L8" s="99">
        <v>5600</v>
      </c>
      <c r="M8" s="98">
        <v>5600</v>
      </c>
      <c r="N8" s="99">
        <v>5600</v>
      </c>
      <c r="O8" s="96">
        <v>5600</v>
      </c>
      <c r="P8" s="100">
        <v>5600</v>
      </c>
      <c r="Q8" t="s">
        <v>55</v>
      </c>
    </row>
    <row r="9" spans="1:18" ht="30.75" thickBot="1" x14ac:dyDescent="0.3">
      <c r="A9" s="28"/>
      <c r="B9" s="47"/>
      <c r="C9" s="48"/>
      <c r="D9" s="9"/>
      <c r="E9" s="9"/>
      <c r="F9" s="9"/>
      <c r="G9" s="1" t="s">
        <v>37</v>
      </c>
      <c r="H9" s="132" t="s">
        <v>1</v>
      </c>
      <c r="I9" s="101">
        <v>0.89</v>
      </c>
      <c r="J9" s="102">
        <v>0.89</v>
      </c>
      <c r="K9" s="103">
        <f>I9*1.25</f>
        <v>1.1125</v>
      </c>
      <c r="L9" s="104">
        <f>J9*1.25</f>
        <v>1.1125</v>
      </c>
      <c r="M9" s="103">
        <v>0.9</v>
      </c>
      <c r="N9" s="104">
        <v>0.9</v>
      </c>
      <c r="O9" s="101">
        <v>0.91</v>
      </c>
      <c r="P9" s="105">
        <v>0.91</v>
      </c>
      <c r="Q9" t="s">
        <v>55</v>
      </c>
      <c r="R9" s="144" t="s">
        <v>58</v>
      </c>
    </row>
    <row r="10" spans="1:18" ht="15.75" thickBot="1" x14ac:dyDescent="0.3">
      <c r="A10" s="28"/>
      <c r="B10" s="47"/>
      <c r="C10" s="49"/>
      <c r="F10" s="9"/>
      <c r="G10" s="1" t="s">
        <v>38</v>
      </c>
      <c r="H10" s="132" t="s">
        <v>1</v>
      </c>
      <c r="I10" s="101">
        <f>I9/$C$15*$C$14</f>
        <v>0.757280701754386</v>
      </c>
      <c r="J10" s="102">
        <f>J9/$C$15*$C$14</f>
        <v>0.757280701754386</v>
      </c>
      <c r="K10" s="106">
        <f t="shared" ref="K10:L10" si="0">K9/$C$15*$C$14</f>
        <v>0.94660087719298258</v>
      </c>
      <c r="L10" s="104">
        <f t="shared" si="0"/>
        <v>0.94660087719298258</v>
      </c>
      <c r="M10" s="103">
        <f>M9/$D$15*$D$14</f>
        <v>0.80921052631578949</v>
      </c>
      <c r="N10" s="104">
        <f>N9/$D$15*$D$14</f>
        <v>0.80921052631578949</v>
      </c>
      <c r="O10" s="101">
        <f>O9/$E$15*$E$14</f>
        <v>0.83372319688109175</v>
      </c>
      <c r="P10" s="105">
        <f>P9/$E$15*$E$14</f>
        <v>0.83372319688109175</v>
      </c>
      <c r="R10" s="144"/>
    </row>
    <row r="11" spans="1:18" x14ac:dyDescent="0.25">
      <c r="F11" s="9"/>
      <c r="G11" s="1" t="s">
        <v>7</v>
      </c>
      <c r="H11" s="133" t="s">
        <v>1</v>
      </c>
      <c r="I11" s="101">
        <v>0.24</v>
      </c>
      <c r="J11" s="102">
        <v>0.28999999999999998</v>
      </c>
      <c r="K11" s="103">
        <f>I11*(1-0.045)/1.25</f>
        <v>0.18336</v>
      </c>
      <c r="L11" s="103">
        <f>J11*(1-0.045)/1.25</f>
        <v>0.22155999999999998</v>
      </c>
      <c r="M11" s="103">
        <v>0.24</v>
      </c>
      <c r="N11" s="104">
        <v>0.28999999999999998</v>
      </c>
      <c r="O11" s="101">
        <v>0.24</v>
      </c>
      <c r="P11" s="105">
        <v>0.28999999999999998</v>
      </c>
      <c r="Q11" t="s">
        <v>55</v>
      </c>
      <c r="R11" s="144"/>
    </row>
    <row r="12" spans="1:18" x14ac:dyDescent="0.25">
      <c r="B12" s="9"/>
      <c r="C12" s="9"/>
      <c r="D12" s="9"/>
      <c r="E12" s="9"/>
      <c r="F12" s="9"/>
      <c r="G12" s="3" t="s">
        <v>8</v>
      </c>
      <c r="H12" s="134"/>
      <c r="I12" s="3"/>
      <c r="J12" s="72"/>
      <c r="K12" s="73"/>
      <c r="L12" s="74"/>
      <c r="M12" s="73"/>
      <c r="N12" s="74"/>
      <c r="O12" s="3"/>
      <c r="P12" s="75"/>
      <c r="R12" s="144"/>
    </row>
    <row r="13" spans="1:18" x14ac:dyDescent="0.25">
      <c r="A13" s="35"/>
      <c r="B13" s="35"/>
      <c r="C13" s="36" t="s">
        <v>31</v>
      </c>
      <c r="D13" s="36" t="s">
        <v>32</v>
      </c>
      <c r="E13" s="37" t="s">
        <v>33</v>
      </c>
      <c r="F13" s="22"/>
      <c r="G13" s="4" t="s">
        <v>39</v>
      </c>
      <c r="H13" s="80" t="s">
        <v>42</v>
      </c>
      <c r="I13" s="59">
        <f>15100*C19</f>
        <v>16303.949329359166</v>
      </c>
      <c r="J13" s="70">
        <f>11700*C19</f>
        <v>12632.86140089419</v>
      </c>
      <c r="K13" s="53">
        <f>I13+((4+3+3)*10^6*1.2)/(K6*10^3)-10</f>
        <v>17493.949329359166</v>
      </c>
      <c r="L13" s="54">
        <f>J13+(2*(4+3+3)*10^6*1.2)/(L6*1.25*10^3)-2.5</f>
        <v>13270.36140089419</v>
      </c>
      <c r="M13" s="53">
        <f>14300*C19</f>
        <v>15440.163934426231</v>
      </c>
      <c r="N13" s="54">
        <f>11300*C19</f>
        <v>12200.968703427721</v>
      </c>
      <c r="O13" s="59">
        <f>13500*C19</f>
        <v>14576.378539493295</v>
      </c>
      <c r="P13" s="65">
        <f>10100*C19</f>
        <v>10905.290611028317</v>
      </c>
      <c r="Q13" s="150" t="s">
        <v>55</v>
      </c>
      <c r="R13" s="146" t="s">
        <v>45</v>
      </c>
    </row>
    <row r="14" spans="1:18" x14ac:dyDescent="0.25">
      <c r="A14" s="35" t="s">
        <v>34</v>
      </c>
      <c r="B14" s="38" t="s">
        <v>50</v>
      </c>
      <c r="C14" s="39">
        <f>'[1]Brennverdier og priser'!$F$12</f>
        <v>2.91</v>
      </c>
      <c r="D14" s="40">
        <f>'[1]Brennverdier og priser'!$F$11</f>
        <v>4.0999999999999996</v>
      </c>
      <c r="E14" s="40">
        <f>'[1]Brennverdier og priser'!$F$13</f>
        <v>4.7</v>
      </c>
      <c r="F14" s="22"/>
      <c r="G14" s="4" t="s">
        <v>40</v>
      </c>
      <c r="H14" s="80" t="s">
        <v>42</v>
      </c>
      <c r="I14" s="107">
        <f>40*C19</f>
        <v>43.189269746646801</v>
      </c>
      <c r="J14" s="108">
        <f>10*C19</f>
        <v>10.7973174366617</v>
      </c>
      <c r="K14" s="109">
        <f>I14+10</f>
        <v>53.189269746646801</v>
      </c>
      <c r="L14" s="110">
        <f>J14+2.5</f>
        <v>13.2973174366617</v>
      </c>
      <c r="M14" s="109">
        <f>40*C19</f>
        <v>43.189269746646801</v>
      </c>
      <c r="N14" s="110">
        <f>10*C19</f>
        <v>10.7973174366617</v>
      </c>
      <c r="O14" s="107">
        <f>40*C19</f>
        <v>43.189269746646801</v>
      </c>
      <c r="P14" s="111">
        <f>10*C19</f>
        <v>10.7973174366617</v>
      </c>
      <c r="Q14" s="150"/>
      <c r="R14" s="146"/>
    </row>
    <row r="15" spans="1:18" x14ac:dyDescent="0.25">
      <c r="A15" s="41" t="s">
        <v>35</v>
      </c>
      <c r="B15" s="38" t="s">
        <v>51</v>
      </c>
      <c r="C15" s="40">
        <f>'[1]Brennverdier og priser'!$D$12</f>
        <v>3.42</v>
      </c>
      <c r="D15" s="42">
        <f>'[1]Brennverdier og priser'!$D$11</f>
        <v>4.5599999999999996</v>
      </c>
      <c r="E15" s="42">
        <f>'[1]Brennverdier og priser'!$D$13</f>
        <v>5.13</v>
      </c>
      <c r="F15" s="22"/>
      <c r="G15" s="5" t="s">
        <v>9</v>
      </c>
      <c r="H15" s="80" t="s">
        <v>42</v>
      </c>
      <c r="I15" s="59">
        <f>SUM(I13:I14)*(((1+($C$7))*((1+$C$7)^($C$5)-1))/($C$7*$C$5))-SUM(I13:I14)</f>
        <v>1500.6673233979382</v>
      </c>
      <c r="J15" s="70">
        <f t="shared" ref="J15:P15" si="1">SUM(J13:J14)*(((1+($C$7))*((1+$C$7)^($C$5)-1))/($C$7*$C$5))-SUM(J13:J14)</f>
        <v>1160.6878703427901</v>
      </c>
      <c r="K15" s="53">
        <f>SUM(K13:K14)*(((1+($C$7))*((1+$C$7)^($C$5)-1))/($C$7*$C$5))-SUM(K13:K14)</f>
        <v>1610.827323397938</v>
      </c>
      <c r="L15" s="54">
        <f t="shared" si="1"/>
        <v>1219.4398703427905</v>
      </c>
      <c r="M15" s="53">
        <f t="shared" si="1"/>
        <v>1421.3718241430925</v>
      </c>
      <c r="N15" s="54">
        <f t="shared" si="1"/>
        <v>1121.0401207153682</v>
      </c>
      <c r="O15" s="59">
        <f t="shared" si="1"/>
        <v>1342.0763248882467</v>
      </c>
      <c r="P15" s="65">
        <f t="shared" si="1"/>
        <v>1002.0968718331005</v>
      </c>
      <c r="R15" s="144"/>
    </row>
    <row r="16" spans="1:18" x14ac:dyDescent="0.25">
      <c r="A16" s="35" t="s">
        <v>36</v>
      </c>
      <c r="B16" s="38" t="s">
        <v>52</v>
      </c>
      <c r="C16" s="39">
        <f>'[1]Brennverdier og priser'!$D$37</f>
        <v>18.5</v>
      </c>
      <c r="D16" s="39">
        <f>'[1]Brennverdier og priser'!$D$36</f>
        <v>20</v>
      </c>
      <c r="E16" s="39">
        <f>'[1]Brennverdier og priser'!$D$32</f>
        <v>29.1</v>
      </c>
      <c r="G16" s="2" t="s">
        <v>10</v>
      </c>
      <c r="H16" s="135" t="s">
        <v>42</v>
      </c>
      <c r="I16" s="60">
        <f t="shared" ref="I16:P16" si="2">SUM(I13:I15)</f>
        <v>17847.80592250375</v>
      </c>
      <c r="J16" s="71">
        <f t="shared" si="2"/>
        <v>13804.346588673641</v>
      </c>
      <c r="K16" s="55">
        <f>SUM(K13:K15)</f>
        <v>19157.96592250375</v>
      </c>
      <c r="L16" s="31">
        <f t="shared" si="2"/>
        <v>14503.098588673642</v>
      </c>
      <c r="M16" s="55">
        <f t="shared" si="2"/>
        <v>16904.72502831597</v>
      </c>
      <c r="N16" s="31">
        <f t="shared" si="2"/>
        <v>13332.806141579751</v>
      </c>
      <c r="O16" s="60">
        <f t="shared" si="2"/>
        <v>15961.644134128188</v>
      </c>
      <c r="P16" s="66">
        <f t="shared" si="2"/>
        <v>11918.184800298079</v>
      </c>
      <c r="R16" s="144"/>
    </row>
    <row r="17" spans="1:18" ht="30" x14ac:dyDescent="0.25">
      <c r="A17" s="20" t="s">
        <v>11</v>
      </c>
      <c r="B17" s="38" t="s">
        <v>52</v>
      </c>
      <c r="C17" s="94">
        <f>'[1]NOX avgift'!$H$12</f>
        <v>0.40063917525773196</v>
      </c>
      <c r="D17" s="94">
        <f>'[1]NOX avgift'!$H$13</f>
        <v>0.37914146341463423</v>
      </c>
      <c r="E17" s="94">
        <f>'[1]NOX avgift'!$H$14</f>
        <v>0.37208297872340423</v>
      </c>
      <c r="G17" s="2" t="s">
        <v>0</v>
      </c>
      <c r="H17" s="135" t="s">
        <v>43</v>
      </c>
      <c r="I17" s="112">
        <f>670*C19</f>
        <v>723.42026825633388</v>
      </c>
      <c r="J17" s="113">
        <f>260*C19</f>
        <v>280.7302533532042</v>
      </c>
      <c r="K17" s="114">
        <f>I17+(800000*1.2/4)/(10*1.25*10^3)</f>
        <v>742.62026825633393</v>
      </c>
      <c r="L17" s="115">
        <f>J17+(2*800000*1.2/4)/(30*1.25*10^3)</f>
        <v>293.53025335320422</v>
      </c>
      <c r="M17" s="114">
        <f>670*C19</f>
        <v>723.42026825633388</v>
      </c>
      <c r="N17" s="115">
        <f>260*C19</f>
        <v>280.7302533532042</v>
      </c>
      <c r="O17" s="112">
        <f>360*C19</f>
        <v>388.70342771982121</v>
      </c>
      <c r="P17" s="116">
        <f>180*C19</f>
        <v>194.3517138599106</v>
      </c>
      <c r="Q17" t="s">
        <v>55</v>
      </c>
      <c r="R17" s="144" t="s">
        <v>45</v>
      </c>
    </row>
    <row r="18" spans="1:18" x14ac:dyDescent="0.25">
      <c r="G18" s="136" t="s">
        <v>53</v>
      </c>
      <c r="H18" s="82" t="s">
        <v>54</v>
      </c>
      <c r="I18" s="126">
        <f>1/I9</f>
        <v>1.1235955056179776</v>
      </c>
      <c r="J18" s="123">
        <f t="shared" ref="J18:P18" si="3">1/J9</f>
        <v>1.1235955056179776</v>
      </c>
      <c r="K18" s="126">
        <f t="shared" si="3"/>
        <v>0.898876404494382</v>
      </c>
      <c r="L18" s="123">
        <f t="shared" si="3"/>
        <v>0.898876404494382</v>
      </c>
      <c r="M18" s="126">
        <f t="shared" si="3"/>
        <v>1.1111111111111112</v>
      </c>
      <c r="N18" s="123">
        <f t="shared" si="3"/>
        <v>1.1111111111111112</v>
      </c>
      <c r="O18" s="126">
        <f t="shared" si="3"/>
        <v>1.0989010989010988</v>
      </c>
      <c r="P18" s="129">
        <f t="shared" si="3"/>
        <v>1.0989010989010988</v>
      </c>
      <c r="R18" s="144"/>
    </row>
    <row r="19" spans="1:18" x14ac:dyDescent="0.25">
      <c r="A19" s="20" t="s">
        <v>47</v>
      </c>
      <c r="B19" s="9" t="s">
        <v>46</v>
      </c>
      <c r="C19" s="77">
        <f>'[1]byggetid levetid rente'!$C$1</f>
        <v>1.07973174366617</v>
      </c>
      <c r="G19" s="6" t="s">
        <v>36</v>
      </c>
      <c r="H19" s="95" t="s">
        <v>52</v>
      </c>
      <c r="I19" s="56">
        <f>$C$16</f>
        <v>18.5</v>
      </c>
      <c r="J19" s="124">
        <f t="shared" ref="J19:L19" si="4">$C$16</f>
        <v>18.5</v>
      </c>
      <c r="K19" s="56">
        <f t="shared" si="4"/>
        <v>18.5</v>
      </c>
      <c r="L19" s="124">
        <f t="shared" si="4"/>
        <v>18.5</v>
      </c>
      <c r="M19" s="56">
        <f>$D$16</f>
        <v>20</v>
      </c>
      <c r="N19" s="127">
        <f>$D$16</f>
        <v>20</v>
      </c>
      <c r="O19" s="56">
        <f>$E$16</f>
        <v>29.1</v>
      </c>
      <c r="P19" s="32">
        <f>$E$16</f>
        <v>29.1</v>
      </c>
      <c r="R19" s="144"/>
    </row>
    <row r="20" spans="1:18" x14ac:dyDescent="0.25">
      <c r="G20" s="6" t="s">
        <v>11</v>
      </c>
      <c r="H20" s="95" t="s">
        <v>52</v>
      </c>
      <c r="I20" s="117">
        <v>0</v>
      </c>
      <c r="J20" s="123">
        <f t="shared" ref="J20:L20" si="5">$C$17</f>
        <v>0.40063917525773196</v>
      </c>
      <c r="K20" s="117">
        <v>0</v>
      </c>
      <c r="L20" s="123">
        <f t="shared" si="5"/>
        <v>0.40063917525773196</v>
      </c>
      <c r="M20" s="117">
        <v>0</v>
      </c>
      <c r="N20" s="128">
        <f>$D$17</f>
        <v>0.37914146341463423</v>
      </c>
      <c r="O20" s="117">
        <v>0</v>
      </c>
      <c r="P20" s="129">
        <f>$E$17</f>
        <v>0.37208297872340423</v>
      </c>
      <c r="R20" s="144"/>
    </row>
    <row r="21" spans="1:18" x14ac:dyDescent="0.25">
      <c r="G21" s="137" t="s">
        <v>12</v>
      </c>
      <c r="H21" s="138" t="s">
        <v>2</v>
      </c>
      <c r="I21" s="57">
        <f t="shared" ref="I21:N21" si="6">SUM(I19:I20)*I18</f>
        <v>20.786516853932586</v>
      </c>
      <c r="J21" s="125">
        <f t="shared" si="6"/>
        <v>21.236673230626668</v>
      </c>
      <c r="K21" s="57">
        <f t="shared" si="6"/>
        <v>16.629213483146067</v>
      </c>
      <c r="L21" s="125">
        <f t="shared" si="6"/>
        <v>16.989338584501333</v>
      </c>
      <c r="M21" s="57">
        <f>SUM(M19:M20)*M18</f>
        <v>22.222222222222221</v>
      </c>
      <c r="N21" s="125">
        <f t="shared" si="6"/>
        <v>22.64349051490515</v>
      </c>
      <c r="O21" s="57">
        <f>SUM(O19:O20)*O18</f>
        <v>31.978021978021975</v>
      </c>
      <c r="P21" s="33">
        <f>SUM(P19:P20)*P18</f>
        <v>32.386904372223519</v>
      </c>
      <c r="R21" s="144"/>
    </row>
    <row r="22" spans="1:18" ht="30.75" thickBot="1" x14ac:dyDescent="0.3">
      <c r="G22" s="2" t="s">
        <v>13</v>
      </c>
      <c r="H22" s="135" t="s">
        <v>2</v>
      </c>
      <c r="I22" s="118">
        <f>2.6*C19</f>
        <v>2.8073025335320421</v>
      </c>
      <c r="J22" s="119">
        <f>3.3*C19</f>
        <v>3.5631147540983608</v>
      </c>
      <c r="K22" s="120">
        <v>3.8</v>
      </c>
      <c r="L22" s="121">
        <v>4.5999999999999996</v>
      </c>
      <c r="M22" s="120">
        <f>2.5*C19</f>
        <v>2.699329359165425</v>
      </c>
      <c r="N22" s="121">
        <f>2.4*C19</f>
        <v>2.591356184798808</v>
      </c>
      <c r="O22" s="118">
        <f>2.3*C19</f>
        <v>2.4833830104321906</v>
      </c>
      <c r="P22" s="122">
        <f>2.1*C19</f>
        <v>2.267436661698957</v>
      </c>
      <c r="Q22" s="145" t="s">
        <v>55</v>
      </c>
      <c r="R22" s="144" t="s">
        <v>45</v>
      </c>
    </row>
    <row r="23" spans="1:18" ht="15.75" thickBot="1" x14ac:dyDescent="0.3">
      <c r="G23" s="8" t="s">
        <v>23</v>
      </c>
      <c r="H23" s="139" t="s">
        <v>2</v>
      </c>
      <c r="I23" s="141">
        <f>(I30+I31+I32+I33-I34*'[2]Kostnad 2016'!J23)/I35</f>
        <v>120.67293623973615</v>
      </c>
      <c r="J23" s="142">
        <f>(J30+J31+J32+J33-J34*'[2]Kostnad 2016'!K23)/J35</f>
        <v>84.085315036493753</v>
      </c>
      <c r="K23" s="141">
        <f>(K30+K31+K32+K33-K34*'[2]Kostnad 2016'!L23)/K35</f>
        <v>112.43038487387091</v>
      </c>
      <c r="L23" s="142">
        <f>(L30+L31+L32+L33-L34*'[2]Kostnad 2016'!M23)/L35</f>
        <v>77.453074339028291</v>
      </c>
      <c r="M23" s="141">
        <f>(M30+M31+M32+M33-M34*'[2]Kostnad 2016'!P23)/M35</f>
        <v>130.93282616853941</v>
      </c>
      <c r="N23" s="142">
        <f>(N30+N31+N32+N33-N34*'[2]Kostnad 2016'!Q23)/N35</f>
        <v>85.88645408630201</v>
      </c>
      <c r="O23" s="141">
        <f>(O30+O31+O32+O33-O34*'[2]Kostnad 2016'!U23)/O35</f>
        <v>133.70472586932857</v>
      </c>
      <c r="P23" s="142">
        <f>(P30+P31+P32+P33-P34*'[2]Kostnad 2016'!V23)/P35</f>
        <v>91.910680193837848</v>
      </c>
    </row>
    <row r="24" spans="1:18" ht="90" x14ac:dyDescent="0.25">
      <c r="G24" s="3" t="s">
        <v>22</v>
      </c>
      <c r="H24" s="134"/>
      <c r="I24" s="140">
        <v>0.92</v>
      </c>
      <c r="J24" s="140">
        <v>0.92</v>
      </c>
      <c r="K24" s="140">
        <v>0.92</v>
      </c>
      <c r="L24" s="140">
        <v>0.92</v>
      </c>
      <c r="M24" s="140">
        <v>0.92</v>
      </c>
      <c r="N24" s="140">
        <v>0.92</v>
      </c>
      <c r="O24" s="140">
        <v>0.92</v>
      </c>
      <c r="P24" s="140">
        <v>0.92</v>
      </c>
      <c r="Q24" s="144" t="s">
        <v>57</v>
      </c>
      <c r="R24" s="144" t="s">
        <v>59</v>
      </c>
    </row>
    <row r="25" spans="1:18" ht="15.75" thickBot="1" x14ac:dyDescent="0.3">
      <c r="G25" s="8" t="s">
        <v>24</v>
      </c>
      <c r="H25" s="139" t="s">
        <v>2</v>
      </c>
      <c r="I25" s="58">
        <f t="shared" ref="I25:O25" si="7">I23*I24</f>
        <v>111.01910134055726</v>
      </c>
      <c r="J25" s="34">
        <f t="shared" si="7"/>
        <v>77.358489833574254</v>
      </c>
      <c r="K25" s="58">
        <f t="shared" si="7"/>
        <v>103.43595408396124</v>
      </c>
      <c r="L25" s="34">
        <f t="shared" si="7"/>
        <v>71.256828391906026</v>
      </c>
      <c r="M25" s="58">
        <f t="shared" si="7"/>
        <v>120.45820007505625</v>
      </c>
      <c r="N25" s="34">
        <f t="shared" si="7"/>
        <v>79.015537759397859</v>
      </c>
      <c r="O25" s="58">
        <f t="shared" si="7"/>
        <v>123.00834779978229</v>
      </c>
      <c r="P25" s="34">
        <f t="shared" ref="P25" si="8">P23*P24</f>
        <v>84.557825778330823</v>
      </c>
    </row>
    <row r="26" spans="1:18" x14ac:dyDescent="0.25">
      <c r="J26" s="13"/>
      <c r="K26" s="13"/>
      <c r="L26" s="13"/>
      <c r="N26" s="13"/>
      <c r="P26" s="13"/>
    </row>
    <row r="27" spans="1:18" x14ac:dyDescent="0.25">
      <c r="G27" s="10"/>
      <c r="H27" s="11"/>
      <c r="I27" s="13"/>
      <c r="J27" s="13"/>
      <c r="K27" s="13"/>
      <c r="L27" s="13"/>
      <c r="M27" s="13"/>
      <c r="N27" s="13"/>
      <c r="O27" s="13"/>
      <c r="P27" s="13"/>
    </row>
    <row r="28" spans="1:18" x14ac:dyDescent="0.25">
      <c r="G28" s="9"/>
      <c r="H28" s="9"/>
      <c r="I28" s="143"/>
      <c r="J28" s="143"/>
      <c r="K28" s="143"/>
      <c r="L28" s="143"/>
      <c r="M28" s="143"/>
      <c r="N28" s="143"/>
      <c r="O28" s="143"/>
      <c r="P28" s="143"/>
    </row>
    <row r="29" spans="1:18" x14ac:dyDescent="0.25">
      <c r="G29" s="50" t="s">
        <v>14</v>
      </c>
      <c r="H29" s="51"/>
      <c r="I29" s="46"/>
      <c r="J29" s="46"/>
      <c r="K29" s="46"/>
      <c r="L29" s="46"/>
      <c r="M29" s="46"/>
      <c r="N29" s="46"/>
      <c r="O29" s="46"/>
      <c r="P29" s="46"/>
    </row>
    <row r="30" spans="1:18" x14ac:dyDescent="0.25">
      <c r="G30" s="14" t="str">
        <f>G12</f>
        <v>Investeringskostnader</v>
      </c>
      <c r="H30" s="15" t="s">
        <v>15</v>
      </c>
      <c r="I30" s="84">
        <f t="shared" ref="I30:P30" si="9">I16*100*1000*I6</f>
        <v>17847805922.50375</v>
      </c>
      <c r="J30" s="84">
        <f t="shared" si="9"/>
        <v>41413039766.020927</v>
      </c>
      <c r="K30" s="84">
        <f t="shared" si="9"/>
        <v>19157965922.50375</v>
      </c>
      <c r="L30" s="84">
        <f t="shared" si="9"/>
        <v>43509295766.020927</v>
      </c>
      <c r="M30" s="84">
        <f t="shared" si="9"/>
        <v>16904725028.315971</v>
      </c>
      <c r="N30" s="84">
        <f t="shared" si="9"/>
        <v>39998418424.739258</v>
      </c>
      <c r="O30" s="84">
        <f t="shared" si="9"/>
        <v>15961644134.128187</v>
      </c>
      <c r="P30" s="89">
        <f t="shared" si="9"/>
        <v>35754554400.894234</v>
      </c>
    </row>
    <row r="31" spans="1:18" x14ac:dyDescent="0.25">
      <c r="G31" s="16" t="str">
        <f>G17</f>
        <v>Faste driftskostnader</v>
      </c>
      <c r="H31" s="17" t="s">
        <v>15</v>
      </c>
      <c r="I31" s="85">
        <f t="shared" ref="I31:P31" si="10">-PV($C$7,$C$6,I17*100*1000*I6)</f>
        <v>9247738941.230793</v>
      </c>
      <c r="J31" s="85">
        <f t="shared" si="10"/>
        <v>10766024439.044806</v>
      </c>
      <c r="K31" s="85">
        <f t="shared" si="10"/>
        <v>9493179379.4695473</v>
      </c>
      <c r="L31" s="85">
        <f t="shared" si="10"/>
        <v>11256905315.522312</v>
      </c>
      <c r="M31" s="85">
        <f t="shared" si="10"/>
        <v>9247738941.230793</v>
      </c>
      <c r="N31" s="85">
        <f t="shared" si="10"/>
        <v>10766024439.044806</v>
      </c>
      <c r="O31" s="85">
        <f t="shared" si="10"/>
        <v>4968934356.4822168</v>
      </c>
      <c r="P31" s="90">
        <f t="shared" si="10"/>
        <v>7453401534.7233257</v>
      </c>
    </row>
    <row r="32" spans="1:18" x14ac:dyDescent="0.25">
      <c r="G32" s="16" t="str">
        <f>G22</f>
        <v>Variable kostnader eks brensel</v>
      </c>
      <c r="H32" s="17" t="s">
        <v>15</v>
      </c>
      <c r="I32" s="85">
        <f>-PV($C$7,$C$6,I9*I22*1000*I6*I8)</f>
        <v>1788595526.8066435</v>
      </c>
      <c r="J32" s="85">
        <f t="shared" ref="J32:P32" si="11">-PV($C$7,$C$6,J22*1000*J6*J8)</f>
        <v>7652158908.9826136</v>
      </c>
      <c r="K32" s="85">
        <f t="shared" si="11"/>
        <v>2720298190.4795184</v>
      </c>
      <c r="L32" s="85">
        <f t="shared" si="11"/>
        <v>9878977639.1098289</v>
      </c>
      <c r="M32" s="85">
        <f t="shared" si="11"/>
        <v>1932363360.8541956</v>
      </c>
      <c r="N32" s="85">
        <f t="shared" si="11"/>
        <v>5565206479.2600832</v>
      </c>
      <c r="O32" s="85">
        <f t="shared" si="11"/>
        <v>1777774291.9858592</v>
      </c>
      <c r="P32" s="90">
        <f t="shared" si="11"/>
        <v>4869555669.3525724</v>
      </c>
    </row>
    <row r="33" spans="7:16" x14ac:dyDescent="0.25">
      <c r="G33" s="16" t="str">
        <f>G21</f>
        <v>Brensels- og utslippskostnader</v>
      </c>
      <c r="H33" s="17" t="s">
        <v>15</v>
      </c>
      <c r="I33" s="85">
        <f>-PV($C$7,$C$6,I9*I21*1000*I6*I8)</f>
        <v>13243556979.966076</v>
      </c>
      <c r="J33" s="85">
        <f>-PV($C$7,$C$6,J9*J21*1000*J6*J8)</f>
        <v>40591085168.968338</v>
      </c>
      <c r="K33" s="85">
        <f t="shared" ref="K33:P33" si="12">-PV($C$7,$C$6,K9*K21*1000*K6*K8)</f>
        <v>13243556979.966076</v>
      </c>
      <c r="L33" s="85">
        <f t="shared" si="12"/>
        <v>40591085168.968338</v>
      </c>
      <c r="M33" s="85">
        <f t="shared" si="12"/>
        <v>14317358897.260622</v>
      </c>
      <c r="N33" s="85">
        <f t="shared" si="12"/>
        <v>43766322352.46286</v>
      </c>
      <c r="O33" s="85">
        <f t="shared" si="12"/>
        <v>20831757195.514202</v>
      </c>
      <c r="P33" s="85">
        <f t="shared" si="12"/>
        <v>63294358418.434326</v>
      </c>
    </row>
    <row r="34" spans="7:16" x14ac:dyDescent="0.25">
      <c r="G34" s="16" t="s">
        <v>16</v>
      </c>
      <c r="H34" s="17" t="s">
        <v>17</v>
      </c>
      <c r="I34" s="85">
        <f>-PV($C$7+$C$8,$C$6,I9*(1-I11)*1000*I6*I8)</f>
        <v>479645978.89350343</v>
      </c>
      <c r="J34" s="85">
        <f t="shared" ref="J34:P34" si="13">-PV($C$7+$C$8,$C$6,J9*(1-J11)*1000*J6*J8)</f>
        <v>1344270967.1620557</v>
      </c>
      <c r="K34" s="85">
        <f>-PV($C$7+$C$8,$C$6,K9*(1-K11)*1000*K6*K8)</f>
        <v>644240283.22959006</v>
      </c>
      <c r="L34" s="85">
        <f t="shared" si="13"/>
        <v>1842313893.7986455</v>
      </c>
      <c r="M34" s="85">
        <f t="shared" si="13"/>
        <v>485035259.55522823</v>
      </c>
      <c r="N34" s="85">
        <f t="shared" si="13"/>
        <v>1359375135.3324161</v>
      </c>
      <c r="O34" s="85">
        <f t="shared" si="13"/>
        <v>490424540.21695298</v>
      </c>
      <c r="P34" s="85">
        <f t="shared" si="13"/>
        <v>1374479303.5027761</v>
      </c>
    </row>
    <row r="35" spans="7:16" x14ac:dyDescent="0.25">
      <c r="G35" s="91" t="s">
        <v>18</v>
      </c>
      <c r="H35" s="92" t="s">
        <v>19</v>
      </c>
      <c r="I35" s="93">
        <f>-PV($C$7+$C$8,$C$6,I9*I11*1000*I6*I8)</f>
        <v>151467151.22952741</v>
      </c>
      <c r="J35" s="93">
        <f t="shared" ref="J35:P35" si="14">-PV($C$7+$C$8,$C$6,J9*J11*1000*J6*J8)</f>
        <v>549068423.20703697</v>
      </c>
      <c r="K35" s="93">
        <f t="shared" si="14"/>
        <v>144651129.42419869</v>
      </c>
      <c r="L35" s="93">
        <f t="shared" si="14"/>
        <v>524360344.16272026</v>
      </c>
      <c r="M35" s="93">
        <f t="shared" si="14"/>
        <v>153169029.33322999</v>
      </c>
      <c r="N35" s="93">
        <f t="shared" si="14"/>
        <v>555237731.33295858</v>
      </c>
      <c r="O35" s="93">
        <f t="shared" si="14"/>
        <v>154870907.43693253</v>
      </c>
      <c r="P35" s="93">
        <f t="shared" si="14"/>
        <v>561407039.45888031</v>
      </c>
    </row>
    <row r="36" spans="7:16" x14ac:dyDescent="0.25">
      <c r="G36" s="27"/>
      <c r="H36" s="52"/>
      <c r="I36" s="43"/>
      <c r="J36" s="43"/>
      <c r="K36" s="43"/>
      <c r="L36" s="43"/>
      <c r="M36" s="43"/>
      <c r="N36" s="43"/>
      <c r="O36" s="43"/>
      <c r="P36" s="43"/>
    </row>
    <row r="37" spans="7:16" x14ac:dyDescent="0.25">
      <c r="G37" s="10"/>
      <c r="H37" s="44"/>
      <c r="I37" s="12"/>
      <c r="J37" s="12"/>
      <c r="K37" s="12"/>
      <c r="L37" s="12"/>
      <c r="M37" s="12"/>
      <c r="N37" s="12"/>
      <c r="O37" s="12"/>
      <c r="P37" s="12"/>
    </row>
    <row r="38" spans="7:16" x14ac:dyDescent="0.25">
      <c r="G38" s="10"/>
      <c r="H38" s="44"/>
      <c r="I38" s="13"/>
      <c r="J38" s="13"/>
      <c r="K38" s="13"/>
      <c r="L38" s="13"/>
      <c r="M38" s="13"/>
      <c r="N38" s="13"/>
      <c r="O38" s="13"/>
      <c r="P38" s="13"/>
    </row>
    <row r="39" spans="7:16" x14ac:dyDescent="0.25">
      <c r="G39" s="19"/>
      <c r="H39" s="44"/>
      <c r="I39" s="18"/>
      <c r="J39" s="18"/>
      <c r="K39" s="18"/>
      <c r="L39" s="18"/>
      <c r="M39" s="18"/>
      <c r="N39" s="18"/>
      <c r="O39" s="18"/>
      <c r="P39" s="18"/>
    </row>
    <row r="40" spans="7:16" x14ac:dyDescent="0.25">
      <c r="G40" s="19"/>
      <c r="H40" s="44"/>
      <c r="I40" s="18"/>
      <c r="J40" s="18"/>
      <c r="K40" s="18"/>
      <c r="L40" s="18"/>
      <c r="M40" s="18"/>
      <c r="N40" s="18"/>
      <c r="O40" s="18"/>
      <c r="P40" s="18"/>
    </row>
    <row r="41" spans="7:16" x14ac:dyDescent="0.25">
      <c r="G41" s="27"/>
      <c r="H41" s="45"/>
      <c r="I41" s="43"/>
      <c r="J41" s="43"/>
      <c r="K41" s="43"/>
      <c r="L41" s="43"/>
      <c r="M41" s="43"/>
      <c r="N41" s="43"/>
      <c r="O41" s="43"/>
      <c r="P41" s="43"/>
    </row>
  </sheetData>
  <mergeCells count="6">
    <mergeCell ref="R13:R14"/>
    <mergeCell ref="I4:J4"/>
    <mergeCell ref="M4:N4"/>
    <mergeCell ref="O4:P4"/>
    <mergeCell ref="K4:L4"/>
    <mergeCell ref="Q13:Q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2017-02-27T13:43:23Z</dcterms:modified>
</cp:coreProperties>
</file>