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elles\Prosjekt\2016_Kostnadsrapport\Fase3\Regneark - MÅ IKKE FLYTTES\"/>
    </mc:Choice>
  </mc:AlternateContent>
  <bookViews>
    <workbookView xWindow="0" yWindow="0" windowWidth="19200" windowHeight="7575"/>
  </bookViews>
  <sheets>
    <sheet name="Kostnad 2016" sheetId="2" r:id="rId1"/>
    <sheet name="Driftskostnader" sheetId="3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2" i="2" l="1"/>
  <c r="S32" i="2" s="1"/>
  <c r="S19" i="2"/>
  <c r="S21" i="2" s="1"/>
  <c r="S33" i="2" s="1"/>
  <c r="S17" i="2"/>
  <c r="S31" i="2" s="1"/>
  <c r="S14" i="2"/>
  <c r="S13" i="2"/>
  <c r="S34" i="2"/>
  <c r="S18" i="2"/>
  <c r="S11" i="2"/>
  <c r="S15" i="2" l="1"/>
  <c r="S16" i="2" s="1"/>
  <c r="S30" i="2" s="1"/>
  <c r="S23" i="2" s="1"/>
  <c r="S25" i="2" s="1"/>
  <c r="C15" i="2"/>
  <c r="D8" i="2"/>
  <c r="C8" i="2"/>
  <c r="C4" i="2"/>
  <c r="C3" i="2"/>
  <c r="L18" i="2" l="1"/>
  <c r="I18" i="2"/>
  <c r="M8" i="2" l="1"/>
  <c r="L8" i="2"/>
  <c r="D7" i="3" l="1"/>
  <c r="E7" i="3"/>
  <c r="F7" i="3"/>
  <c r="G7" i="3"/>
  <c r="H7" i="3"/>
  <c r="I7" i="3"/>
  <c r="J7" i="3"/>
  <c r="K7" i="3"/>
  <c r="L7" i="3"/>
  <c r="M7" i="3"/>
  <c r="N7" i="3"/>
  <c r="O7" i="3"/>
  <c r="E6" i="3"/>
  <c r="E8" i="3" s="1"/>
  <c r="E17" i="3" s="1"/>
  <c r="F6" i="3"/>
  <c r="F8" i="3" s="1"/>
  <c r="F17" i="3" s="1"/>
  <c r="G6" i="3"/>
  <c r="G8" i="3" s="1"/>
  <c r="G17" i="3" s="1"/>
  <c r="H6" i="3"/>
  <c r="H8" i="3" s="1"/>
  <c r="H17" i="3" s="1"/>
  <c r="I6" i="3"/>
  <c r="J6" i="3"/>
  <c r="K6" i="3"/>
  <c r="L6" i="3"/>
  <c r="M6" i="3"/>
  <c r="N6" i="3"/>
  <c r="O6" i="3"/>
  <c r="D6" i="3"/>
  <c r="D8" i="3" s="1"/>
  <c r="D17" i="3" s="1"/>
  <c r="D18" i="3" s="1"/>
  <c r="O33" i="3"/>
  <c r="O34" i="3" s="1"/>
  <c r="O11" i="3" s="1"/>
  <c r="W17" i="2" s="1"/>
  <c r="N33" i="3"/>
  <c r="N34" i="3" s="1"/>
  <c r="N11" i="3" s="1"/>
  <c r="V17" i="2" s="1"/>
  <c r="M33" i="3"/>
  <c r="M34" i="3" s="1"/>
  <c r="M11" i="3" s="1"/>
  <c r="U17" i="2" s="1"/>
  <c r="L33" i="3"/>
  <c r="L34" i="3" s="1"/>
  <c r="L11" i="3" s="1"/>
  <c r="T17" i="2" s="1"/>
  <c r="K33" i="3"/>
  <c r="K34" i="3" s="1"/>
  <c r="K11" i="3" s="1"/>
  <c r="R17" i="2" s="1"/>
  <c r="J33" i="3"/>
  <c r="J34" i="3" s="1"/>
  <c r="J11" i="3" s="1"/>
  <c r="Q17" i="2" s="1"/>
  <c r="I33" i="3"/>
  <c r="I34" i="3" s="1"/>
  <c r="I11" i="3" s="1"/>
  <c r="P17" i="2" s="1"/>
  <c r="H33" i="3"/>
  <c r="H34" i="3" s="1"/>
  <c r="H11" i="3" s="1"/>
  <c r="O17" i="2" s="1"/>
  <c r="G33" i="3"/>
  <c r="G34" i="3" s="1"/>
  <c r="G11" i="3" s="1"/>
  <c r="N17" i="2" s="1"/>
  <c r="F33" i="3"/>
  <c r="F34" i="3" s="1"/>
  <c r="F11" i="3" s="1"/>
  <c r="K17" i="2" s="1"/>
  <c r="M17" i="2" s="1"/>
  <c r="E33" i="3"/>
  <c r="E34" i="3" s="1"/>
  <c r="E11" i="3" s="1"/>
  <c r="J17" i="2" s="1"/>
  <c r="L17" i="2" s="1"/>
  <c r="D33" i="3"/>
  <c r="D34" i="3" s="1"/>
  <c r="D11" i="3" s="1"/>
  <c r="I17" i="2" s="1"/>
  <c r="N8" i="3" l="1"/>
  <c r="N17" i="3" s="1"/>
  <c r="M8" i="3"/>
  <c r="M17" i="3" s="1"/>
  <c r="L8" i="3"/>
  <c r="L17" i="3" s="1"/>
  <c r="L18" i="3" s="1"/>
  <c r="K8" i="3"/>
  <c r="K17" i="3" s="1"/>
  <c r="K18" i="3" s="1"/>
  <c r="J8" i="3"/>
  <c r="J17" i="3" s="1"/>
  <c r="J18" i="3" s="1"/>
  <c r="E18" i="3"/>
  <c r="O8" i="3"/>
  <c r="O17" i="3" s="1"/>
  <c r="O18" i="3" s="1"/>
  <c r="I8" i="3"/>
  <c r="I17" i="3" s="1"/>
  <c r="I18" i="3" s="1"/>
  <c r="M18" i="3"/>
  <c r="N18" i="3"/>
  <c r="G18" i="3"/>
  <c r="H18" i="3"/>
  <c r="F18" i="3"/>
  <c r="E14" i="2" l="1"/>
  <c r="D14" i="2"/>
  <c r="C14" i="2"/>
  <c r="M20" i="2" l="1"/>
  <c r="K20" i="2"/>
  <c r="Q20" i="2"/>
  <c r="W20" i="2"/>
  <c r="J18" i="2"/>
  <c r="K18" i="2"/>
  <c r="M18" i="2"/>
  <c r="N18" i="2"/>
  <c r="O18" i="2"/>
  <c r="P18" i="2"/>
  <c r="Q18" i="2"/>
  <c r="R18" i="2"/>
  <c r="T18" i="2"/>
  <c r="U18" i="2"/>
  <c r="V18" i="2"/>
  <c r="W18" i="2"/>
  <c r="L10" i="2" l="1"/>
  <c r="M10" i="2" l="1"/>
  <c r="W14" i="2" l="1"/>
  <c r="N14" i="2"/>
  <c r="W13" i="2"/>
  <c r="N13" i="2"/>
  <c r="V14" i="2"/>
  <c r="V13" i="2"/>
  <c r="U14" i="2"/>
  <c r="U13" i="2"/>
  <c r="T14" i="2"/>
  <c r="T13" i="2"/>
  <c r="R14" i="2"/>
  <c r="R13" i="2"/>
  <c r="Q14" i="2"/>
  <c r="P14" i="2"/>
  <c r="O14" i="2"/>
  <c r="Q13" i="2"/>
  <c r="P13" i="2"/>
  <c r="O13" i="2"/>
  <c r="K14" i="2"/>
  <c r="M14" i="2" s="1"/>
  <c r="K13" i="2"/>
  <c r="M13" i="2" s="1"/>
  <c r="I13" i="2"/>
  <c r="J14" i="2"/>
  <c r="L14" i="2" s="1"/>
  <c r="J13" i="2"/>
  <c r="L13" i="2" s="1"/>
  <c r="I14" i="2"/>
  <c r="C12" i="2"/>
  <c r="C11" i="2"/>
  <c r="D9" i="3" s="1"/>
  <c r="D22" i="3" s="1"/>
  <c r="D23" i="3" s="1"/>
  <c r="D24" i="3" s="1"/>
  <c r="E9" i="3" l="1"/>
  <c r="E22" i="3" s="1"/>
  <c r="F9" i="3"/>
  <c r="F22" i="3" s="1"/>
  <c r="L11" i="2"/>
  <c r="M11" i="2"/>
  <c r="I11" i="2"/>
  <c r="K11" i="2"/>
  <c r="J11" i="2"/>
  <c r="F23" i="3" l="1"/>
  <c r="F24" i="3" s="1"/>
  <c r="F25" i="3" s="1"/>
  <c r="F10" i="3" s="1"/>
  <c r="K22" i="2" s="1"/>
  <c r="M22" i="2" s="1"/>
  <c r="E23" i="3"/>
  <c r="E24" i="3" s="1"/>
  <c r="E25" i="3" s="1"/>
  <c r="E10" i="3" s="1"/>
  <c r="J22" i="2" s="1"/>
  <c r="L22" i="2" s="1"/>
  <c r="D25" i="3"/>
  <c r="D13" i="2"/>
  <c r="E12" i="2"/>
  <c r="E11" i="2"/>
  <c r="D12" i="2"/>
  <c r="D11" i="2"/>
  <c r="D10" i="3" l="1"/>
  <c r="I22" i="2" s="1"/>
  <c r="K9" i="3"/>
  <c r="K22" i="3" s="1"/>
  <c r="N9" i="3"/>
  <c r="N22" i="3" s="1"/>
  <c r="M9" i="3"/>
  <c r="M22" i="3" s="1"/>
  <c r="O9" i="3"/>
  <c r="O22" i="3" s="1"/>
  <c r="L9" i="3"/>
  <c r="L22" i="3" s="1"/>
  <c r="I9" i="3"/>
  <c r="I22" i="3" s="1"/>
  <c r="H9" i="3"/>
  <c r="H22" i="3" s="1"/>
  <c r="J9" i="3"/>
  <c r="J22" i="3" s="1"/>
  <c r="G9" i="3"/>
  <c r="G22" i="3" s="1"/>
  <c r="O19" i="2"/>
  <c r="O21" i="2" s="1"/>
  <c r="P19" i="2"/>
  <c r="P21" i="2" s="1"/>
  <c r="N19" i="2"/>
  <c r="N21" i="2" s="1"/>
  <c r="Q19" i="2"/>
  <c r="Q21" i="2" s="1"/>
  <c r="N11" i="2"/>
  <c r="O11" i="2"/>
  <c r="P11" i="2"/>
  <c r="Q11" i="2"/>
  <c r="V11" i="2"/>
  <c r="R11" i="2"/>
  <c r="W11" i="2"/>
  <c r="T11" i="2"/>
  <c r="U11" i="2"/>
  <c r="H23" i="3" l="1"/>
  <c r="H24" i="3" s="1"/>
  <c r="H25" i="3" s="1"/>
  <c r="H10" i="3" s="1"/>
  <c r="O22" i="2" s="1"/>
  <c r="O23" i="3"/>
  <c r="O24" i="3" s="1"/>
  <c r="O25" i="3" s="1"/>
  <c r="O10" i="3" s="1"/>
  <c r="W22" i="2" s="1"/>
  <c r="G23" i="3"/>
  <c r="G24" i="3" s="1"/>
  <c r="G25" i="3" s="1"/>
  <c r="G10" i="3" s="1"/>
  <c r="N22" i="2" s="1"/>
  <c r="M23" i="3"/>
  <c r="M24" i="3" s="1"/>
  <c r="M25" i="3" s="1"/>
  <c r="M10" i="3" s="1"/>
  <c r="U22" i="2" s="1"/>
  <c r="J23" i="3"/>
  <c r="J24" i="3" s="1"/>
  <c r="J25" i="3" s="1"/>
  <c r="J10" i="3" s="1"/>
  <c r="Q22" i="2" s="1"/>
  <c r="L23" i="3"/>
  <c r="L24" i="3" s="1"/>
  <c r="L25" i="3" s="1"/>
  <c r="L10" i="3" s="1"/>
  <c r="T22" i="2" s="1"/>
  <c r="N23" i="3"/>
  <c r="N24" i="3" s="1"/>
  <c r="N25" i="3" s="1"/>
  <c r="N10" i="3" s="1"/>
  <c r="V22" i="2" s="1"/>
  <c r="I23" i="3"/>
  <c r="I24" i="3" s="1"/>
  <c r="I25" i="3" s="1"/>
  <c r="I10" i="3" s="1"/>
  <c r="P22" i="2" s="1"/>
  <c r="K23" i="3"/>
  <c r="K24" i="3" s="1"/>
  <c r="K25" i="3" s="1"/>
  <c r="K10" i="3" s="1"/>
  <c r="R22" i="2" s="1"/>
  <c r="E13" i="2" l="1"/>
  <c r="W19" i="2" l="1"/>
  <c r="W21" i="2" s="1"/>
  <c r="T19" i="2"/>
  <c r="T21" i="2" s="1"/>
  <c r="V19" i="2"/>
  <c r="V21" i="2" s="1"/>
  <c r="R19" i="2"/>
  <c r="R21" i="2" s="1"/>
  <c r="U19" i="2"/>
  <c r="U21" i="2" s="1"/>
  <c r="C13" i="2"/>
  <c r="L19" i="2" l="1"/>
  <c r="L21" i="2" s="1"/>
  <c r="M19" i="2"/>
  <c r="M21" i="2" s="1"/>
  <c r="J19" i="2"/>
  <c r="J21" i="2" s="1"/>
  <c r="I19" i="2"/>
  <c r="I21" i="2" s="1"/>
  <c r="K19" i="2"/>
  <c r="K21" i="2" s="1"/>
  <c r="L33" i="2" l="1"/>
  <c r="I33" i="2"/>
  <c r="V32" i="2"/>
  <c r="V31" i="2"/>
  <c r="V33" i="2"/>
  <c r="V34" i="2"/>
  <c r="L34" i="2"/>
  <c r="M32" i="2"/>
  <c r="L32" i="2"/>
  <c r="M34" i="2"/>
  <c r="M31" i="2"/>
  <c r="T33" i="2"/>
  <c r="L31" i="2"/>
  <c r="I31" i="2"/>
  <c r="M33" i="2"/>
  <c r="P33" i="2"/>
  <c r="K33" i="2"/>
  <c r="I32" i="2"/>
  <c r="U33" i="2"/>
  <c r="T32" i="2"/>
  <c r="Q34" i="2"/>
  <c r="O32" i="2"/>
  <c r="K34" i="2"/>
  <c r="R33" i="2"/>
  <c r="O34" i="2"/>
  <c r="K32" i="2"/>
  <c r="J33" i="2"/>
  <c r="U34" i="2"/>
  <c r="R32" i="2"/>
  <c r="O33" i="2"/>
  <c r="W34" i="2"/>
  <c r="U32" i="2"/>
  <c r="R34" i="2"/>
  <c r="Q33" i="2"/>
  <c r="P32" i="2"/>
  <c r="N34" i="2"/>
  <c r="J34" i="2"/>
  <c r="J32" i="2"/>
  <c r="W33" i="2"/>
  <c r="T34" i="2"/>
  <c r="Q32" i="2"/>
  <c r="N33" i="2"/>
  <c r="I34" i="2"/>
  <c r="W32" i="2"/>
  <c r="P34" i="2"/>
  <c r="N32" i="2"/>
  <c r="N15" i="2"/>
  <c r="N16" i="2" s="1"/>
  <c r="I15" i="2"/>
  <c r="I16" i="2" s="1"/>
  <c r="L15" i="2"/>
  <c r="L16" i="2" s="1"/>
  <c r="L30" i="2" s="1"/>
  <c r="J15" i="2"/>
  <c r="J16" i="2" s="1"/>
  <c r="M15" i="2"/>
  <c r="M16" i="2" s="1"/>
  <c r="M30" i="2" s="1"/>
  <c r="K15" i="2"/>
  <c r="K16" i="2" s="1"/>
  <c r="W31" i="2"/>
  <c r="K31" i="2"/>
  <c r="J31" i="2"/>
  <c r="Q31" i="2"/>
  <c r="P31" i="2"/>
  <c r="R31" i="2"/>
  <c r="U31" i="2"/>
  <c r="T31" i="2"/>
  <c r="O31" i="2"/>
  <c r="N31" i="2"/>
  <c r="Q15" i="2"/>
  <c r="Q16" i="2" s="1"/>
  <c r="Q30" i="2" s="1"/>
  <c r="Q23" i="2" s="1"/>
  <c r="W15" i="2"/>
  <c r="W16" i="2" s="1"/>
  <c r="W30" i="2" s="1"/>
  <c r="T15" i="2"/>
  <c r="T16" i="2" s="1"/>
  <c r="T30" i="2" s="1"/>
  <c r="P15" i="2"/>
  <c r="P16" i="2" s="1"/>
  <c r="P30" i="2" s="1"/>
  <c r="R15" i="2"/>
  <c r="V15" i="2"/>
  <c r="V16" i="2" s="1"/>
  <c r="V30" i="2" s="1"/>
  <c r="O15" i="2"/>
  <c r="O16" i="2" s="1"/>
  <c r="U15" i="2"/>
  <c r="U16" i="2" s="1"/>
  <c r="U30" i="2" s="1"/>
  <c r="R16" i="2" l="1"/>
  <c r="R30" i="2" s="1"/>
  <c r="R23" i="2" s="1"/>
  <c r="R25" i="2" s="1"/>
  <c r="L23" i="2"/>
  <c r="M23" i="2"/>
  <c r="I30" i="2"/>
  <c r="I23" i="2" s="1"/>
  <c r="O30" i="2"/>
  <c r="O23" i="2" s="1"/>
  <c r="O25" i="2" s="1"/>
  <c r="K30" i="2"/>
  <c r="K23" i="2" s="1"/>
  <c r="N30" i="2"/>
  <c r="J30" i="2"/>
  <c r="J23" i="2" s="1"/>
  <c r="T23" i="2"/>
  <c r="T25" i="2" s="1"/>
  <c r="P23" i="2"/>
  <c r="U23" i="2"/>
  <c r="U25" i="2" s="1"/>
  <c r="W23" i="2"/>
  <c r="V23" i="2"/>
  <c r="N23" i="2" l="1"/>
  <c r="N25" i="2" s="1"/>
  <c r="M25" i="2"/>
  <c r="L25" i="2"/>
  <c r="P25" i="2"/>
  <c r="Q25" i="2"/>
  <c r="V25" i="2"/>
  <c r="W25" i="2"/>
  <c r="J25" i="2"/>
  <c r="K25" i="2"/>
  <c r="I25" i="2"/>
  <c r="G33" i="2" l="1"/>
  <c r="G32" i="2"/>
  <c r="G31" i="2"/>
  <c r="G30" i="2"/>
</calcChain>
</file>

<file path=xl/comments1.xml><?xml version="1.0" encoding="utf-8"?>
<comments xmlns="http://schemas.openxmlformats.org/spreadsheetml/2006/main">
  <authors>
    <author>Maria Sidelnikova</author>
  </authors>
  <commentList>
    <comment ref="N11" authorId="0" shapeId="0">
      <text>
        <r>
          <rPr>
            <b/>
            <sz val="8"/>
            <color indexed="81"/>
            <rFont val="Tahoma"/>
            <family val="2"/>
          </rPr>
          <t>Maria Sidelnikova:</t>
        </r>
        <r>
          <rPr>
            <sz val="8"/>
            <color indexed="81"/>
            <rFont val="Tahoma"/>
            <family val="2"/>
          </rPr>
          <t xml:space="preserve">
Veiledende verdi for årsvirkningsgrad for boligblokker og yrkesbygninger i NS 3031:2014</t>
        </r>
      </text>
    </comment>
  </commentList>
</comments>
</file>

<file path=xl/sharedStrings.xml><?xml version="1.0" encoding="utf-8"?>
<sst xmlns="http://schemas.openxmlformats.org/spreadsheetml/2006/main" count="136" uniqueCount="98">
  <si>
    <t>Faste driftskostnader</t>
  </si>
  <si>
    <t>%</t>
  </si>
  <si>
    <t>øre/kWh</t>
  </si>
  <si>
    <t>Enhet</t>
  </si>
  <si>
    <t>Ytelse</t>
  </si>
  <si>
    <t xml:space="preserve">Fullasttimer </t>
  </si>
  <si>
    <t>timer/år</t>
  </si>
  <si>
    <t>Investeringskostnader</t>
  </si>
  <si>
    <t xml:space="preserve">Sum investeringskostnader </t>
  </si>
  <si>
    <t>NOx-avgift</t>
  </si>
  <si>
    <t>Brensels- og utslippskostnader</t>
  </si>
  <si>
    <t>Variable kostnader eks brensel</t>
  </si>
  <si>
    <t>Nåverdier</t>
  </si>
  <si>
    <t>øre</t>
  </si>
  <si>
    <t>Produsert varme</t>
  </si>
  <si>
    <t>kWhv</t>
  </si>
  <si>
    <t>Merknad</t>
  </si>
  <si>
    <t>Kilde</t>
  </si>
  <si>
    <t>Faktor for teknologiforbedring 2016 - 2035</t>
  </si>
  <si>
    <t>LCOE 2016</t>
  </si>
  <si>
    <t>LCOE 2035</t>
  </si>
  <si>
    <t>år</t>
  </si>
  <si>
    <t>Byggetid</t>
  </si>
  <si>
    <t>Levetid</t>
  </si>
  <si>
    <t>prosent/år</t>
  </si>
  <si>
    <t>enhet</t>
  </si>
  <si>
    <t>Diskonteringsrente</t>
  </si>
  <si>
    <t>MW</t>
  </si>
  <si>
    <t>kr/kW</t>
  </si>
  <si>
    <t>Biokjel</t>
  </si>
  <si>
    <t>Fuktig flis</t>
  </si>
  <si>
    <t>Tørr flis</t>
  </si>
  <si>
    <t>Pellets</t>
  </si>
  <si>
    <t>Forutsetninger</t>
  </si>
  <si>
    <t>Effektiv brennverdi</t>
  </si>
  <si>
    <t>Øvre brennverdi</t>
  </si>
  <si>
    <t>Brenselspris</t>
  </si>
  <si>
    <t>Opp til 10 MW</t>
  </si>
  <si>
    <t>Over 10 MW</t>
  </si>
  <si>
    <t>Virkningsgrad (effektiv brennverdi)</t>
  </si>
  <si>
    <t>Virkningsgrad (øvre brennverdi)</t>
  </si>
  <si>
    <t>Tørr flis, &lt; 35 % fukt</t>
  </si>
  <si>
    <t>Fuktig flis, &gt; 35 % fukt</t>
  </si>
  <si>
    <t>kr/kW /år</t>
  </si>
  <si>
    <t>Anleggskostnader</t>
  </si>
  <si>
    <t>Installasjon</t>
  </si>
  <si>
    <t xml:space="preserve">Byggetidsrenter     </t>
  </si>
  <si>
    <t>Inflasjon 2014-2016</t>
  </si>
  <si>
    <t>faktor</t>
  </si>
  <si>
    <t>Biokjel med røykgasskondensering</t>
  </si>
  <si>
    <t>Tilleggseffekt fra røykgasskondensering</t>
  </si>
  <si>
    <t>Spesifikt brenselsforbruk</t>
  </si>
  <si>
    <r>
      <t>øre/kWh</t>
    </r>
    <r>
      <rPr>
        <sz val="8"/>
        <rFont val="Calibri"/>
        <family val="2"/>
        <scheme val="minor"/>
      </rPr>
      <t>brensel</t>
    </r>
  </si>
  <si>
    <r>
      <t>kWh</t>
    </r>
    <r>
      <rPr>
        <sz val="8"/>
        <rFont val="Calibri"/>
        <family val="2"/>
        <scheme val="minor"/>
      </rPr>
      <t>brensel/</t>
    </r>
    <r>
      <rPr>
        <sz val="10"/>
        <rFont val="Calibri"/>
        <family val="2"/>
        <scheme val="minor"/>
      </rPr>
      <t>kWh</t>
    </r>
  </si>
  <si>
    <t>Spesifikt brenselforbruk</t>
  </si>
  <si>
    <t>kg/kWh</t>
  </si>
  <si>
    <t>Fuktig flis (50 %)</t>
  </si>
  <si>
    <t>Tørr flis (10 %)</t>
  </si>
  <si>
    <t>Enheter</t>
  </si>
  <si>
    <t>Virkningsgrad</t>
  </si>
  <si>
    <t>Produksjon</t>
  </si>
  <si>
    <t>kWh/år</t>
  </si>
  <si>
    <t>Personell</t>
  </si>
  <si>
    <t>kr/kW/år</t>
  </si>
  <si>
    <t xml:space="preserve">Faste driftskostnader </t>
  </si>
  <si>
    <t>Elkostnad=kraftpris+avgifter</t>
  </si>
  <si>
    <t>kr/år</t>
  </si>
  <si>
    <t>Vedlikehold</t>
  </si>
  <si>
    <t>Variable driftskostnader</t>
  </si>
  <si>
    <t>Askehåndtering</t>
  </si>
  <si>
    <t>person/år</t>
  </si>
  <si>
    <t>kr/tonn deponert aske</t>
  </si>
  <si>
    <t>Askedannelse</t>
  </si>
  <si>
    <r>
      <t>kWh</t>
    </r>
    <r>
      <rPr>
        <sz val="8"/>
        <rFont val="Calibri"/>
        <family val="2"/>
        <scheme val="minor"/>
      </rPr>
      <t>brensel/</t>
    </r>
    <r>
      <rPr>
        <sz val="11"/>
        <rFont val="Calibri"/>
        <family val="2"/>
        <scheme val="minor"/>
      </rPr>
      <t>kg</t>
    </r>
  </si>
  <si>
    <r>
      <t>kWh</t>
    </r>
    <r>
      <rPr>
        <sz val="8"/>
        <rFont val="Calibri"/>
        <family val="2"/>
        <scheme val="minor"/>
      </rPr>
      <t>brensel</t>
    </r>
    <r>
      <rPr>
        <sz val="11"/>
        <rFont val="Calibri"/>
        <family val="2"/>
        <scheme val="minor"/>
      </rPr>
      <t>/kg</t>
    </r>
  </si>
  <si>
    <r>
      <t xml:space="preserve">Justert opp fra </t>
    </r>
    <r>
      <rPr>
        <i/>
        <sz val="11"/>
        <color theme="1"/>
        <rFont val="Calibri"/>
        <family val="2"/>
        <scheme val="minor"/>
      </rPr>
      <t xml:space="preserve">Kostnader i energisektoren 2015 </t>
    </r>
    <r>
      <rPr>
        <sz val="11"/>
        <color theme="1"/>
        <rFont val="Calibri"/>
        <family val="2"/>
        <scheme val="minor"/>
      </rPr>
      <t>vha infasjonsindeks</t>
    </r>
  </si>
  <si>
    <t>Erfaringstall fra Norconsult og Calambio</t>
  </si>
  <si>
    <t>Degraderingsrente</t>
  </si>
  <si>
    <t>Nordic Energy technology perspectives 2016, s 231</t>
  </si>
  <si>
    <t>Bioen AS se ark "Driftskostnader"</t>
  </si>
  <si>
    <t xml:space="preserve">Detaljert grunnlag for drifts og vedlikeholdskostnader </t>
  </si>
  <si>
    <r>
      <t>øre/kWh</t>
    </r>
    <r>
      <rPr>
        <sz val="8"/>
        <color theme="1"/>
        <rFont val="Calibri"/>
        <family val="2"/>
        <scheme val="minor"/>
      </rPr>
      <t>el</t>
    </r>
  </si>
  <si>
    <t>Internt elforbruk</t>
  </si>
  <si>
    <t>% av produsert energi</t>
  </si>
  <si>
    <t>Elkostnader</t>
  </si>
  <si>
    <t>kr</t>
  </si>
  <si>
    <t>Elkostnader til internt bruk</t>
  </si>
  <si>
    <t>Kostnader for askehåndtering</t>
  </si>
  <si>
    <t>% av brensel</t>
  </si>
  <si>
    <t>Askemengde</t>
  </si>
  <si>
    <t>Brenselsforbruk</t>
  </si>
  <si>
    <t>tonn brensel/år</t>
  </si>
  <si>
    <t>tonn aske/år</t>
  </si>
  <si>
    <t>Dette er momentan virkningsgrad, årsvirkningsgrad er 5-10% lavere</t>
  </si>
  <si>
    <t>Biokjel er moden anlegg med begrenset potensial for reduksjon i investeringskostnader. Det er forutsatt forbedring i virkningsgraden med 2 prosentpoeng. Brenselskostnader er antatt konstante.</t>
  </si>
  <si>
    <t>inkl. mva.</t>
  </si>
  <si>
    <t>Mva</t>
  </si>
  <si>
    <t>prosent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</si>
</sst>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kr&quot;\ #,##0;[Red]&quot;kr&quot;\ \-#,##0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General_)"/>
    <numFmt numFmtId="165" formatCode="0.0"/>
    <numFmt numFmtId="166" formatCode="0.0\ %"/>
    <numFmt numFmtId="167" formatCode="_ * #,##0_ ;_ * \-#,##0_ ;_ * &quot;-&quot;??_ ;_ @_ "/>
    <numFmt numFmtId="168" formatCode="0.000"/>
    <numFmt numFmtId="169" formatCode="_ &quot;kr&quot;\ * #,##0_ ;_ &quot;kr&quot;\ * \-#,##0_ ;_ &quot;kr&quot;\ * &quot;-&quot;??_ ;_ @_ "/>
  </numFmts>
  <fonts count="4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Helv"/>
    </font>
    <font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FFFF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4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69923A"/>
        <bgColor rgb="FF000000"/>
      </patternFill>
    </fill>
    <fill>
      <patternFill patternType="solid">
        <fgColor rgb="FFFFFFFF"/>
        <bgColor rgb="FF000000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9">
    <xf numFmtId="0" fontId="0" fillId="0" borderId="0"/>
    <xf numFmtId="164" fontId="2" fillId="0" borderId="0"/>
    <xf numFmtId="43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8" fillId="0" borderId="0"/>
    <xf numFmtId="0" fontId="11" fillId="0" borderId="0" applyNumberFormat="0" applyFill="0" applyBorder="0" applyAlignment="0" applyProtection="0"/>
    <xf numFmtId="0" fontId="12" fillId="0" borderId="28" applyNumberFormat="0" applyFill="0" applyAlignment="0" applyProtection="0"/>
    <xf numFmtId="0" fontId="13" fillId="0" borderId="29" applyNumberFormat="0" applyFill="0" applyAlignment="0" applyProtection="0"/>
    <xf numFmtId="0" fontId="14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31" applyNumberFormat="0" applyAlignment="0" applyProtection="0"/>
    <xf numFmtId="0" fontId="19" fillId="8" borderId="32" applyNumberFormat="0" applyAlignment="0" applyProtection="0"/>
    <xf numFmtId="0" fontId="20" fillId="8" borderId="31" applyNumberFormat="0" applyAlignment="0" applyProtection="0"/>
    <xf numFmtId="0" fontId="21" fillId="0" borderId="33" applyNumberFormat="0" applyFill="0" applyAlignment="0" applyProtection="0"/>
    <xf numFmtId="0" fontId="10" fillId="9" borderId="34" applyNumberFormat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6" applyNumberFormat="0" applyFill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4" fillId="34" borderId="0" applyNumberFormat="0" applyBorder="0" applyAlignment="0" applyProtection="0"/>
    <xf numFmtId="0" fontId="4" fillId="0" borderId="0"/>
    <xf numFmtId="0" fontId="8" fillId="0" borderId="0"/>
    <xf numFmtId="0" fontId="8" fillId="10" borderId="35" applyNumberFormat="0" applyFont="0" applyAlignment="0" applyProtection="0"/>
    <xf numFmtId="0" fontId="8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10" borderId="35" applyNumberFormat="0" applyFont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80">
    <xf numFmtId="0" fontId="0" fillId="0" borderId="0" xfId="0"/>
    <xf numFmtId="166" fontId="0" fillId="0" borderId="0" xfId="3" applyNumberFormat="1" applyFont="1" applyBorder="1" applyAlignment="1">
      <alignment horizontal="center"/>
    </xf>
    <xf numFmtId="0" fontId="1" fillId="3" borderId="5" xfId="0" applyFont="1" applyFill="1" applyBorder="1" applyAlignment="1"/>
    <xf numFmtId="164" fontId="3" fillId="35" borderId="16" xfId="1" applyFont="1" applyFill="1" applyBorder="1"/>
    <xf numFmtId="164" fontId="3" fillId="0" borderId="16" xfId="1" applyFont="1" applyFill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3" borderId="0" xfId="0" applyFont="1" applyFill="1"/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/>
    <xf numFmtId="0" fontId="1" fillId="2" borderId="24" xfId="0" applyFont="1" applyFill="1" applyBorder="1"/>
    <xf numFmtId="0" fontId="1" fillId="2" borderId="2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6" fillId="0" borderId="0" xfId="0" applyFont="1"/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164" fontId="1" fillId="3" borderId="10" xfId="1" applyFont="1" applyFill="1" applyBorder="1" applyAlignment="1">
      <alignment horizontal="right"/>
    </xf>
    <xf numFmtId="164" fontId="1" fillId="3" borderId="0" xfId="1" applyFont="1" applyFill="1" applyBorder="1"/>
    <xf numFmtId="164" fontId="25" fillId="0" borderId="45" xfId="1" applyFont="1" applyFill="1" applyBorder="1"/>
    <xf numFmtId="0" fontId="1" fillId="2" borderId="24" xfId="0" applyFont="1" applyFill="1" applyBorder="1" applyAlignment="1">
      <alignment horizontal="center"/>
    </xf>
    <xf numFmtId="165" fontId="27" fillId="0" borderId="0" xfId="1" applyNumberFormat="1" applyFont="1" applyFill="1" applyBorder="1"/>
    <xf numFmtId="164" fontId="25" fillId="0" borderId="12" xfId="1" applyFont="1" applyFill="1" applyBorder="1"/>
    <xf numFmtId="0" fontId="1" fillId="2" borderId="37" xfId="0" applyFont="1" applyFill="1" applyBorder="1"/>
    <xf numFmtId="2" fontId="26" fillId="0" borderId="0" xfId="0" applyNumberFormat="1" applyFont="1" applyAlignment="1">
      <alignment horizontal="center"/>
    </xf>
    <xf numFmtId="164" fontId="25" fillId="0" borderId="2" xfId="1" applyFont="1" applyFill="1" applyBorder="1"/>
    <xf numFmtId="2" fontId="26" fillId="0" borderId="0" xfId="0" applyNumberFormat="1" applyFont="1" applyBorder="1" applyAlignment="1">
      <alignment horizontal="center"/>
    </xf>
    <xf numFmtId="0" fontId="1" fillId="0" borderId="37" xfId="0" applyFont="1" applyFill="1" applyBorder="1"/>
    <xf numFmtId="0" fontId="26" fillId="0" borderId="0" xfId="0" applyFont="1" applyFill="1"/>
    <xf numFmtId="2" fontId="26" fillId="0" borderId="0" xfId="0" applyNumberFormat="1" applyFont="1"/>
    <xf numFmtId="0" fontId="1" fillId="0" borderId="0" xfId="0" applyFont="1" applyFill="1" applyBorder="1"/>
    <xf numFmtId="164" fontId="25" fillId="0" borderId="20" xfId="1" applyFont="1" applyFill="1" applyBorder="1"/>
    <xf numFmtId="164" fontId="27" fillId="0" borderId="0" xfId="1" applyFont="1" applyFill="1" applyBorder="1"/>
    <xf numFmtId="164" fontId="27" fillId="0" borderId="0" xfId="1" applyFont="1" applyFill="1" applyBorder="1" applyAlignment="1">
      <alignment horizontal="right"/>
    </xf>
    <xf numFmtId="164" fontId="26" fillId="0" borderId="22" xfId="0" applyNumberFormat="1" applyFont="1" applyBorder="1"/>
    <xf numFmtId="0" fontId="26" fillId="0" borderId="8" xfId="0" applyFont="1" applyBorder="1" applyAlignment="1">
      <alignment horizontal="right"/>
    </xf>
    <xf numFmtId="164" fontId="26" fillId="0" borderId="17" xfId="0" applyNumberFormat="1" applyFont="1" applyBorder="1"/>
    <xf numFmtId="0" fontId="26" fillId="0" borderId="15" xfId="0" applyFont="1" applyBorder="1" applyAlignment="1">
      <alignment horizontal="right"/>
    </xf>
    <xf numFmtId="40" fontId="26" fillId="0" borderId="0" xfId="0" applyNumberFormat="1" applyFont="1" applyFill="1" applyBorder="1"/>
    <xf numFmtId="40" fontId="0" fillId="0" borderId="0" xfId="0" applyNumberFormat="1" applyFont="1" applyFill="1" applyBorder="1"/>
    <xf numFmtId="0" fontId="7" fillId="3" borderId="16" xfId="0" applyFont="1" applyFill="1" applyBorder="1" applyAlignment="1">
      <alignment horizontal="center"/>
    </xf>
    <xf numFmtId="0" fontId="26" fillId="0" borderId="0" xfId="0" applyFont="1" applyFill="1" applyBorder="1"/>
    <xf numFmtId="0" fontId="0" fillId="0" borderId="0" xfId="0" applyFont="1" applyFill="1" applyBorder="1"/>
    <xf numFmtId="0" fontId="26" fillId="0" borderId="0" xfId="0" applyFont="1" applyFill="1" applyBorder="1" applyAlignment="1">
      <alignment horizontal="right"/>
    </xf>
    <xf numFmtId="10" fontId="0" fillId="0" borderId="0" xfId="3" applyNumberFormat="1" applyFont="1" applyFill="1" applyBorder="1" applyAlignment="1">
      <alignment horizontal="center"/>
    </xf>
    <xf numFmtId="0" fontId="28" fillId="2" borderId="24" xfId="0" applyFont="1" applyFill="1" applyBorder="1"/>
    <xf numFmtId="0" fontId="3" fillId="0" borderId="0" xfId="0" applyFont="1"/>
    <xf numFmtId="2" fontId="0" fillId="0" borderId="0" xfId="0" applyNumberFormat="1"/>
    <xf numFmtId="164" fontId="26" fillId="0" borderId="0" xfId="1" applyFont="1" applyFill="1" applyBorder="1"/>
    <xf numFmtId="168" fontId="0" fillId="0" borderId="0" xfId="0" applyNumberFormat="1" applyFont="1" applyFill="1" applyAlignment="1">
      <alignment horizontal="center"/>
    </xf>
    <xf numFmtId="168" fontId="26" fillId="0" borderId="0" xfId="0" applyNumberFormat="1" applyFont="1" applyAlignment="1">
      <alignment horizontal="center"/>
    </xf>
    <xf numFmtId="165" fontId="26" fillId="0" borderId="0" xfId="0" applyNumberFormat="1" applyFont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164" fontId="25" fillId="0" borderId="0" xfId="1" applyFont="1" applyFill="1" applyBorder="1"/>
    <xf numFmtId="0" fontId="1" fillId="3" borderId="7" xfId="0" applyFont="1" applyFill="1" applyBorder="1" applyAlignment="1"/>
    <xf numFmtId="164" fontId="1" fillId="3" borderId="44" xfId="1" applyFont="1" applyFill="1" applyBorder="1"/>
    <xf numFmtId="164" fontId="1" fillId="3" borderId="40" xfId="1" applyFont="1" applyFill="1" applyBorder="1" applyAlignment="1">
      <alignment horizontal="right"/>
    </xf>
    <xf numFmtId="164" fontId="1" fillId="3" borderId="16" xfId="1" applyFont="1" applyFill="1" applyBorder="1"/>
    <xf numFmtId="164" fontId="25" fillId="0" borderId="16" xfId="1" applyFont="1" applyFill="1" applyBorder="1"/>
    <xf numFmtId="164" fontId="3" fillId="35" borderId="10" xfId="1" applyFont="1" applyFill="1" applyBorder="1" applyAlignment="1">
      <alignment horizontal="right"/>
    </xf>
    <xf numFmtId="164" fontId="25" fillId="0" borderId="27" xfId="1" applyFont="1" applyFill="1" applyBorder="1" applyAlignment="1">
      <alignment horizontal="right"/>
    </xf>
    <xf numFmtId="164" fontId="25" fillId="0" borderId="57" xfId="1" applyFont="1" applyFill="1" applyBorder="1"/>
    <xf numFmtId="164" fontId="25" fillId="0" borderId="58" xfId="1" applyFont="1" applyFill="1" applyBorder="1" applyAlignment="1">
      <alignment horizontal="right"/>
    </xf>
    <xf numFmtId="164" fontId="3" fillId="0" borderId="10" xfId="1" applyFont="1" applyFill="1" applyBorder="1" applyAlignment="1">
      <alignment horizontal="right"/>
    </xf>
    <xf numFmtId="164" fontId="3" fillId="0" borderId="14" xfId="1" applyFont="1" applyFill="1" applyBorder="1" applyAlignment="1">
      <alignment horizontal="right"/>
    </xf>
    <xf numFmtId="164" fontId="33" fillId="0" borderId="10" xfId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3" fillId="0" borderId="55" xfId="1" applyFont="1" applyFill="1" applyBorder="1" applyAlignment="1">
      <alignment horizontal="right"/>
    </xf>
    <xf numFmtId="164" fontId="3" fillId="0" borderId="54" xfId="1" applyFont="1" applyFill="1" applyBorder="1" applyAlignment="1">
      <alignment horizontal="right"/>
    </xf>
    <xf numFmtId="164" fontId="33" fillId="0" borderId="54" xfId="1" applyFont="1" applyFill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6" fillId="0" borderId="0" xfId="0" applyFont="1" applyBorder="1"/>
    <xf numFmtId="164" fontId="26" fillId="0" borderId="52" xfId="0" applyNumberFormat="1" applyFont="1" applyBorder="1"/>
    <xf numFmtId="0" fontId="26" fillId="0" borderId="18" xfId="0" applyFont="1" applyBorder="1" applyAlignment="1">
      <alignment horizontal="right"/>
    </xf>
    <xf numFmtId="164" fontId="34" fillId="36" borderId="1" xfId="1" applyFont="1" applyFill="1" applyBorder="1" applyAlignment="1">
      <alignment horizontal="center"/>
    </xf>
    <xf numFmtId="164" fontId="35" fillId="36" borderId="60" xfId="1" applyFont="1" applyFill="1" applyBorder="1" applyAlignment="1">
      <alignment horizontal="center"/>
    </xf>
    <xf numFmtId="164" fontId="36" fillId="36" borderId="63" xfId="1" applyFont="1" applyFill="1" applyBorder="1" applyAlignment="1">
      <alignment horizontal="center"/>
    </xf>
    <xf numFmtId="164" fontId="36" fillId="36" borderId="64" xfId="1" applyFont="1" applyFill="1" applyBorder="1" applyAlignment="1">
      <alignment horizontal="center"/>
    </xf>
    <xf numFmtId="164" fontId="36" fillId="36" borderId="60" xfId="1" applyFont="1" applyFill="1" applyBorder="1" applyAlignment="1">
      <alignment horizontal="center"/>
    </xf>
    <xf numFmtId="164" fontId="36" fillId="36" borderId="62" xfId="1" applyFont="1" applyFill="1" applyBorder="1" applyAlignment="1">
      <alignment horizontal="center"/>
    </xf>
    <xf numFmtId="164" fontId="36" fillId="36" borderId="16" xfId="1" applyFont="1" applyFill="1" applyBorder="1"/>
    <xf numFmtId="164" fontId="36" fillId="36" borderId="15" xfId="1" applyFont="1" applyFill="1" applyBorder="1" applyAlignment="1">
      <alignment horizontal="right"/>
    </xf>
    <xf numFmtId="164" fontId="36" fillId="36" borderId="16" xfId="1" applyFont="1" applyFill="1" applyBorder="1" applyAlignment="1">
      <alignment horizontal="right"/>
    </xf>
    <xf numFmtId="164" fontId="36" fillId="36" borderId="10" xfId="1" applyFont="1" applyFill="1" applyBorder="1" applyAlignment="1">
      <alignment horizontal="right"/>
    </xf>
    <xf numFmtId="1" fontId="36" fillId="36" borderId="15" xfId="1" applyNumberFormat="1" applyFont="1" applyFill="1" applyBorder="1" applyAlignment="1">
      <alignment horizontal="right"/>
    </xf>
    <xf numFmtId="164" fontId="37" fillId="37" borderId="45" xfId="1" applyFont="1" applyFill="1" applyBorder="1"/>
    <xf numFmtId="0" fontId="32" fillId="0" borderId="0" xfId="0" applyFont="1"/>
    <xf numFmtId="3" fontId="0" fillId="0" borderId="0" xfId="0" applyNumberFormat="1"/>
    <xf numFmtId="169" fontId="0" fillId="0" borderId="0" xfId="0" applyNumberFormat="1"/>
    <xf numFmtId="44" fontId="0" fillId="0" borderId="0" xfId="0" applyNumberFormat="1"/>
    <xf numFmtId="0" fontId="39" fillId="0" borderId="0" xfId="0" applyFont="1"/>
    <xf numFmtId="0" fontId="0" fillId="0" borderId="0" xfId="0" applyFill="1"/>
    <xf numFmtId="164" fontId="37" fillId="0" borderId="0" xfId="1" applyFont="1" applyFill="1" applyBorder="1"/>
    <xf numFmtId="164" fontId="38" fillId="0" borderId="0" xfId="1" applyFont="1" applyFill="1" applyBorder="1" applyAlignment="1">
      <alignment horizontal="right"/>
    </xf>
    <xf numFmtId="3" fontId="38" fillId="0" borderId="0" xfId="0" applyNumberFormat="1" applyFont="1" applyFill="1" applyBorder="1"/>
    <xf numFmtId="0" fontId="32" fillId="0" borderId="0" xfId="0" applyFont="1" applyFill="1" applyBorder="1"/>
    <xf numFmtId="0" fontId="0" fillId="0" borderId="0" xfId="0" applyFill="1" applyBorder="1"/>
    <xf numFmtId="166" fontId="0" fillId="0" borderId="0" xfId="0" applyNumberFormat="1" applyFill="1" applyBorder="1"/>
    <xf numFmtId="169" fontId="0" fillId="0" borderId="0" xfId="78" applyNumberFormat="1" applyFont="1" applyFill="1" applyBorder="1"/>
    <xf numFmtId="166" fontId="0" fillId="0" borderId="0" xfId="3" applyNumberFormat="1" applyFont="1" applyFill="1" applyBorder="1"/>
    <xf numFmtId="167" fontId="0" fillId="0" borderId="0" xfId="77" applyNumberFormat="1" applyFont="1" applyFill="1" applyBorder="1"/>
    <xf numFmtId="167" fontId="0" fillId="0" borderId="0" xfId="0" applyNumberFormat="1" applyFill="1" applyBorder="1"/>
    <xf numFmtId="2" fontId="0" fillId="0" borderId="0" xfId="0" applyNumberFormat="1" applyFill="1" applyBorder="1"/>
    <xf numFmtId="169" fontId="32" fillId="0" borderId="0" xfId="78" applyNumberFormat="1" applyFont="1" applyFill="1" applyBorder="1"/>
    <xf numFmtId="1" fontId="0" fillId="0" borderId="0" xfId="0" applyNumberFormat="1" applyFill="1" applyBorder="1"/>
    <xf numFmtId="0" fontId="32" fillId="0" borderId="0" xfId="0" applyFont="1" applyFill="1"/>
    <xf numFmtId="2" fontId="32" fillId="0" borderId="0" xfId="0" applyNumberFormat="1" applyFont="1" applyFill="1"/>
    <xf numFmtId="169" fontId="32" fillId="0" borderId="0" xfId="0" applyNumberFormat="1" applyFont="1" applyFill="1"/>
    <xf numFmtId="0" fontId="0" fillId="0" borderId="0" xfId="0" applyFont="1" applyFill="1" applyBorder="1" applyAlignment="1">
      <alignment horizontal="center"/>
    </xf>
    <xf numFmtId="164" fontId="38" fillId="0" borderId="0" xfId="1" applyFont="1" applyFill="1" applyBorder="1" applyAlignment="1">
      <alignment horizontal="center"/>
    </xf>
    <xf numFmtId="164" fontId="36" fillId="36" borderId="1" xfId="1" applyFont="1" applyFill="1" applyBorder="1" applyAlignment="1">
      <alignment horizontal="center"/>
    </xf>
    <xf numFmtId="164" fontId="36" fillId="36" borderId="62" xfId="1" applyFont="1" applyFill="1" applyBorder="1" applyAlignment="1">
      <alignment horizontal="center"/>
    </xf>
    <xf numFmtId="0" fontId="43" fillId="0" borderId="0" xfId="0" applyFont="1" applyFill="1" applyBorder="1"/>
    <xf numFmtId="9" fontId="38" fillId="37" borderId="13" xfId="1" applyNumberFormat="1" applyFont="1" applyFill="1" applyBorder="1" applyAlignment="1"/>
    <xf numFmtId="3" fontId="38" fillId="37" borderId="13" xfId="1" applyNumberFormat="1" applyFont="1" applyFill="1" applyBorder="1" applyAlignment="1"/>
    <xf numFmtId="168" fontId="40" fillId="0" borderId="13" xfId="0" applyNumberFormat="1" applyFont="1" applyBorder="1" applyAlignment="1"/>
    <xf numFmtId="2" fontId="37" fillId="37" borderId="13" xfId="2" applyNumberFormat="1" applyFont="1" applyFill="1" applyBorder="1" applyAlignment="1"/>
    <xf numFmtId="1" fontId="36" fillId="36" borderId="2" xfId="1" applyNumberFormat="1" applyFont="1" applyFill="1" applyBorder="1" applyAlignment="1">
      <alignment horizontal="right"/>
    </xf>
    <xf numFmtId="9" fontId="38" fillId="37" borderId="45" xfId="1" applyNumberFormat="1" applyFont="1" applyFill="1" applyBorder="1" applyAlignment="1"/>
    <xf numFmtId="9" fontId="38" fillId="37" borderId="54" xfId="1" applyNumberFormat="1" applyFont="1" applyFill="1" applyBorder="1" applyAlignment="1"/>
    <xf numFmtId="3" fontId="38" fillId="37" borderId="45" xfId="1" applyNumberFormat="1" applyFont="1" applyFill="1" applyBorder="1" applyAlignment="1"/>
    <xf numFmtId="3" fontId="38" fillId="37" borderId="54" xfId="1" applyNumberFormat="1" applyFont="1" applyFill="1" applyBorder="1" applyAlignment="1"/>
    <xf numFmtId="168" fontId="40" fillId="0" borderId="45" xfId="0" applyNumberFormat="1" applyFont="1" applyBorder="1" applyAlignment="1"/>
    <xf numFmtId="168" fontId="40" fillId="0" borderId="54" xfId="0" applyNumberFormat="1" applyFont="1" applyBorder="1" applyAlignment="1"/>
    <xf numFmtId="2" fontId="37" fillId="37" borderId="45" xfId="2" applyNumberFormat="1" applyFont="1" applyFill="1" applyBorder="1" applyAlignment="1"/>
    <xf numFmtId="2" fontId="37" fillId="37" borderId="54" xfId="2" applyNumberFormat="1" applyFont="1" applyFill="1" applyBorder="1" applyAlignment="1"/>
    <xf numFmtId="3" fontId="37" fillId="37" borderId="20" xfId="0" applyNumberFormat="1" applyFont="1" applyFill="1" applyBorder="1" applyAlignment="1"/>
    <xf numFmtId="3" fontId="37" fillId="37" borderId="49" xfId="0" applyNumberFormat="1" applyFont="1" applyFill="1" applyBorder="1" applyAlignment="1"/>
    <xf numFmtId="3" fontId="37" fillId="37" borderId="27" xfId="0" applyNumberFormat="1" applyFont="1" applyFill="1" applyBorder="1" applyAlignment="1"/>
    <xf numFmtId="164" fontId="36" fillId="36" borderId="41" xfId="1" applyFont="1" applyFill="1" applyBorder="1" applyAlignment="1">
      <alignment horizontal="right"/>
    </xf>
    <xf numFmtId="1" fontId="36" fillId="36" borderId="19" xfId="1" applyNumberFormat="1" applyFont="1" applyFill="1" applyBorder="1" applyAlignment="1">
      <alignment horizontal="right"/>
    </xf>
    <xf numFmtId="164" fontId="36" fillId="36" borderId="18" xfId="1" applyFont="1" applyFill="1" applyBorder="1" applyAlignment="1">
      <alignment horizontal="right"/>
    </xf>
    <xf numFmtId="164" fontId="36" fillId="36" borderId="26" xfId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38" fillId="0" borderId="0" xfId="1" applyFont="1" applyFill="1" applyBorder="1" applyAlignment="1">
      <alignment horizontal="left"/>
    </xf>
    <xf numFmtId="0" fontId="44" fillId="0" borderId="0" xfId="0" applyFont="1"/>
    <xf numFmtId="164" fontId="36" fillId="36" borderId="58" xfId="1" applyFont="1" applyFill="1" applyBorder="1" applyAlignment="1">
      <alignment horizontal="right"/>
    </xf>
    <xf numFmtId="164" fontId="36" fillId="36" borderId="53" xfId="1" applyFont="1" applyFill="1" applyBorder="1" applyAlignment="1">
      <alignment horizontal="right"/>
    </xf>
    <xf numFmtId="164" fontId="37" fillId="37" borderId="54" xfId="1" applyFont="1" applyFill="1" applyBorder="1" applyAlignment="1"/>
    <xf numFmtId="164" fontId="38" fillId="37" borderId="54" xfId="1" applyFont="1" applyFill="1" applyBorder="1" applyAlignment="1"/>
    <xf numFmtId="0" fontId="40" fillId="0" borderId="54" xfId="0" applyFont="1" applyBorder="1" applyAlignment="1"/>
    <xf numFmtId="164" fontId="37" fillId="37" borderId="46" xfId="1" applyFont="1" applyFill="1" applyBorder="1"/>
    <xf numFmtId="164" fontId="37" fillId="37" borderId="27" xfId="1" applyFont="1" applyFill="1" applyBorder="1" applyAlignment="1"/>
    <xf numFmtId="164" fontId="1" fillId="3" borderId="0" xfId="1" applyFont="1" applyFill="1" applyBorder="1" applyAlignment="1">
      <alignment horizontal="center" vertical="center"/>
    </xf>
    <xf numFmtId="164" fontId="1" fillId="3" borderId="15" xfId="1" applyFont="1" applyFill="1" applyBorder="1" applyAlignment="1">
      <alignment horizontal="center" vertical="center"/>
    </xf>
    <xf numFmtId="164" fontId="1" fillId="3" borderId="17" xfId="1" applyFont="1" applyFill="1" applyBorder="1" applyAlignment="1">
      <alignment horizontal="center" vertical="center"/>
    </xf>
    <xf numFmtId="164" fontId="1" fillId="3" borderId="16" xfId="1" applyFont="1" applyFill="1" applyBorder="1" applyAlignment="1">
      <alignment horizontal="center" vertical="center"/>
    </xf>
    <xf numFmtId="164" fontId="1" fillId="3" borderId="10" xfId="1" applyFont="1" applyFill="1" applyBorder="1" applyAlignment="1">
      <alignment horizontal="center" vertical="center"/>
    </xf>
    <xf numFmtId="164" fontId="1" fillId="3" borderId="9" xfId="1" applyFont="1" applyFill="1" applyBorder="1" applyAlignment="1">
      <alignment horizontal="center" vertical="center"/>
    </xf>
    <xf numFmtId="164" fontId="26" fillId="0" borderId="0" xfId="1" applyFont="1" applyFill="1" applyBorder="1" applyAlignment="1">
      <alignment horizontal="center" vertical="center"/>
    </xf>
    <xf numFmtId="164" fontId="26" fillId="0" borderId="15" xfId="1" applyFont="1" applyFill="1" applyBorder="1" applyAlignment="1">
      <alignment horizontal="center" vertical="center"/>
    </xf>
    <xf numFmtId="164" fontId="26" fillId="0" borderId="17" xfId="1" applyFont="1" applyFill="1" applyBorder="1" applyAlignment="1">
      <alignment horizontal="center" vertical="center"/>
    </xf>
    <xf numFmtId="164" fontId="26" fillId="0" borderId="16" xfId="1" applyFont="1" applyFill="1" applyBorder="1" applyAlignment="1">
      <alignment horizontal="center" vertical="center"/>
    </xf>
    <xf numFmtId="164" fontId="26" fillId="0" borderId="10" xfId="1" applyFont="1" applyFill="1" applyBorder="1" applyAlignment="1">
      <alignment horizontal="center" vertical="center"/>
    </xf>
    <xf numFmtId="164" fontId="26" fillId="0" borderId="9" xfId="1" applyFont="1" applyFill="1" applyBorder="1" applyAlignment="1">
      <alignment horizontal="center" vertical="center"/>
    </xf>
    <xf numFmtId="3" fontId="3" fillId="35" borderId="23" xfId="1" applyNumberFormat="1" applyFont="1" applyFill="1" applyBorder="1" applyAlignment="1">
      <alignment horizontal="center" vertical="center"/>
    </xf>
    <xf numFmtId="3" fontId="3" fillId="35" borderId="13" xfId="1" applyNumberFormat="1" applyFont="1" applyFill="1" applyBorder="1" applyAlignment="1">
      <alignment horizontal="center" vertical="center"/>
    </xf>
    <xf numFmtId="3" fontId="3" fillId="35" borderId="43" xfId="1" applyNumberFormat="1" applyFont="1" applyFill="1" applyBorder="1" applyAlignment="1">
      <alignment horizontal="center" vertical="center"/>
    </xf>
    <xf numFmtId="3" fontId="3" fillId="35" borderId="45" xfId="1" applyNumberFormat="1" applyFont="1" applyFill="1" applyBorder="1" applyAlignment="1">
      <alignment horizontal="center" vertical="center"/>
    </xf>
    <xf numFmtId="3" fontId="3" fillId="35" borderId="14" xfId="1" applyNumberFormat="1" applyFont="1" applyFill="1" applyBorder="1" applyAlignment="1">
      <alignment horizontal="center" vertical="center"/>
    </xf>
    <xf numFmtId="3" fontId="3" fillId="35" borderId="3" xfId="1" applyNumberFormat="1" applyFont="1" applyFill="1" applyBorder="1" applyAlignment="1">
      <alignment horizontal="center" vertical="center"/>
    </xf>
    <xf numFmtId="9" fontId="3" fillId="0" borderId="23" xfId="1" applyNumberFormat="1" applyFont="1" applyFill="1" applyBorder="1" applyAlignment="1">
      <alignment horizontal="center" vertical="center"/>
    </xf>
    <xf numFmtId="9" fontId="3" fillId="0" borderId="13" xfId="1" applyNumberFormat="1" applyFont="1" applyFill="1" applyBorder="1" applyAlignment="1">
      <alignment horizontal="center" vertical="center"/>
    </xf>
    <xf numFmtId="9" fontId="3" fillId="0" borderId="43" xfId="1" applyNumberFormat="1" applyFont="1" applyFill="1" applyBorder="1" applyAlignment="1">
      <alignment horizontal="center" vertical="center"/>
    </xf>
    <xf numFmtId="9" fontId="3" fillId="0" borderId="45" xfId="1" applyNumberFormat="1" applyFont="1" applyFill="1" applyBorder="1" applyAlignment="1">
      <alignment horizontal="center" vertical="center"/>
    </xf>
    <xf numFmtId="9" fontId="3" fillId="0" borderId="14" xfId="1" applyNumberFormat="1" applyFont="1" applyFill="1" applyBorder="1" applyAlignment="1">
      <alignment horizontal="center" vertical="center"/>
    </xf>
    <xf numFmtId="9" fontId="3" fillId="0" borderId="3" xfId="1" applyNumberFormat="1" applyFont="1" applyFill="1" applyBorder="1" applyAlignment="1">
      <alignment horizontal="center" vertical="center"/>
    </xf>
    <xf numFmtId="9" fontId="3" fillId="0" borderId="23" xfId="3" applyFont="1" applyFill="1" applyBorder="1" applyAlignment="1">
      <alignment horizontal="center" vertical="center"/>
    </xf>
    <xf numFmtId="9" fontId="3" fillId="0" borderId="13" xfId="3" applyFont="1" applyFill="1" applyBorder="1" applyAlignment="1">
      <alignment horizontal="center" vertical="center"/>
    </xf>
    <xf numFmtId="9" fontId="3" fillId="0" borderId="43" xfId="3" applyFont="1" applyFill="1" applyBorder="1" applyAlignment="1">
      <alignment horizontal="center" vertical="center"/>
    </xf>
    <xf numFmtId="9" fontId="3" fillId="0" borderId="45" xfId="3" applyFont="1" applyFill="1" applyBorder="1" applyAlignment="1">
      <alignment horizontal="center" vertical="center"/>
    </xf>
    <xf numFmtId="9" fontId="3" fillId="0" borderId="54" xfId="3" applyFont="1" applyFill="1" applyBorder="1" applyAlignment="1">
      <alignment horizontal="center" vertical="center"/>
    </xf>
    <xf numFmtId="9" fontId="3" fillId="0" borderId="12" xfId="3" applyFont="1" applyFill="1" applyBorder="1" applyAlignment="1">
      <alignment horizontal="center" vertical="center"/>
    </xf>
    <xf numFmtId="9" fontId="3" fillId="0" borderId="14" xfId="3" applyFont="1" applyFill="1" applyBorder="1" applyAlignment="1">
      <alignment horizontal="center" vertical="center"/>
    </xf>
    <xf numFmtId="164" fontId="33" fillId="0" borderId="0" xfId="1" applyFont="1" applyFill="1" applyBorder="1" applyAlignment="1">
      <alignment horizontal="center" vertical="center"/>
    </xf>
    <xf numFmtId="164" fontId="33" fillId="0" borderId="15" xfId="1" applyFont="1" applyFill="1" applyBorder="1" applyAlignment="1">
      <alignment horizontal="center" vertical="center"/>
    </xf>
    <xf numFmtId="164" fontId="3" fillId="0" borderId="17" xfId="1" applyFont="1" applyFill="1" applyBorder="1" applyAlignment="1">
      <alignment horizontal="center" vertical="center"/>
    </xf>
    <xf numFmtId="164" fontId="33" fillId="0" borderId="16" xfId="1" applyFont="1" applyFill="1" applyBorder="1" applyAlignment="1">
      <alignment horizontal="center" vertical="center"/>
    </xf>
    <xf numFmtId="164" fontId="3" fillId="0" borderId="10" xfId="1" applyFont="1" applyFill="1" applyBorder="1" applyAlignment="1">
      <alignment horizontal="center" vertical="center"/>
    </xf>
    <xf numFmtId="164" fontId="33" fillId="0" borderId="2" xfId="1" applyFont="1" applyFill="1" applyBorder="1" applyAlignment="1">
      <alignment horizontal="center" vertical="center"/>
    </xf>
    <xf numFmtId="164" fontId="3" fillId="0" borderId="15" xfId="1" applyFont="1" applyFill="1" applyBorder="1" applyAlignment="1">
      <alignment horizontal="center" vertical="center"/>
    </xf>
    <xf numFmtId="164" fontId="33" fillId="0" borderId="10" xfId="1" applyFont="1" applyFill="1" applyBorder="1" applyAlignment="1">
      <alignment horizontal="center" vertical="center"/>
    </xf>
    <xf numFmtId="3" fontId="3" fillId="35" borderId="0" xfId="1" applyNumberFormat="1" applyFont="1" applyFill="1" applyBorder="1" applyAlignment="1">
      <alignment horizontal="center" vertical="center"/>
    </xf>
    <xf numFmtId="3" fontId="3" fillId="35" borderId="15" xfId="1" applyNumberFormat="1" applyFont="1" applyFill="1" applyBorder="1" applyAlignment="1">
      <alignment horizontal="center" vertical="center"/>
    </xf>
    <xf numFmtId="3" fontId="3" fillId="35" borderId="17" xfId="1" applyNumberFormat="1" applyFont="1" applyFill="1" applyBorder="1" applyAlignment="1">
      <alignment horizontal="center" vertical="center"/>
    </xf>
    <xf numFmtId="3" fontId="3" fillId="35" borderId="16" xfId="1" applyNumberFormat="1" applyFont="1" applyFill="1" applyBorder="1" applyAlignment="1">
      <alignment horizontal="center" vertical="center"/>
    </xf>
    <xf numFmtId="3" fontId="3" fillId="35" borderId="10" xfId="1" applyNumberFormat="1" applyFont="1" applyFill="1" applyBorder="1" applyAlignment="1">
      <alignment horizontal="center" vertical="center"/>
    </xf>
    <xf numFmtId="3" fontId="3" fillId="35" borderId="2" xfId="1" applyNumberFormat="1" applyFont="1" applyFill="1" applyBorder="1" applyAlignment="1">
      <alignment horizontal="center" vertical="center"/>
    </xf>
    <xf numFmtId="3" fontId="26" fillId="0" borderId="0" xfId="1" applyNumberFormat="1" applyFont="1" applyFill="1" applyBorder="1" applyAlignment="1">
      <alignment horizontal="center" vertical="center"/>
    </xf>
    <xf numFmtId="3" fontId="26" fillId="0" borderId="18" xfId="1" applyNumberFormat="1" applyFont="1" applyFill="1" applyBorder="1" applyAlignment="1">
      <alignment horizontal="center" vertical="center"/>
    </xf>
    <xf numFmtId="3" fontId="26" fillId="0" borderId="17" xfId="1" applyNumberFormat="1" applyFont="1" applyFill="1" applyBorder="1" applyAlignment="1">
      <alignment horizontal="center" vertical="center"/>
    </xf>
    <xf numFmtId="3" fontId="26" fillId="0" borderId="2" xfId="1" applyNumberFormat="1" applyFont="1" applyFill="1" applyBorder="1" applyAlignment="1">
      <alignment horizontal="center" vertical="center"/>
    </xf>
    <xf numFmtId="3" fontId="26" fillId="0" borderId="53" xfId="1" applyNumberFormat="1" applyFont="1" applyFill="1" applyBorder="1" applyAlignment="1">
      <alignment horizontal="center" vertical="center"/>
    </xf>
    <xf numFmtId="3" fontId="26" fillId="0" borderId="10" xfId="1" applyNumberFormat="1" applyFont="1" applyFill="1" applyBorder="1" applyAlignment="1">
      <alignment horizontal="center" vertical="center"/>
    </xf>
    <xf numFmtId="3" fontId="26" fillId="0" borderId="3" xfId="2" applyNumberFormat="1" applyFont="1" applyFill="1" applyBorder="1" applyAlignment="1">
      <alignment horizontal="center" vertical="center"/>
    </xf>
    <xf numFmtId="3" fontId="26" fillId="0" borderId="23" xfId="2" applyNumberFormat="1" applyFont="1" applyFill="1" applyBorder="1" applyAlignment="1">
      <alignment horizontal="center" vertical="center"/>
    </xf>
    <xf numFmtId="3" fontId="26" fillId="0" borderId="43" xfId="2" applyNumberFormat="1" applyFont="1" applyFill="1" applyBorder="1" applyAlignment="1">
      <alignment horizontal="center" vertical="center"/>
    </xf>
    <xf numFmtId="3" fontId="26" fillId="0" borderId="45" xfId="2" applyNumberFormat="1" applyFont="1" applyFill="1" applyBorder="1" applyAlignment="1">
      <alignment horizontal="center" vertical="center"/>
    </xf>
    <xf numFmtId="3" fontId="26" fillId="0" borderId="54" xfId="2" applyNumberFormat="1" applyFont="1" applyFill="1" applyBorder="1" applyAlignment="1">
      <alignment horizontal="center" vertical="center"/>
    </xf>
    <xf numFmtId="3" fontId="26" fillId="0" borderId="13" xfId="2" applyNumberFormat="1" applyFont="1" applyFill="1" applyBorder="1" applyAlignment="1">
      <alignment horizontal="center" vertical="center"/>
    </xf>
    <xf numFmtId="3" fontId="26" fillId="0" borderId="14" xfId="2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3" fontId="3" fillId="35" borderId="13" xfId="0" applyNumberFormat="1" applyFont="1" applyFill="1" applyBorder="1" applyAlignment="1">
      <alignment horizontal="center" vertical="center"/>
    </xf>
    <xf numFmtId="3" fontId="3" fillId="35" borderId="45" xfId="0" applyNumberFormat="1" applyFont="1" applyFill="1" applyBorder="1" applyAlignment="1">
      <alignment horizontal="center" vertical="center"/>
    </xf>
    <xf numFmtId="3" fontId="3" fillId="35" borderId="14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4" fontId="3" fillId="35" borderId="0" xfId="0" applyNumberFormat="1" applyFont="1" applyFill="1" applyBorder="1" applyAlignment="1">
      <alignment horizontal="center" vertical="center"/>
    </xf>
    <xf numFmtId="4" fontId="3" fillId="35" borderId="8" xfId="0" applyNumberFormat="1" applyFont="1" applyFill="1" applyBorder="1" applyAlignment="1">
      <alignment horizontal="center" vertical="center"/>
    </xf>
    <xf numFmtId="4" fontId="3" fillId="35" borderId="44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4" fontId="3" fillId="35" borderId="2" xfId="0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165" fontId="3" fillId="0" borderId="15" xfId="1" applyNumberFormat="1" applyFont="1" applyFill="1" applyBorder="1" applyAlignment="1">
      <alignment horizontal="center" vertical="center"/>
    </xf>
    <xf numFmtId="165" fontId="3" fillId="0" borderId="16" xfId="1" applyNumberFormat="1" applyFont="1" applyFill="1" applyBorder="1" applyAlignment="1">
      <alignment horizontal="center" vertical="center"/>
    </xf>
    <xf numFmtId="165" fontId="3" fillId="0" borderId="10" xfId="1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4" fontId="3" fillId="0" borderId="15" xfId="1" applyNumberFormat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>
      <alignment horizontal="center" vertical="center"/>
    </xf>
    <xf numFmtId="4" fontId="3" fillId="0" borderId="16" xfId="1" applyNumberFormat="1" applyFont="1" applyFill="1" applyBorder="1" applyAlignment="1">
      <alignment horizontal="center" vertical="center"/>
    </xf>
    <xf numFmtId="4" fontId="3" fillId="0" borderId="10" xfId="1" applyNumberFormat="1" applyFont="1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/>
    </xf>
    <xf numFmtId="3" fontId="3" fillId="0" borderId="15" xfId="1" applyNumberFormat="1" applyFont="1" applyFill="1" applyBorder="1" applyAlignment="1">
      <alignment horizontal="center" vertical="center"/>
    </xf>
    <xf numFmtId="165" fontId="3" fillId="0" borderId="48" xfId="2" applyNumberFormat="1" applyFont="1" applyFill="1" applyBorder="1" applyAlignment="1">
      <alignment horizontal="center" vertical="center"/>
    </xf>
    <xf numFmtId="165" fontId="3" fillId="0" borderId="18" xfId="2" applyNumberFormat="1" applyFont="1" applyFill="1" applyBorder="1" applyAlignment="1">
      <alignment horizontal="center" vertical="center"/>
    </xf>
    <xf numFmtId="165" fontId="3" fillId="0" borderId="41" xfId="2" applyNumberFormat="1" applyFont="1" applyFill="1" applyBorder="1" applyAlignment="1">
      <alignment horizontal="center" vertical="center"/>
    </xf>
    <xf numFmtId="165" fontId="3" fillId="0" borderId="26" xfId="2" applyNumberFormat="1" applyFont="1" applyFill="1" applyBorder="1" applyAlignment="1">
      <alignment horizontal="center" vertical="center"/>
    </xf>
    <xf numFmtId="165" fontId="3" fillId="0" borderId="56" xfId="2" applyNumberFormat="1" applyFont="1" applyFill="1" applyBorder="1" applyAlignment="1">
      <alignment horizontal="center" vertical="center"/>
    </xf>
    <xf numFmtId="2" fontId="3" fillId="35" borderId="23" xfId="0" applyNumberFormat="1" applyFont="1" applyFill="1" applyBorder="1" applyAlignment="1">
      <alignment horizontal="center" vertical="center"/>
    </xf>
    <xf numFmtId="2" fontId="3" fillId="35" borderId="13" xfId="0" applyNumberFormat="1" applyFont="1" applyFill="1" applyBorder="1" applyAlignment="1">
      <alignment horizontal="center" vertical="center"/>
    </xf>
    <xf numFmtId="2" fontId="3" fillId="35" borderId="44" xfId="0" applyNumberFormat="1" applyFont="1" applyFill="1" applyBorder="1" applyAlignment="1">
      <alignment horizontal="center" vertical="center"/>
    </xf>
    <xf numFmtId="2" fontId="3" fillId="35" borderId="40" xfId="0" applyNumberFormat="1" applyFont="1" applyFill="1" applyBorder="1" applyAlignment="1">
      <alignment horizontal="center" vertical="center"/>
    </xf>
    <xf numFmtId="2" fontId="3" fillId="35" borderId="45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35" borderId="54" xfId="0" applyNumberFormat="1" applyFont="1" applyFill="1" applyBorder="1" applyAlignment="1">
      <alignment horizontal="center" vertical="center"/>
    </xf>
    <xf numFmtId="165" fontId="25" fillId="0" borderId="47" xfId="0" applyNumberFormat="1" applyFont="1" applyFill="1" applyBorder="1" applyAlignment="1">
      <alignment horizontal="center" vertical="center"/>
    </xf>
    <xf numFmtId="165" fontId="25" fillId="0" borderId="49" xfId="0" applyNumberFormat="1" applyFont="1" applyFill="1" applyBorder="1" applyAlignment="1">
      <alignment horizontal="center" vertical="center"/>
    </xf>
    <xf numFmtId="165" fontId="25" fillId="0" borderId="46" xfId="0" applyNumberFormat="1" applyFont="1" applyFill="1" applyBorder="1" applyAlignment="1">
      <alignment horizontal="center" vertical="center"/>
    </xf>
    <xf numFmtId="165" fontId="25" fillId="0" borderId="27" xfId="0" applyNumberFormat="1" applyFont="1" applyFill="1" applyBorder="1" applyAlignment="1">
      <alignment horizontal="center" vertical="center"/>
    </xf>
    <xf numFmtId="165" fontId="25" fillId="0" borderId="21" xfId="0" applyNumberFormat="1" applyFont="1" applyFill="1" applyBorder="1" applyAlignment="1">
      <alignment horizontal="center" vertical="center"/>
    </xf>
    <xf numFmtId="165" fontId="25" fillId="0" borderId="38" xfId="0" applyNumberFormat="1" applyFont="1" applyFill="1" applyBorder="1" applyAlignment="1">
      <alignment horizontal="center" vertical="center"/>
    </xf>
    <xf numFmtId="165" fontId="25" fillId="0" borderId="11" xfId="0" applyNumberFormat="1" applyFont="1" applyFill="1" applyBorder="1" applyAlignment="1">
      <alignment horizontal="center" vertical="center"/>
    </xf>
    <xf numFmtId="165" fontId="25" fillId="0" borderId="59" xfId="0" applyNumberFormat="1" applyFont="1" applyFill="1" applyBorder="1" applyAlignment="1">
      <alignment horizontal="center" vertical="center"/>
    </xf>
    <xf numFmtId="4" fontId="26" fillId="0" borderId="16" xfId="1" applyNumberFormat="1" applyFont="1" applyFill="1" applyBorder="1" applyAlignment="1">
      <alignment horizontal="center" vertical="center"/>
    </xf>
    <xf numFmtId="165" fontId="25" fillId="0" borderId="50" xfId="0" applyNumberFormat="1" applyFont="1" applyFill="1" applyBorder="1" applyAlignment="1">
      <alignment horizontal="center" vertical="center"/>
    </xf>
    <xf numFmtId="165" fontId="25" fillId="0" borderId="42" xfId="0" applyNumberFormat="1" applyFont="1" applyFill="1" applyBorder="1" applyAlignment="1">
      <alignment horizontal="center" vertical="center"/>
    </xf>
    <xf numFmtId="43" fontId="27" fillId="0" borderId="0" xfId="77" applyNumberFormat="1" applyFont="1" applyFill="1" applyBorder="1" applyAlignment="1">
      <alignment horizontal="center" vertical="center"/>
    </xf>
    <xf numFmtId="167" fontId="27" fillId="0" borderId="0" xfId="77" applyNumberFormat="1" applyFont="1" applyFill="1" applyBorder="1" applyAlignment="1">
      <alignment horizontal="center" vertical="center"/>
    </xf>
    <xf numFmtId="38" fontId="26" fillId="0" borderId="0" xfId="0" applyNumberFormat="1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167" fontId="26" fillId="0" borderId="4" xfId="77" applyNumberFormat="1" applyFont="1" applyBorder="1" applyAlignment="1">
      <alignment horizontal="center" vertical="center"/>
    </xf>
    <xf numFmtId="167" fontId="26" fillId="0" borderId="39" xfId="77" applyNumberFormat="1" applyFont="1" applyBorder="1" applyAlignment="1">
      <alignment horizontal="center" vertical="center"/>
    </xf>
    <xf numFmtId="38" fontId="26" fillId="0" borderId="9" xfId="0" applyNumberFormat="1" applyFont="1" applyBorder="1" applyAlignment="1">
      <alignment horizontal="center" vertical="center"/>
    </xf>
    <xf numFmtId="38" fontId="26" fillId="0" borderId="48" xfId="0" applyNumberFormat="1" applyFont="1" applyBorder="1" applyAlignment="1">
      <alignment horizontal="center" vertical="center"/>
    </xf>
    <xf numFmtId="38" fontId="26" fillId="0" borderId="1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164" fontId="36" fillId="36" borderId="51" xfId="1" applyFont="1" applyFill="1" applyBorder="1" applyAlignment="1">
      <alignment horizontal="center"/>
    </xf>
    <xf numFmtId="164" fontId="36" fillId="36" borderId="61" xfId="1" applyFont="1" applyFill="1" applyBorder="1" applyAlignment="1">
      <alignment horizontal="center"/>
    </xf>
    <xf numFmtId="164" fontId="36" fillId="36" borderId="1" xfId="1" applyFont="1" applyFill="1" applyBorder="1" applyAlignment="1">
      <alignment horizontal="center"/>
    </xf>
    <xf numFmtId="164" fontId="36" fillId="36" borderId="62" xfId="1" applyFont="1" applyFill="1" applyBorder="1" applyAlignment="1">
      <alignment horizontal="center"/>
    </xf>
    <xf numFmtId="9" fontId="0" fillId="0" borderId="0" xfId="0" applyNumberFormat="1" applyFont="1" applyFill="1"/>
  </cellXfs>
  <cellStyles count="79">
    <cellStyle name="20% - Accent1" xfId="23"/>
    <cellStyle name="20% - Accent1 2" xfId="55"/>
    <cellStyle name="20% - Accent2" xfId="27"/>
    <cellStyle name="20% - Accent2 2" xfId="56"/>
    <cellStyle name="20% - Accent3" xfId="31"/>
    <cellStyle name="20% - Accent3 2" xfId="57"/>
    <cellStyle name="20% - Accent4" xfId="35"/>
    <cellStyle name="20% - Accent4 2" xfId="58"/>
    <cellStyle name="20% - Accent5" xfId="39"/>
    <cellStyle name="20% - Accent5 2" xfId="59"/>
    <cellStyle name="20% - Accent6" xfId="43"/>
    <cellStyle name="20% - Accent6 2" xfId="60"/>
    <cellStyle name="40% - Accent1" xfId="24"/>
    <cellStyle name="40% - Accent1 2" xfId="61"/>
    <cellStyle name="40% - Accent2" xfId="28"/>
    <cellStyle name="40% - Accent2 2" xfId="62"/>
    <cellStyle name="40% - Accent3" xfId="32"/>
    <cellStyle name="40% - Accent3 2" xfId="63"/>
    <cellStyle name="40% - Accent4" xfId="36"/>
    <cellStyle name="40% - Accent4 2" xfId="64"/>
    <cellStyle name="40% - Accent5" xfId="40"/>
    <cellStyle name="40% - Accent5 2" xfId="65"/>
    <cellStyle name="40% - Accent6" xfId="44"/>
    <cellStyle name="40% - Accent6 2" xfId="66"/>
    <cellStyle name="60 % - uthevingsfarge 1 2" xfId="25"/>
    <cellStyle name="60 % - uthevingsfarge 2 2" xfId="29"/>
    <cellStyle name="60 % - uthevingsfarge 3 2" xfId="33"/>
    <cellStyle name="60 % - uthevingsfarge 4 2" xfId="37"/>
    <cellStyle name="60 % - uthevingsfarge 5 2" xfId="41"/>
    <cellStyle name="60 % - uthevingsfarge 6 2" xfId="45"/>
    <cellStyle name="Beregning 2" xfId="16"/>
    <cellStyle name="Comma 2" xfId="52"/>
    <cellStyle name="Comma 2 2" xfId="67"/>
    <cellStyle name="Comma 3" xfId="54"/>
    <cellStyle name="Dårlig 2" xfId="12"/>
    <cellStyle name="Forklarende tekst 2" xfId="20"/>
    <cellStyle name="God 2" xfId="11"/>
    <cellStyle name="Inndata 2" xfId="14"/>
    <cellStyle name="Koblet celle 2" xfId="17"/>
    <cellStyle name="Komma" xfId="77" builtinId="3"/>
    <cellStyle name="Komma 2" xfId="74"/>
    <cellStyle name="Kontrollcelle 2" xfId="18"/>
    <cellStyle name="Normal" xfId="0" builtinId="0"/>
    <cellStyle name="Normal 2" xfId="5"/>
    <cellStyle name="Normal 2 2" xfId="50"/>
    <cellStyle name="Normal 2 3" xfId="49"/>
    <cellStyle name="Normal 2 4" xfId="68"/>
    <cellStyle name="Normal 2 4 2" xfId="72"/>
    <cellStyle name="Normal 2 4 3" xfId="73"/>
    <cellStyle name="Normal 3" xfId="47"/>
    <cellStyle name="Normal 3 2" xfId="69"/>
    <cellStyle name="Normal 4" xfId="51"/>
    <cellStyle name="Normal 5" xfId="46"/>
    <cellStyle name="Normal 6" xfId="75"/>
    <cellStyle name="Normal 7" xfId="4"/>
    <cellStyle name="Normal_Ark1" xfId="1"/>
    <cellStyle name="Note 2" xfId="48"/>
    <cellStyle name="Note 2 2" xfId="70"/>
    <cellStyle name="Nøytral 2" xfId="13"/>
    <cellStyle name="Overskrift 1 2" xfId="7"/>
    <cellStyle name="Overskrift 2 2" xfId="8"/>
    <cellStyle name="Overskrift 3 2" xfId="9"/>
    <cellStyle name="Overskrift 4 2" xfId="10"/>
    <cellStyle name="Percent" xfId="76"/>
    <cellStyle name="Percent 2" xfId="53"/>
    <cellStyle name="Percent 2 2" xfId="71"/>
    <cellStyle name="Prosent" xfId="3" builtinId="5"/>
    <cellStyle name="Tittel 2" xfId="6"/>
    <cellStyle name="Totalt 2" xfId="21"/>
    <cellStyle name="Tusenskille_Ark1" xfId="2"/>
    <cellStyle name="Utdata 2" xfId="15"/>
    <cellStyle name="Uthevingsfarge1 2" xfId="22"/>
    <cellStyle name="Uthevingsfarge2 2" xfId="26"/>
    <cellStyle name="Uthevingsfarge3 2" xfId="30"/>
    <cellStyle name="Uthevingsfarge4 2" xfId="34"/>
    <cellStyle name="Uthevingsfarge5 2" xfId="38"/>
    <cellStyle name="Uthevingsfarge6 2" xfId="42"/>
    <cellStyle name="Valuta" xfId="78" builtinId="4"/>
    <cellStyle name="Varseltekst 2" xfId="19"/>
  </cellStyles>
  <dxfs count="0"/>
  <tableStyles count="2" defaultTableStyle="TableStyleMedium2" defaultPivotStyle="PivotStyleLight16">
    <tableStyle name="Tabellstil 1" pivot="0" count="0"/>
    <tableStyle name="Tabellstil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utsetning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nnverdier og priser"/>
      <sheetName val="CO2-avgift, grunnavgift"/>
      <sheetName val="CO2-kvoter"/>
      <sheetName val="byggetid levetid rente"/>
      <sheetName val="NOX avgift"/>
    </sheetNames>
    <sheetDataSet>
      <sheetData sheetId="0">
        <row r="11">
          <cell r="D11">
            <v>4.5599999999999996</v>
          </cell>
          <cell r="F11">
            <v>4.0999999999999996</v>
          </cell>
        </row>
        <row r="12">
          <cell r="D12">
            <v>3.42</v>
          </cell>
          <cell r="F12">
            <v>2.91</v>
          </cell>
        </row>
        <row r="13">
          <cell r="D13">
            <v>5.13</v>
          </cell>
          <cell r="F13">
            <v>4.7</v>
          </cell>
        </row>
        <row r="32">
          <cell r="D32">
            <v>29.1</v>
          </cell>
        </row>
        <row r="36">
          <cell r="D36">
            <v>20</v>
          </cell>
        </row>
        <row r="37">
          <cell r="D37">
            <v>18.5</v>
          </cell>
        </row>
      </sheetData>
      <sheetData sheetId="1"/>
      <sheetData sheetId="2"/>
      <sheetData sheetId="3">
        <row r="1">
          <cell r="C1">
            <v>1.07973174366617</v>
          </cell>
        </row>
        <row r="35">
          <cell r="D35">
            <v>0.06</v>
          </cell>
        </row>
        <row r="37">
          <cell r="C37">
            <v>15</v>
          </cell>
          <cell r="E37">
            <v>1E-3</v>
          </cell>
        </row>
        <row r="38">
          <cell r="C38">
            <v>25</v>
          </cell>
        </row>
      </sheetData>
      <sheetData sheetId="4">
        <row r="12">
          <cell r="H12">
            <v>0.40063917525773196</v>
          </cell>
        </row>
        <row r="13">
          <cell r="H13">
            <v>0.37914146341463423</v>
          </cell>
        </row>
        <row r="14">
          <cell r="H14">
            <v>0.37208297872340423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7"/>
  <sheetViews>
    <sheetView tabSelected="1" topLeftCell="C4" zoomScale="95" zoomScaleNormal="95" workbookViewId="0">
      <selection activeCell="S30" sqref="S30"/>
    </sheetView>
  </sheetViews>
  <sheetFormatPr baseColWidth="10" defaultRowHeight="15" x14ac:dyDescent="0.25"/>
  <cols>
    <col min="1" max="1" width="17.42578125" style="45" customWidth="1"/>
    <col min="2" max="2" width="14.28515625" style="45" customWidth="1"/>
    <col min="3" max="5" width="11.5703125" style="45" bestFit="1" customWidth="1"/>
    <col min="6" max="6" width="11.42578125" style="45"/>
    <col min="7" max="7" width="35.85546875" style="45" customWidth="1"/>
    <col min="8" max="8" width="16.85546875" style="45" customWidth="1"/>
    <col min="9" max="9" width="24.7109375" style="45" customWidth="1"/>
    <col min="10" max="10" width="15.7109375" style="45" bestFit="1" customWidth="1"/>
    <col min="11" max="11" width="16.85546875" style="45" bestFit="1" customWidth="1"/>
    <col min="12" max="12" width="15.7109375" style="45" customWidth="1"/>
    <col min="13" max="13" width="17" customWidth="1"/>
    <col min="14" max="14" width="13.42578125" style="45" customWidth="1"/>
    <col min="15" max="15" width="14.28515625" style="45" bestFit="1" customWidth="1"/>
    <col min="16" max="16" width="15.7109375" style="45" bestFit="1" customWidth="1"/>
    <col min="17" max="17" width="14.7109375" style="45" customWidth="1"/>
    <col min="18" max="18" width="12.28515625" style="45" bestFit="1" customWidth="1"/>
    <col min="19" max="19" width="12.28515625" style="45" customWidth="1"/>
    <col min="20" max="21" width="14.28515625" style="45" bestFit="1" customWidth="1"/>
    <col min="22" max="22" width="15.7109375" style="45" bestFit="1" customWidth="1"/>
    <col min="23" max="23" width="16.85546875" style="45" bestFit="1" customWidth="1"/>
    <col min="24" max="24" width="24.42578125" style="45" customWidth="1"/>
    <col min="25" max="25" width="39.140625" style="45" customWidth="1"/>
    <col min="26" max="16384" width="11.42578125" style="45"/>
  </cols>
  <sheetData>
    <row r="1" spans="1:25" x14ac:dyDescent="0.25">
      <c r="A1" s="94" t="s">
        <v>33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x14ac:dyDescent="0.25">
      <c r="A2" s="12"/>
      <c r="B2" s="12" t="s">
        <v>25</v>
      </c>
      <c r="C2" s="13"/>
      <c r="D2" s="14"/>
      <c r="E2" s="7"/>
      <c r="F2" s="5"/>
      <c r="G2" s="5"/>
      <c r="H2" s="5"/>
      <c r="I2" s="5"/>
      <c r="J2" s="5"/>
      <c r="K2" s="5"/>
      <c r="L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x14ac:dyDescent="0.25">
      <c r="A3" s="12" t="s">
        <v>26</v>
      </c>
      <c r="B3" s="5" t="s">
        <v>24</v>
      </c>
      <c r="C3" s="1">
        <f>'[1]byggetid levetid rente'!$D$35</f>
        <v>0.06</v>
      </c>
      <c r="D3" s="7"/>
      <c r="E3" s="7"/>
      <c r="F3" s="5"/>
      <c r="G3" s="5"/>
      <c r="H3" s="5"/>
      <c r="I3" s="5"/>
      <c r="J3" s="5"/>
      <c r="K3" s="5"/>
      <c r="L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.75" thickBot="1" x14ac:dyDescent="0.3">
      <c r="A4" s="12" t="s">
        <v>77</v>
      </c>
      <c r="B4" s="5" t="s">
        <v>24</v>
      </c>
      <c r="C4" s="47">
        <f>'[1]byggetid levetid rente'!$E$37</f>
        <v>1E-3</v>
      </c>
      <c r="D4" s="7"/>
      <c r="E4" s="7"/>
      <c r="F4" s="5"/>
      <c r="G4" s="5"/>
      <c r="H4" s="5"/>
      <c r="I4" s="5"/>
      <c r="J4" s="5"/>
      <c r="K4" s="5"/>
      <c r="L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x14ac:dyDescent="0.25">
      <c r="A5" s="5"/>
      <c r="B5" s="5"/>
      <c r="C5" s="7"/>
      <c r="D5" s="7"/>
      <c r="E5" s="7"/>
      <c r="F5" s="5"/>
      <c r="G5" s="2" t="s">
        <v>29</v>
      </c>
      <c r="H5" s="58"/>
      <c r="I5" s="272" t="s">
        <v>42</v>
      </c>
      <c r="J5" s="272"/>
      <c r="K5" s="272"/>
      <c r="L5" s="271" t="s">
        <v>49</v>
      </c>
      <c r="M5" s="273"/>
      <c r="N5" s="271" t="s">
        <v>41</v>
      </c>
      <c r="O5" s="272"/>
      <c r="P5" s="272"/>
      <c r="Q5" s="273"/>
      <c r="R5" s="271" t="s">
        <v>32</v>
      </c>
      <c r="S5" s="272"/>
      <c r="T5" s="272"/>
      <c r="U5" s="272"/>
      <c r="V5" s="272"/>
      <c r="W5" s="273"/>
      <c r="X5" s="8"/>
      <c r="Y5" s="8"/>
    </row>
    <row r="6" spans="1:25" x14ac:dyDescent="0.25">
      <c r="A6" s="12"/>
      <c r="B6" s="12"/>
      <c r="C6" s="13" t="s">
        <v>37</v>
      </c>
      <c r="D6" s="13" t="s">
        <v>38</v>
      </c>
      <c r="E6" s="14"/>
      <c r="F6" s="6"/>
      <c r="G6" s="59"/>
      <c r="H6" s="60" t="s">
        <v>3</v>
      </c>
      <c r="I6" s="18"/>
      <c r="J6" s="56"/>
      <c r="K6" s="55"/>
      <c r="L6" s="43"/>
      <c r="M6" s="17"/>
      <c r="N6" s="43"/>
      <c r="O6" s="18"/>
      <c r="P6" s="19"/>
      <c r="Q6" s="17"/>
      <c r="R6" s="43"/>
      <c r="S6" s="16" t="s">
        <v>95</v>
      </c>
      <c r="T6" s="16"/>
      <c r="U6" s="16"/>
      <c r="V6" s="16"/>
      <c r="W6" s="17"/>
      <c r="X6" s="8"/>
      <c r="Y6" s="8"/>
    </row>
    <row r="7" spans="1:25" x14ac:dyDescent="0.25">
      <c r="A7" s="12" t="s">
        <v>22</v>
      </c>
      <c r="B7" s="5" t="s">
        <v>21</v>
      </c>
      <c r="C7" s="7">
        <v>1</v>
      </c>
      <c r="D7" s="7">
        <v>2</v>
      </c>
      <c r="E7" s="7"/>
      <c r="F7" s="6"/>
      <c r="G7" s="61" t="s">
        <v>4</v>
      </c>
      <c r="H7" s="20" t="s">
        <v>27</v>
      </c>
      <c r="I7" s="149">
        <v>1</v>
      </c>
      <c r="J7" s="150">
        <v>10</v>
      </c>
      <c r="K7" s="151">
        <v>30</v>
      </c>
      <c r="L7" s="152">
        <v>10</v>
      </c>
      <c r="M7" s="153">
        <v>30</v>
      </c>
      <c r="N7" s="152">
        <v>0.15</v>
      </c>
      <c r="O7" s="149">
        <v>1</v>
      </c>
      <c r="P7" s="150">
        <v>10</v>
      </c>
      <c r="Q7" s="153">
        <v>30</v>
      </c>
      <c r="R7" s="152">
        <v>0.01</v>
      </c>
      <c r="S7" s="152">
        <v>0.01</v>
      </c>
      <c r="T7" s="154">
        <v>0.15</v>
      </c>
      <c r="U7" s="154">
        <v>1</v>
      </c>
      <c r="V7" s="154">
        <v>10</v>
      </c>
      <c r="W7" s="153">
        <v>30</v>
      </c>
      <c r="X7" s="21" t="s">
        <v>17</v>
      </c>
      <c r="Y7" s="21" t="s">
        <v>16</v>
      </c>
    </row>
    <row r="8" spans="1:25" s="44" customFormat="1" x14ac:dyDescent="0.25">
      <c r="A8" s="12" t="s">
        <v>23</v>
      </c>
      <c r="B8" s="5" t="s">
        <v>21</v>
      </c>
      <c r="C8" s="9">
        <f>'[1]byggetid levetid rente'!$C$37</f>
        <v>15</v>
      </c>
      <c r="D8" s="7">
        <f>'[1]byggetid levetid rente'!$C$38</f>
        <v>25</v>
      </c>
      <c r="E8" s="7"/>
      <c r="F8" s="6"/>
      <c r="G8" s="62" t="s">
        <v>50</v>
      </c>
      <c r="H8" s="67"/>
      <c r="I8" s="155"/>
      <c r="J8" s="156"/>
      <c r="K8" s="157"/>
      <c r="L8" s="158">
        <f>L7*0.25</f>
        <v>2.5</v>
      </c>
      <c r="M8" s="158">
        <f>M7*0.25</f>
        <v>7.5</v>
      </c>
      <c r="N8" s="158"/>
      <c r="O8" s="155"/>
      <c r="P8" s="156"/>
      <c r="Q8" s="159"/>
      <c r="R8" s="158"/>
      <c r="S8" s="158"/>
      <c r="T8" s="160"/>
      <c r="U8" s="160"/>
      <c r="V8" s="160"/>
      <c r="W8" s="159"/>
      <c r="X8" s="51"/>
      <c r="Y8" s="51"/>
    </row>
    <row r="9" spans="1:25" x14ac:dyDescent="0.25">
      <c r="A9" s="5"/>
      <c r="B9" s="5"/>
      <c r="C9" s="7"/>
      <c r="D9" s="7"/>
      <c r="E9" s="7"/>
      <c r="F9" s="15"/>
      <c r="G9" s="22" t="s">
        <v>5</v>
      </c>
      <c r="H9" s="68" t="s">
        <v>6</v>
      </c>
      <c r="I9" s="161">
        <v>3200</v>
      </c>
      <c r="J9" s="162">
        <v>4000</v>
      </c>
      <c r="K9" s="163">
        <v>4500</v>
      </c>
      <c r="L9" s="164">
        <v>4000</v>
      </c>
      <c r="M9" s="165">
        <v>4500</v>
      </c>
      <c r="N9" s="164">
        <v>2800</v>
      </c>
      <c r="O9" s="166">
        <v>3200</v>
      </c>
      <c r="P9" s="162">
        <v>4000</v>
      </c>
      <c r="Q9" s="165">
        <v>4500</v>
      </c>
      <c r="R9" s="164">
        <v>2800</v>
      </c>
      <c r="S9" s="164">
        <v>2800</v>
      </c>
      <c r="T9" s="162">
        <v>2800</v>
      </c>
      <c r="U9" s="162">
        <v>3200</v>
      </c>
      <c r="V9" s="162">
        <v>4000</v>
      </c>
      <c r="W9" s="165">
        <v>4500</v>
      </c>
      <c r="X9" s="266" t="s">
        <v>76</v>
      </c>
      <c r="Y9" s="267"/>
    </row>
    <row r="10" spans="1:25" ht="30" x14ac:dyDescent="0.25">
      <c r="A10" s="12"/>
      <c r="B10" s="12"/>
      <c r="C10" s="13" t="s">
        <v>30</v>
      </c>
      <c r="D10" s="13" t="s">
        <v>31</v>
      </c>
      <c r="E10" s="23" t="s">
        <v>32</v>
      </c>
      <c r="F10" s="15"/>
      <c r="G10" s="22" t="s">
        <v>39</v>
      </c>
      <c r="H10" s="68" t="s">
        <v>1</v>
      </c>
      <c r="I10" s="167">
        <v>0.85</v>
      </c>
      <c r="J10" s="168">
        <v>0.89</v>
      </c>
      <c r="K10" s="169">
        <v>0.89</v>
      </c>
      <c r="L10" s="170">
        <f>J10*1.25</f>
        <v>1.1125</v>
      </c>
      <c r="M10" s="171">
        <f>K10*1.25</f>
        <v>1.1125</v>
      </c>
      <c r="N10" s="170">
        <v>0.8</v>
      </c>
      <c r="O10" s="172">
        <v>0.86</v>
      </c>
      <c r="P10" s="168">
        <v>0.9</v>
      </c>
      <c r="Q10" s="171">
        <v>0.9</v>
      </c>
      <c r="R10" s="170">
        <v>0.81</v>
      </c>
      <c r="S10" s="170">
        <v>0.81</v>
      </c>
      <c r="T10" s="168">
        <v>0.84</v>
      </c>
      <c r="U10" s="168">
        <v>0.86</v>
      </c>
      <c r="V10" s="168">
        <v>0.91</v>
      </c>
      <c r="W10" s="171">
        <v>0.91</v>
      </c>
      <c r="X10" s="266" t="s">
        <v>76</v>
      </c>
      <c r="Y10" s="268" t="s">
        <v>93</v>
      </c>
    </row>
    <row r="11" spans="1:25" x14ac:dyDescent="0.25">
      <c r="A11" s="12" t="s">
        <v>34</v>
      </c>
      <c r="B11" s="15" t="s">
        <v>73</v>
      </c>
      <c r="C11" s="29">
        <f>'[1]Brennverdier og priser'!$F$12</f>
        <v>2.91</v>
      </c>
      <c r="D11" s="10">
        <f>'[1]Brennverdier og priser'!$F$11</f>
        <v>4.0999999999999996</v>
      </c>
      <c r="E11" s="10">
        <f>'[1]Brennverdier og priser'!$F$13</f>
        <v>4.7</v>
      </c>
      <c r="F11" s="15"/>
      <c r="G11" s="22" t="s">
        <v>40</v>
      </c>
      <c r="H11" s="73" t="s">
        <v>1</v>
      </c>
      <c r="I11" s="173">
        <f>I10/$C$12*$C$11</f>
        <v>0.72324561403508769</v>
      </c>
      <c r="J11" s="174">
        <f t="shared" ref="J11" si="0">J10/$C$12*$C$11</f>
        <v>0.757280701754386</v>
      </c>
      <c r="K11" s="175">
        <f>K10/$C$12*$C$11</f>
        <v>0.757280701754386</v>
      </c>
      <c r="L11" s="176">
        <f>L10/$C$12*$C$11</f>
        <v>0.94660087719298258</v>
      </c>
      <c r="M11" s="177">
        <f>M10/$C$12*$C$11</f>
        <v>0.94660087719298258</v>
      </c>
      <c r="N11" s="178">
        <f>N10/$D$12*$D$11</f>
        <v>0.7192982456140351</v>
      </c>
      <c r="O11" s="174">
        <f>O10/$D$12*$D$11</f>
        <v>0.77324561403508763</v>
      </c>
      <c r="P11" s="174">
        <f t="shared" ref="P11:Q11" si="1">P10/$D$12*$D$11</f>
        <v>0.80921052631578949</v>
      </c>
      <c r="Q11" s="179">
        <f t="shared" si="1"/>
        <v>0.80921052631578949</v>
      </c>
      <c r="R11" s="178">
        <f>R10/$E$12*$E$11</f>
        <v>0.74210526315789482</v>
      </c>
      <c r="S11" s="178">
        <f>S10/$E$12*$E$11</f>
        <v>0.74210526315789482</v>
      </c>
      <c r="T11" s="174">
        <f t="shared" ref="T11:W11" si="2">T10/$E$12*$E$11</f>
        <v>0.76959064327485383</v>
      </c>
      <c r="U11" s="173">
        <f t="shared" si="2"/>
        <v>0.78791423001949312</v>
      </c>
      <c r="V11" s="174">
        <f t="shared" si="2"/>
        <v>0.83372319688109175</v>
      </c>
      <c r="W11" s="179">
        <f t="shared" si="2"/>
        <v>0.83372319688109175</v>
      </c>
      <c r="X11" s="267"/>
      <c r="Y11" s="267"/>
    </row>
    <row r="12" spans="1:25" x14ac:dyDescent="0.25">
      <c r="A12" s="26" t="s">
        <v>35</v>
      </c>
      <c r="B12" s="15" t="s">
        <v>74</v>
      </c>
      <c r="C12" s="10">
        <f>'[1]Brennverdier og priser'!$D$12</f>
        <v>3.42</v>
      </c>
      <c r="D12" s="27">
        <f>'[1]Brennverdier og priser'!$D$11</f>
        <v>4.5599999999999996</v>
      </c>
      <c r="E12" s="27">
        <f>'[1]Brennverdier og priser'!$D$13</f>
        <v>5.13</v>
      </c>
      <c r="F12" s="15"/>
      <c r="G12" s="62" t="s">
        <v>7</v>
      </c>
      <c r="H12" s="69"/>
      <c r="I12" s="180"/>
      <c r="J12" s="181"/>
      <c r="K12" s="182"/>
      <c r="L12" s="183"/>
      <c r="M12" s="184"/>
      <c r="N12" s="185"/>
      <c r="O12" s="181"/>
      <c r="P12" s="186"/>
      <c r="Q12" s="187"/>
      <c r="R12" s="185"/>
      <c r="S12" s="185"/>
      <c r="T12" s="181"/>
      <c r="U12" s="180"/>
      <c r="V12" s="181"/>
      <c r="W12" s="187"/>
      <c r="X12" s="267"/>
      <c r="Y12" s="267"/>
    </row>
    <row r="13" spans="1:25" x14ac:dyDescent="0.25">
      <c r="A13" s="12" t="s">
        <v>36</v>
      </c>
      <c r="B13" s="15" t="s">
        <v>52</v>
      </c>
      <c r="C13" s="54">
        <f>'[1]Brennverdier og priser'!$D$37</f>
        <v>18.5</v>
      </c>
      <c r="D13" s="54">
        <f>'[1]Brennverdier og priser'!$D$36</f>
        <v>20</v>
      </c>
      <c r="E13" s="54">
        <f>'[1]Brennverdier og priser'!$D$32</f>
        <v>29.1</v>
      </c>
      <c r="F13" s="15"/>
      <c r="G13" s="3" t="s">
        <v>44</v>
      </c>
      <c r="H13" s="63" t="s">
        <v>28</v>
      </c>
      <c r="I13" s="188">
        <f>6500*C15</f>
        <v>7018.2563338301052</v>
      </c>
      <c r="J13" s="189">
        <f>5600*C15</f>
        <v>6046.4977645305516</v>
      </c>
      <c r="K13" s="190">
        <f>5600*C15</f>
        <v>6046.4977645305516</v>
      </c>
      <c r="L13" s="191">
        <f>J13+((4+3+3)*10^6*1.2)/(L7*1.25*10^3)-10</f>
        <v>6996.4977645305516</v>
      </c>
      <c r="M13" s="192">
        <f>K13+(2*(4+3+3)*10^6*1.2)/(M7*1.25*10^3)-2.5</f>
        <v>6683.9977645305516</v>
      </c>
      <c r="N13" s="193">
        <f>5600*C15</f>
        <v>6046.4977645305516</v>
      </c>
      <c r="O13" s="189">
        <f>5600*C15</f>
        <v>6046.4977645305516</v>
      </c>
      <c r="P13" s="189">
        <f>5100*C15</f>
        <v>5506.6318926974673</v>
      </c>
      <c r="Q13" s="192">
        <f>5100*C15</f>
        <v>5506.6318926974673</v>
      </c>
      <c r="R13" s="193">
        <f>7500*C15</f>
        <v>8097.9880774962749</v>
      </c>
      <c r="S13" s="193">
        <f>7500*C15*(1+C16)</f>
        <v>10122.485096870343</v>
      </c>
      <c r="T13" s="189">
        <f>6200*C15</f>
        <v>6694.336810730254</v>
      </c>
      <c r="U13" s="188">
        <f>4700*C15</f>
        <v>5074.739195230999</v>
      </c>
      <c r="V13" s="189">
        <f>3300*C15</f>
        <v>3563.1147540983611</v>
      </c>
      <c r="W13" s="192">
        <f>3700*C15</f>
        <v>3995.0074515648289</v>
      </c>
      <c r="X13" s="274" t="s">
        <v>76</v>
      </c>
      <c r="Y13" s="270" t="s">
        <v>75</v>
      </c>
    </row>
    <row r="14" spans="1:25" x14ac:dyDescent="0.25">
      <c r="A14" s="48" t="s">
        <v>9</v>
      </c>
      <c r="B14" s="15" t="s">
        <v>52</v>
      </c>
      <c r="C14" s="52">
        <f>'[1]NOX avgift'!$H$12</f>
        <v>0.40063917525773196</v>
      </c>
      <c r="D14" s="53">
        <f>'[1]NOX avgift'!$H$13</f>
        <v>0.37914146341463423</v>
      </c>
      <c r="E14" s="53">
        <f>'[1]NOX avgift'!$H$14</f>
        <v>0.37208297872340423</v>
      </c>
      <c r="F14" s="32"/>
      <c r="G14" s="3" t="s">
        <v>45</v>
      </c>
      <c r="H14" s="63" t="s">
        <v>28</v>
      </c>
      <c r="I14" s="188">
        <f>75*C15</f>
        <v>80.979880774962751</v>
      </c>
      <c r="J14" s="189">
        <f>40*C15</f>
        <v>43.189269746646801</v>
      </c>
      <c r="K14" s="190">
        <f>10*C15</f>
        <v>10.7973174366617</v>
      </c>
      <c r="L14" s="191">
        <f>J14+10</f>
        <v>53.189269746646801</v>
      </c>
      <c r="M14" s="192">
        <f>K14+2.5</f>
        <v>13.2973174366617</v>
      </c>
      <c r="N14" s="193">
        <f>700*C15</f>
        <v>755.81222056631896</v>
      </c>
      <c r="O14" s="189">
        <f>75*C15</f>
        <v>80.979880774962751</v>
      </c>
      <c r="P14" s="189">
        <f>40*C15</f>
        <v>43.189269746646801</v>
      </c>
      <c r="Q14" s="192">
        <f>10*C15</f>
        <v>10.7973174366617</v>
      </c>
      <c r="R14" s="193">
        <f>1500*C15</f>
        <v>1619.597615499255</v>
      </c>
      <c r="S14" s="193">
        <f>1500*C15*(1+C16)</f>
        <v>2024.4970193740687</v>
      </c>
      <c r="T14" s="189">
        <f>700*C15</f>
        <v>755.81222056631896</v>
      </c>
      <c r="U14" s="188">
        <f>75*C15</f>
        <v>80.979880774962751</v>
      </c>
      <c r="V14" s="189">
        <f>40*C15</f>
        <v>43.189269746646801</v>
      </c>
      <c r="W14" s="192">
        <f>10*C15</f>
        <v>10.7973174366617</v>
      </c>
      <c r="X14" s="274"/>
      <c r="Y14" s="270"/>
    </row>
    <row r="15" spans="1:25" x14ac:dyDescent="0.25">
      <c r="A15" s="48" t="s">
        <v>47</v>
      </c>
      <c r="B15" s="49" t="s">
        <v>48</v>
      </c>
      <c r="C15" s="50">
        <f>'[1]byggetid levetid rente'!$C$1</f>
        <v>1.07973174366617</v>
      </c>
      <c r="D15" s="32"/>
      <c r="E15" s="32"/>
      <c r="F15" s="32"/>
      <c r="G15" s="4" t="s">
        <v>46</v>
      </c>
      <c r="H15" s="67" t="s">
        <v>28</v>
      </c>
      <c r="I15" s="194">
        <f>SUM(I13:I14)*(((1+$C$3)*((1+$C$3)^$C$7-1))/($C$3*$C$7))-SUM(I13:I14)</f>
        <v>425.95417287631062</v>
      </c>
      <c r="J15" s="195">
        <f>SUM(J13:J14)*(((1+$C$3)*((1+$C$3)^$C$7-1))/($C$3*$C$7))-SUM(J13:J14)</f>
        <v>365.38122205663785</v>
      </c>
      <c r="K15" s="196">
        <f>SUM(K13:K14)*(((1+$C$3)*((1+$C$3)^$D$7-1))/($C$3*$D$7))-SUM(K13:K14)</f>
        <v>556.05968852459864</v>
      </c>
      <c r="L15" s="197">
        <f>SUM(L13:L14)*(((1+$C$3)*((1+$C$3)^$C$7-1))/($C$3*$C$7))-SUM(L13:L14)</f>
        <v>422.98122205663822</v>
      </c>
      <c r="M15" s="198">
        <f t="shared" ref="M15" si="3">SUM(M13:M14)*(((1+$C$3)*((1+$C$3)^$D$7-1))/($C$3*$D$7))-SUM(M13:M14)</f>
        <v>614.81168852459996</v>
      </c>
      <c r="N15" s="197">
        <f>SUM(N13:N14)*(((1+$C$3)*((1+$C$3)^$C$7-1))/($C$3*$C$7))-SUM(N13:N14)</f>
        <v>408.13859910581868</v>
      </c>
      <c r="O15" s="195">
        <f>SUM(O13:O14)*(((1+$C$3)*((1+$C$3)^$C$7-1))/($C$3*$C$7))-SUM(O13:O14)</f>
        <v>367.64865871833626</v>
      </c>
      <c r="P15" s="195">
        <f>SUM(P13:P14)*(((1+$C$3)*((1+$C$3)^$C$7-1))/($C$3*$C$7))-SUM(P13:P14)</f>
        <v>332.9892697466521</v>
      </c>
      <c r="Q15" s="199">
        <f>SUM(Q13:Q14)*(((1+$C$3)*((1+$C$3)^$D$7-1))/($C$3*$D$7))-SUM(Q13:Q14)</f>
        <v>506.50000149032076</v>
      </c>
      <c r="R15" s="197">
        <f>SUM(R13:R14)*(((1+$C$3)*((1+$C$3)^$C$7-1))/($C$3*$C$7))-SUM(R13:R14)</f>
        <v>583.05514157974176</v>
      </c>
      <c r="S15" s="197">
        <f>SUM(S13:S14)*(((1+$C$3)*((1+$C$3)^$C$7-1))/($C$3*$C$7))-SUM(S13:S14)</f>
        <v>728.81892697467629</v>
      </c>
      <c r="T15" s="195">
        <f>SUM(T13:T14)*(((1+$C$3)*((1+$C$3)^$C$7-1))/($C$3*$C$7))-SUM(T13:T14)</f>
        <v>447.00894187780159</v>
      </c>
      <c r="U15" s="194">
        <f>SUM(U13:U14)*(((1+$C$3)*((1+$C$3)^$C$7-1))/($C$3*$C$7))-SUM(U13:U14)</f>
        <v>309.34314456036282</v>
      </c>
      <c r="V15" s="195">
        <f>SUM(V13:V14)*(((1+$C$3)*((1+$C$3)^$C$7-1))/($C$3*$C$7))-SUM(V13:V14)</f>
        <v>216.37824143070384</v>
      </c>
      <c r="W15" s="199">
        <f>SUM(W13:W14)*(((1+$C$3)*((1+$C$3)^$D$7-1))/($C$3*$D$7))-SUM(W13:W14)</f>
        <v>367.73287779434258</v>
      </c>
      <c r="X15" s="267"/>
      <c r="Y15" s="267"/>
    </row>
    <row r="16" spans="1:25" x14ac:dyDescent="0.25">
      <c r="A16" s="48" t="s">
        <v>96</v>
      </c>
      <c r="B16" s="31" t="s">
        <v>97</v>
      </c>
      <c r="C16" s="279">
        <v>0.25</v>
      </c>
      <c r="D16" s="5"/>
      <c r="E16" s="5"/>
      <c r="F16" s="32"/>
      <c r="G16" s="22" t="s">
        <v>8</v>
      </c>
      <c r="H16" s="68" t="s">
        <v>28</v>
      </c>
      <c r="I16" s="200">
        <f>SUM(I13:I15)</f>
        <v>7525.1903874813788</v>
      </c>
      <c r="J16" s="201">
        <f t="shared" ref="J16:W16" si="4">SUM(J13:J15)</f>
        <v>6455.068256333836</v>
      </c>
      <c r="K16" s="202">
        <f>SUM(K13:K15)</f>
        <v>6613.3547704918119</v>
      </c>
      <c r="L16" s="203">
        <f t="shared" ref="L16:M16" si="5">SUM(L13:L15)</f>
        <v>7472.6682563338363</v>
      </c>
      <c r="M16" s="204">
        <f t="shared" si="5"/>
        <v>7312.1067704918132</v>
      </c>
      <c r="N16" s="203">
        <f t="shared" si="4"/>
        <v>7210.4485842026888</v>
      </c>
      <c r="O16" s="201">
        <f t="shared" si="4"/>
        <v>6495.1263040238509</v>
      </c>
      <c r="P16" s="205">
        <f t="shared" si="4"/>
        <v>5882.8104321907658</v>
      </c>
      <c r="Q16" s="206">
        <f t="shared" si="4"/>
        <v>6023.9292116244496</v>
      </c>
      <c r="R16" s="203">
        <f t="shared" si="4"/>
        <v>10300.640834575272</v>
      </c>
      <c r="S16" s="203">
        <f t="shared" ref="S16" si="6">SUM(S13:S15)</f>
        <v>12875.801043219088</v>
      </c>
      <c r="T16" s="200">
        <f t="shared" si="4"/>
        <v>7897.1579731743741</v>
      </c>
      <c r="U16" s="200">
        <f t="shared" si="4"/>
        <v>5465.0622205663249</v>
      </c>
      <c r="V16" s="200">
        <f t="shared" si="4"/>
        <v>3822.6822652757119</v>
      </c>
      <c r="W16" s="206">
        <f t="shared" si="4"/>
        <v>4373.5376467958331</v>
      </c>
      <c r="X16" s="267"/>
      <c r="Y16" s="267"/>
    </row>
    <row r="17" spans="1:25" x14ac:dyDescent="0.25">
      <c r="C17" s="11"/>
      <c r="D17" s="5"/>
      <c r="E17" s="5"/>
      <c r="F17" s="5"/>
      <c r="G17" s="22" t="s">
        <v>0</v>
      </c>
      <c r="H17" s="68" t="s">
        <v>43</v>
      </c>
      <c r="I17" s="207">
        <f>Driftskostnader!D11</f>
        <v>390</v>
      </c>
      <c r="J17" s="208">
        <f>Driftskostnader!E11</f>
        <v>280</v>
      </c>
      <c r="K17" s="207">
        <f>Driftskostnader!F11</f>
        <v>150</v>
      </c>
      <c r="L17" s="209">
        <f>J17+(800000*1.2/4)/(L7*1.25*10^3)</f>
        <v>299.2</v>
      </c>
      <c r="M17" s="210">
        <f>K17+(2*800000*1.2/4)/(M7*1.25*10^3)</f>
        <v>162.80000000000001</v>
      </c>
      <c r="N17" s="211">
        <f>Driftskostnader!G11</f>
        <v>600</v>
      </c>
      <c r="O17" s="212">
        <f>Driftskostnader!H11</f>
        <v>360</v>
      </c>
      <c r="P17" s="212">
        <f>Driftskostnader!I11</f>
        <v>200</v>
      </c>
      <c r="Q17" s="213">
        <f>Driftskostnader!J11</f>
        <v>110</v>
      </c>
      <c r="R17" s="214">
        <f>Driftskostnader!K11</f>
        <v>750</v>
      </c>
      <c r="S17" s="214">
        <f>Driftskostnader!K11*(1+C16)</f>
        <v>937.5</v>
      </c>
      <c r="T17" s="215">
        <f>Driftskostnader!L11</f>
        <v>520</v>
      </c>
      <c r="U17" s="212">
        <f>Driftskostnader!M11</f>
        <v>280</v>
      </c>
      <c r="V17" s="212">
        <f>Driftskostnader!N11</f>
        <v>100</v>
      </c>
      <c r="W17" s="213">
        <f>Driftskostnader!O11</f>
        <v>65</v>
      </c>
      <c r="X17" s="266" t="s">
        <v>79</v>
      </c>
      <c r="Y17" s="267"/>
    </row>
    <row r="18" spans="1:25" x14ac:dyDescent="0.25">
      <c r="A18" s="33"/>
      <c r="B18" s="31"/>
      <c r="C18" s="11"/>
      <c r="D18" s="5"/>
      <c r="E18" s="5"/>
      <c r="F18" s="5"/>
      <c r="G18" s="4" t="s">
        <v>51</v>
      </c>
      <c r="H18" s="67" t="s">
        <v>53</v>
      </c>
      <c r="I18" s="216">
        <f>1/I10</f>
        <v>1.1764705882352942</v>
      </c>
      <c r="J18" s="217">
        <f t="shared" ref="J18:W18" si="7">1/J10</f>
        <v>1.1235955056179776</v>
      </c>
      <c r="K18" s="216">
        <f t="shared" si="7"/>
        <v>1.1235955056179776</v>
      </c>
      <c r="L18" s="218">
        <f>1/L10</f>
        <v>0.898876404494382</v>
      </c>
      <c r="M18" s="219">
        <f t="shared" si="7"/>
        <v>0.898876404494382</v>
      </c>
      <c r="N18" s="220">
        <f t="shared" si="7"/>
        <v>1.25</v>
      </c>
      <c r="O18" s="217">
        <f t="shared" si="7"/>
        <v>1.1627906976744187</v>
      </c>
      <c r="P18" s="217">
        <f t="shared" si="7"/>
        <v>1.1111111111111112</v>
      </c>
      <c r="Q18" s="219">
        <f t="shared" si="7"/>
        <v>1.1111111111111112</v>
      </c>
      <c r="R18" s="220">
        <f t="shared" si="7"/>
        <v>1.2345679012345678</v>
      </c>
      <c r="S18" s="220">
        <f t="shared" ref="S18" si="8">1/S10</f>
        <v>1.2345679012345678</v>
      </c>
      <c r="T18" s="217">
        <f t="shared" si="7"/>
        <v>1.1904761904761905</v>
      </c>
      <c r="U18" s="216">
        <f t="shared" si="7"/>
        <v>1.1627906976744187</v>
      </c>
      <c r="V18" s="217">
        <f t="shared" si="7"/>
        <v>1.0989010989010988</v>
      </c>
      <c r="W18" s="219">
        <f t="shared" si="7"/>
        <v>1.0989010989010988</v>
      </c>
      <c r="X18" s="269"/>
      <c r="Y18" s="267"/>
    </row>
    <row r="19" spans="1:25" x14ac:dyDescent="0.25">
      <c r="A19" s="30"/>
      <c r="B19" s="31"/>
      <c r="C19" s="11"/>
      <c r="D19" s="5"/>
      <c r="E19" s="5"/>
      <c r="F19" s="5"/>
      <c r="G19" s="4" t="s">
        <v>36</v>
      </c>
      <c r="H19" s="70" t="s">
        <v>52</v>
      </c>
      <c r="I19" s="221">
        <f>$C$13</f>
        <v>18.5</v>
      </c>
      <c r="J19" s="222">
        <f t="shared" ref="J19:K19" si="9">$C$13</f>
        <v>18.5</v>
      </c>
      <c r="K19" s="221">
        <f t="shared" si="9"/>
        <v>18.5</v>
      </c>
      <c r="L19" s="223">
        <f>$C$13</f>
        <v>18.5</v>
      </c>
      <c r="M19" s="224">
        <f>$C$13</f>
        <v>18.5</v>
      </c>
      <c r="N19" s="225">
        <f>$D$13</f>
        <v>20</v>
      </c>
      <c r="O19" s="222">
        <f t="shared" ref="O19:Q19" si="10">$D$13</f>
        <v>20</v>
      </c>
      <c r="P19" s="222">
        <f t="shared" si="10"/>
        <v>20</v>
      </c>
      <c r="Q19" s="224">
        <f t="shared" si="10"/>
        <v>20</v>
      </c>
      <c r="R19" s="225">
        <f>$E$13</f>
        <v>29.1</v>
      </c>
      <c r="S19" s="225">
        <f>$E$13*(1+C16)</f>
        <v>36.375</v>
      </c>
      <c r="T19" s="222">
        <f t="shared" ref="T19:W19" si="11">$E$13</f>
        <v>29.1</v>
      </c>
      <c r="U19" s="221">
        <f t="shared" si="11"/>
        <v>29.1</v>
      </c>
      <c r="V19" s="222">
        <f t="shared" si="11"/>
        <v>29.1</v>
      </c>
      <c r="W19" s="224">
        <f t="shared" si="11"/>
        <v>29.1</v>
      </c>
      <c r="X19" s="267"/>
      <c r="Y19" s="267"/>
    </row>
    <row r="20" spans="1:25" x14ac:dyDescent="0.25">
      <c r="A20" s="5"/>
      <c r="B20" s="5"/>
      <c r="C20" s="5"/>
      <c r="D20" s="5"/>
      <c r="E20" s="5"/>
      <c r="F20" s="5"/>
      <c r="G20" s="4" t="s">
        <v>9</v>
      </c>
      <c r="H20" s="70" t="s">
        <v>52</v>
      </c>
      <c r="I20" s="226">
        <v>0</v>
      </c>
      <c r="J20" s="227">
        <v>0</v>
      </c>
      <c r="K20" s="228">
        <f>$C$14</f>
        <v>0.40063917525773196</v>
      </c>
      <c r="L20" s="229">
        <v>0</v>
      </c>
      <c r="M20" s="230">
        <f t="shared" ref="M20" si="12">$C$14</f>
        <v>0.40063917525773196</v>
      </c>
      <c r="N20" s="231">
        <v>0</v>
      </c>
      <c r="O20" s="232">
        <v>0</v>
      </c>
      <c r="P20" s="227">
        <v>0</v>
      </c>
      <c r="Q20" s="230">
        <f t="shared" ref="Q20" si="13">$C$14</f>
        <v>0.40063917525773196</v>
      </c>
      <c r="R20" s="231">
        <v>0</v>
      </c>
      <c r="S20" s="231">
        <v>0</v>
      </c>
      <c r="T20" s="232">
        <v>0</v>
      </c>
      <c r="U20" s="226">
        <v>0</v>
      </c>
      <c r="V20" s="227">
        <v>0</v>
      </c>
      <c r="W20" s="230">
        <f t="shared" ref="W20" si="14">$C$14</f>
        <v>0.40063917525773196</v>
      </c>
      <c r="X20" s="267"/>
      <c r="Y20" s="267"/>
    </row>
    <row r="21" spans="1:25" x14ac:dyDescent="0.25">
      <c r="A21" s="5"/>
      <c r="B21" s="5"/>
      <c r="C21" s="5"/>
      <c r="D21" s="5"/>
      <c r="E21" s="5"/>
      <c r="F21" s="5"/>
      <c r="G21" s="28" t="s">
        <v>10</v>
      </c>
      <c r="H21" s="71" t="s">
        <v>2</v>
      </c>
      <c r="I21" s="233">
        <f>(I19+I20)*I18</f>
        <v>21.764705882352942</v>
      </c>
      <c r="J21" s="234">
        <f t="shared" ref="J21:W21" si="15">(J19+J20)*J18</f>
        <v>20.786516853932586</v>
      </c>
      <c r="K21" s="233">
        <f t="shared" si="15"/>
        <v>21.236673230626668</v>
      </c>
      <c r="L21" s="235">
        <f t="shared" si="15"/>
        <v>16.629213483146067</v>
      </c>
      <c r="M21" s="236">
        <f t="shared" si="15"/>
        <v>16.989338584501333</v>
      </c>
      <c r="N21" s="237">
        <f t="shared" si="15"/>
        <v>25</v>
      </c>
      <c r="O21" s="234">
        <f t="shared" si="15"/>
        <v>23.255813953488374</v>
      </c>
      <c r="P21" s="234">
        <f t="shared" si="15"/>
        <v>22.222222222222221</v>
      </c>
      <c r="Q21" s="236">
        <f t="shared" si="15"/>
        <v>22.667376861397482</v>
      </c>
      <c r="R21" s="237">
        <f t="shared" si="15"/>
        <v>35.925925925925924</v>
      </c>
      <c r="S21" s="237">
        <f t="shared" ref="S21" si="16">(S19+S20)*S18</f>
        <v>44.907407407407405</v>
      </c>
      <c r="T21" s="234">
        <f t="shared" si="15"/>
        <v>34.642857142857146</v>
      </c>
      <c r="U21" s="233">
        <f t="shared" si="15"/>
        <v>33.837209302325583</v>
      </c>
      <c r="V21" s="234">
        <f>(V19+V20)*V18</f>
        <v>31.978021978021975</v>
      </c>
      <c r="W21" s="236">
        <f t="shared" si="15"/>
        <v>32.418284807975532</v>
      </c>
      <c r="X21" s="267"/>
      <c r="Y21" s="267"/>
    </row>
    <row r="22" spans="1:25" x14ac:dyDescent="0.25">
      <c r="A22" s="5"/>
      <c r="B22" s="5"/>
      <c r="C22" s="5"/>
      <c r="D22" s="5"/>
      <c r="E22" s="5"/>
      <c r="F22" s="5"/>
      <c r="G22" s="25" t="s">
        <v>11</v>
      </c>
      <c r="H22" s="72" t="s">
        <v>2</v>
      </c>
      <c r="I22" s="238">
        <f>Driftskostnader!D10</f>
        <v>2.1064281382656156</v>
      </c>
      <c r="J22" s="239">
        <f>Driftskostnader!E10</f>
        <v>2.0791729410401945</v>
      </c>
      <c r="K22" s="238">
        <f>Driftskostnader!F10</f>
        <v>2.0791729410401945</v>
      </c>
      <c r="L22" s="240">
        <f>J22+1</f>
        <v>3.0791729410401945</v>
      </c>
      <c r="M22" s="241">
        <f>K22+1</f>
        <v>3.0791729410401945</v>
      </c>
      <c r="N22" s="242">
        <f>Driftskostnader!G10</f>
        <v>1.2048780487804878</v>
      </c>
      <c r="O22" s="238">
        <f>Driftskostnader!H10</f>
        <v>1.183607487237663</v>
      </c>
      <c r="P22" s="239">
        <f>Driftskostnader!I10</f>
        <v>1.1710027100271003</v>
      </c>
      <c r="Q22" s="241">
        <f>Driftskostnader!J10</f>
        <v>1.1710027100271003</v>
      </c>
      <c r="R22" s="242">
        <f>Driftskostnader!K10</f>
        <v>0.73133701076963487</v>
      </c>
      <c r="S22" s="242">
        <f>Driftskostnader!K10*(1+C16)</f>
        <v>0.91417126346204358</v>
      </c>
      <c r="T22" s="243">
        <f>Driftskostnader!L10</f>
        <v>0.72664640324214791</v>
      </c>
      <c r="U22" s="239">
        <f>Driftskostnader!M10</f>
        <v>0.72370113805047009</v>
      </c>
      <c r="V22" s="239">
        <f>Driftskostnader!N10</f>
        <v>0.7169043722235211</v>
      </c>
      <c r="W22" s="244">
        <f>Driftskostnader!O10</f>
        <v>0.7169043722235211</v>
      </c>
      <c r="X22" s="266" t="s">
        <v>79</v>
      </c>
      <c r="Y22" s="267"/>
    </row>
    <row r="23" spans="1:25" ht="15.75" thickBot="1" x14ac:dyDescent="0.3">
      <c r="A23" s="5"/>
      <c r="B23" s="5"/>
      <c r="C23" s="5"/>
      <c r="D23" s="5"/>
      <c r="E23" s="5"/>
      <c r="F23" s="5"/>
      <c r="G23" s="34" t="s">
        <v>19</v>
      </c>
      <c r="H23" s="64" t="s">
        <v>2</v>
      </c>
      <c r="I23" s="245">
        <f>(I30+I31+I32+I33)/I34</f>
        <v>67.131659111083295</v>
      </c>
      <c r="J23" s="246">
        <f t="shared" ref="J23:W23" si="17">(J30+J31+J32+J33)/J34</f>
        <v>49.723572253833943</v>
      </c>
      <c r="K23" s="246">
        <f>(K30+K31+K32+K33)/K34</f>
        <v>40.359211993992034</v>
      </c>
      <c r="L23" s="247">
        <f>(L30+L31+L32+L33)/L34</f>
        <v>44.008142702110867</v>
      </c>
      <c r="M23" s="248">
        <f t="shared" ref="M23" si="18">(M30+M31+M32+M33)/M34</f>
        <v>35.077053584773488</v>
      </c>
      <c r="N23" s="247">
        <f>(N30+N31+N32+N33)/N34</f>
        <v>86.575129959378771</v>
      </c>
      <c r="O23" s="249">
        <f t="shared" si="17"/>
        <v>62.226121364787559</v>
      </c>
      <c r="P23" s="249">
        <f t="shared" si="17"/>
        <v>46.073624330037603</v>
      </c>
      <c r="Q23" s="248">
        <f>(Q30+Q31+Q32+Q33)/Q34</f>
        <v>38.5534282731901</v>
      </c>
      <c r="R23" s="247">
        <f t="shared" si="17"/>
        <v>117.25126676309998</v>
      </c>
      <c r="S23" s="247">
        <f t="shared" ref="S23" si="19">(S30+S31+S32+S33)/S34</f>
        <v>146.56408345387496</v>
      </c>
      <c r="T23" s="250">
        <f t="shared" si="17"/>
        <v>92.651876663467505</v>
      </c>
      <c r="U23" s="250">
        <f>(U30+U31+U3+U33)/U34</f>
        <v>64.88032854491</v>
      </c>
      <c r="V23" s="251">
        <f t="shared" si="17"/>
        <v>46.557902147434071</v>
      </c>
      <c r="W23" s="252">
        <f t="shared" si="17"/>
        <v>43.487426117514666</v>
      </c>
      <c r="X23" s="267"/>
      <c r="Y23" s="267"/>
    </row>
    <row r="24" spans="1:25" ht="90" x14ac:dyDescent="0.25">
      <c r="A24" s="5"/>
      <c r="B24" s="5"/>
      <c r="C24" s="5"/>
      <c r="D24" s="5"/>
      <c r="E24" s="5"/>
      <c r="F24" s="5"/>
      <c r="G24" s="65" t="s">
        <v>18</v>
      </c>
      <c r="H24" s="66"/>
      <c r="I24" s="253">
        <v>0.98</v>
      </c>
      <c r="J24" s="253">
        <v>0.98</v>
      </c>
      <c r="K24" s="253">
        <v>0.98</v>
      </c>
      <c r="L24" s="253">
        <v>0.98</v>
      </c>
      <c r="M24" s="253">
        <v>0.98</v>
      </c>
      <c r="N24" s="253">
        <v>0.98</v>
      </c>
      <c r="O24" s="253">
        <v>0.98</v>
      </c>
      <c r="P24" s="253">
        <v>0.98</v>
      </c>
      <c r="Q24" s="253">
        <v>0.98</v>
      </c>
      <c r="R24" s="253">
        <v>0.98</v>
      </c>
      <c r="S24" s="253">
        <v>0.98</v>
      </c>
      <c r="T24" s="253">
        <v>0.98</v>
      </c>
      <c r="U24" s="253">
        <v>0.98</v>
      </c>
      <c r="V24" s="253">
        <v>0.98</v>
      </c>
      <c r="W24" s="253">
        <v>0.98</v>
      </c>
      <c r="X24" s="266" t="s">
        <v>78</v>
      </c>
      <c r="Y24" s="268" t="s">
        <v>94</v>
      </c>
    </row>
    <row r="25" spans="1:25" ht="15.75" thickBot="1" x14ac:dyDescent="0.3">
      <c r="A25" s="5"/>
      <c r="B25" s="5"/>
      <c r="C25" s="5"/>
      <c r="D25" s="5"/>
      <c r="E25" s="5"/>
      <c r="F25" s="5"/>
      <c r="G25" s="34" t="s">
        <v>20</v>
      </c>
      <c r="H25" s="64" t="s">
        <v>2</v>
      </c>
      <c r="I25" s="247">
        <f>I23*I24</f>
        <v>65.789025928861633</v>
      </c>
      <c r="J25" s="246">
        <f t="shared" ref="J25" si="20">J23*J24</f>
        <v>48.729100808757266</v>
      </c>
      <c r="K25" s="248">
        <f>K23*K24</f>
        <v>39.552027754112196</v>
      </c>
      <c r="L25" s="247">
        <f>L23*L24</f>
        <v>43.127979848068648</v>
      </c>
      <c r="M25" s="254">
        <f>M23*M24</f>
        <v>34.375512513078014</v>
      </c>
      <c r="N25" s="250">
        <f>N23*N24</f>
        <v>84.843627360191192</v>
      </c>
      <c r="O25" s="255">
        <f t="shared" ref="O25:P25" si="21">O23*O24</f>
        <v>60.98159893749181</v>
      </c>
      <c r="P25" s="251">
        <f t="shared" si="21"/>
        <v>45.152151843436847</v>
      </c>
      <c r="Q25" s="250">
        <f>Q23*Q24</f>
        <v>37.7823597077263</v>
      </c>
      <c r="R25" s="249">
        <f t="shared" ref="R25:S25" si="22">R23*R24</f>
        <v>114.90624142783797</v>
      </c>
      <c r="S25" s="249">
        <f t="shared" si="22"/>
        <v>143.63280178479746</v>
      </c>
      <c r="T25" s="249">
        <f t="shared" ref="T25:W25" si="23">T23*T24</f>
        <v>90.798839130198147</v>
      </c>
      <c r="U25" s="249">
        <f t="shared" si="23"/>
        <v>63.582721974011797</v>
      </c>
      <c r="V25" s="249">
        <f t="shared" si="23"/>
        <v>45.62674410448539</v>
      </c>
      <c r="W25" s="248">
        <f t="shared" si="23"/>
        <v>42.617677595164373</v>
      </c>
      <c r="X25" s="5"/>
      <c r="Y25" s="5"/>
    </row>
    <row r="26" spans="1:25" x14ac:dyDescent="0.25">
      <c r="A26" s="5"/>
      <c r="B26" s="5"/>
      <c r="C26" s="5"/>
      <c r="D26" s="5"/>
      <c r="E26" s="5"/>
      <c r="F26" s="5"/>
      <c r="G26" s="5"/>
      <c r="H26" s="5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5"/>
      <c r="Y26" s="5"/>
    </row>
    <row r="27" spans="1:25" x14ac:dyDescent="0.25">
      <c r="A27" s="5"/>
      <c r="B27" s="5"/>
      <c r="C27" s="5"/>
      <c r="D27" s="5"/>
      <c r="E27" s="5"/>
      <c r="F27" s="5"/>
      <c r="G27" s="35"/>
      <c r="H27" s="36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5"/>
      <c r="Y27" s="5"/>
    </row>
    <row r="28" spans="1:25" x14ac:dyDescent="0.25">
      <c r="A28" s="5"/>
      <c r="B28" s="5"/>
      <c r="C28" s="5"/>
      <c r="D28" s="5"/>
      <c r="E28" s="5"/>
      <c r="F28" s="5"/>
      <c r="G28" s="75"/>
      <c r="H28" s="75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5"/>
      <c r="Y28" s="5"/>
    </row>
    <row r="29" spans="1:25" x14ac:dyDescent="0.25">
      <c r="A29" s="5"/>
      <c r="B29" s="5"/>
      <c r="C29" s="5"/>
      <c r="D29" s="5"/>
      <c r="E29" s="5"/>
      <c r="F29" s="6"/>
      <c r="G29" s="57" t="s">
        <v>12</v>
      </c>
      <c r="H29" s="74"/>
      <c r="I29" s="259"/>
      <c r="J29" s="259"/>
      <c r="K29" s="259"/>
      <c r="L29" s="259"/>
      <c r="M29" s="260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5"/>
      <c r="Y29" s="5"/>
    </row>
    <row r="30" spans="1:25" x14ac:dyDescent="0.25">
      <c r="A30" s="5"/>
      <c r="B30" s="5"/>
      <c r="C30" s="5"/>
      <c r="D30" s="5"/>
      <c r="E30" s="5"/>
      <c r="F30" s="5"/>
      <c r="G30" s="37" t="str">
        <f>G12</f>
        <v>Investeringskostnader</v>
      </c>
      <c r="H30" s="38" t="s">
        <v>13</v>
      </c>
      <c r="I30" s="261">
        <f t="shared" ref="I30:W30" si="24">I16*100*1000*I7</f>
        <v>752519038.74813783</v>
      </c>
      <c r="J30" s="261">
        <f t="shared" si="24"/>
        <v>6455068256.3338366</v>
      </c>
      <c r="K30" s="261">
        <f t="shared" si="24"/>
        <v>19840064311.475437</v>
      </c>
      <c r="L30" s="261">
        <f>L16*100*1000*L7</f>
        <v>7472668256.3338366</v>
      </c>
      <c r="M30" s="261">
        <f>M16*100*1000*M7</f>
        <v>21936320311.475441</v>
      </c>
      <c r="N30" s="261">
        <f t="shared" si="24"/>
        <v>108156728.76304033</v>
      </c>
      <c r="O30" s="261">
        <f t="shared" si="24"/>
        <v>649512630.40238512</v>
      </c>
      <c r="P30" s="261">
        <f t="shared" si="24"/>
        <v>5882810432.1907663</v>
      </c>
      <c r="Q30" s="261">
        <f t="shared" si="24"/>
        <v>18071787634.873348</v>
      </c>
      <c r="R30" s="261">
        <f t="shared" si="24"/>
        <v>10300640.834575271</v>
      </c>
      <c r="S30" s="261">
        <f t="shared" ref="S30" si="25">S16*100*1000*S7</f>
        <v>12875801.043219088</v>
      </c>
      <c r="T30" s="261">
        <f t="shared" si="24"/>
        <v>118457369.59761561</v>
      </c>
      <c r="U30" s="261">
        <f t="shared" si="24"/>
        <v>546506222.05663252</v>
      </c>
      <c r="V30" s="261">
        <f>V16*100*1000*V7</f>
        <v>3822682265.275712</v>
      </c>
      <c r="W30" s="262">
        <f t="shared" si="24"/>
        <v>13120612940.387499</v>
      </c>
      <c r="X30" s="5"/>
      <c r="Y30" s="5"/>
    </row>
    <row r="31" spans="1:25" x14ac:dyDescent="0.25">
      <c r="A31" s="5"/>
      <c r="B31" s="5"/>
      <c r="C31" s="5"/>
      <c r="D31" s="5"/>
      <c r="E31" s="5"/>
      <c r="F31" s="5"/>
      <c r="G31" s="39" t="str">
        <f>G17</f>
        <v>Faste driftskostnader</v>
      </c>
      <c r="H31" s="40" t="s">
        <v>13</v>
      </c>
      <c r="I31" s="258">
        <f>-PV($C$3,$C$8,I17*100*1000*I7)</f>
        <v>378777710.52189881</v>
      </c>
      <c r="J31" s="258">
        <f>-PV($C$3,$C$8,J17*100*1000*J7)</f>
        <v>2719429716.5674787</v>
      </c>
      <c r="K31" s="258">
        <f>-PV($C$3,$D$8,K17*100*1000*K7)</f>
        <v>5752510271.2207851</v>
      </c>
      <c r="L31" s="258">
        <f>-PV($C$3,$C$8,L17*100*1000*L7)</f>
        <v>2905904897.1321054</v>
      </c>
      <c r="M31" s="258">
        <f>-PV($C$3,$D$8,M17*100*1000*M7)</f>
        <v>6243391147.6982937</v>
      </c>
      <c r="N31" s="258">
        <f>-PV($C$3,$C$8,N17*100*1000*N7)</f>
        <v>87410240.889668956</v>
      </c>
      <c r="O31" s="258">
        <f>-PV($C$3,$C$8,O17*100*1000*O7)</f>
        <v>349640963.55867583</v>
      </c>
      <c r="P31" s="258">
        <f>-PV($C$3,$C$8,P17*100*1000*P7)</f>
        <v>1942449797.5481989</v>
      </c>
      <c r="Q31" s="258">
        <f>-PV($C$3,$D$8,Q17*100*1000*Q7)</f>
        <v>4218507532.2285757</v>
      </c>
      <c r="R31" s="258">
        <f>-PV($C$3,$C$8,R17*100*1000*R7)</f>
        <v>7284186.7408057461</v>
      </c>
      <c r="S31" s="258">
        <f>-PV($C$3,$C$8,S17*100*1000*S7)</f>
        <v>9105233.4260071833</v>
      </c>
      <c r="T31" s="258">
        <f>-PV($C$3,$C$8,T17*100*1000*T7)</f>
        <v>75755542.104379758</v>
      </c>
      <c r="U31" s="258">
        <f>-PV($C$3,$C$8,U17*100*1000*U7)</f>
        <v>271942971.65674788</v>
      </c>
      <c r="V31" s="258">
        <f>-PV($C$3,$C$8,V17*100*1000*V7)</f>
        <v>971224898.77409947</v>
      </c>
      <c r="W31" s="263">
        <f>-PV($C$3,$D$8,W17*100*1000*W7)</f>
        <v>2492754450.8623405</v>
      </c>
      <c r="X31" s="5"/>
      <c r="Y31" s="5"/>
    </row>
    <row r="32" spans="1:25" x14ac:dyDescent="0.25">
      <c r="A32" s="5"/>
      <c r="B32" s="5"/>
      <c r="C32" s="5"/>
      <c r="D32" s="5"/>
      <c r="E32" s="5"/>
      <c r="F32" s="5"/>
      <c r="G32" s="39" t="str">
        <f>G22</f>
        <v>Variable kostnader eks brensel</v>
      </c>
      <c r="H32" s="40" t="s">
        <v>13</v>
      </c>
      <c r="I32" s="258">
        <f>-PV($C$3,$C$8,I10*I22*1000*I7*I9)</f>
        <v>55646180.385844693</v>
      </c>
      <c r="J32" s="258">
        <f>-PV($C$3,$C$8,J10*J22*1000*J7*J9)</f>
        <v>718886652.39363694</v>
      </c>
      <c r="K32" s="258">
        <f>-PV($C$3,$D$8,K10*K22*1000*K7*K9)</f>
        <v>3193443807.6271391</v>
      </c>
      <c r="L32" s="258">
        <f>-PV($C$3,$C$8,L10*L22*1000*(L7)*L9)</f>
        <v>1330803395.4465206</v>
      </c>
      <c r="M32" s="258">
        <f>-PV($C$3,$D$8,M10*M22*1000*(M7)*M9)</f>
        <v>5911705062.5538607</v>
      </c>
      <c r="N32" s="258">
        <f>-PV($C$3,$C$8,N11*N22*1000*N7*N9)</f>
        <v>3535258.631537722</v>
      </c>
      <c r="O32" s="258">
        <f>-PV($C$3,$C$8,O10*O22*1000*O7*O9)</f>
        <v>31635590.185707908</v>
      </c>
      <c r="P32" s="258">
        <f>-PV($C$3,$C$8,P10*P22*1000*P7*P9)</f>
        <v>409430515.86369598</v>
      </c>
      <c r="Q32" s="258">
        <f>-PV($C$3,$D$8,Q22*1000*Q7*Q9*Q10)</f>
        <v>1818775381.6057329</v>
      </c>
      <c r="R32" s="258">
        <f>-PV($C$3,$C$8,R22*1000*R7*R9*R10)</f>
        <v>161094.38759291862</v>
      </c>
      <c r="S32" s="258">
        <f>-PV($C$3,$C$8,S22*1000*S7*S9*S10)</f>
        <v>201367.98449114827</v>
      </c>
      <c r="T32" s="258">
        <f>-PV($C$3,$C$8,T10*T22*1000*T7*T9)</f>
        <v>2489840.4162411005</v>
      </c>
      <c r="U32" s="258">
        <f>-PV($C$3,$C$8,U10*U22*1000*U7*U9)</f>
        <v>19343163.056299545</v>
      </c>
      <c r="V32" s="258">
        <f>-PV($C$3,$C$8,V22*1000*V7*V9*V10)</f>
        <v>253444236.98903352</v>
      </c>
      <c r="W32" s="263">
        <f>-PV($C$3,$D$8,W10*W22*1000*W7*W9)</f>
        <v>1125851935.7627983</v>
      </c>
      <c r="X32" s="5"/>
      <c r="Y32" s="5"/>
    </row>
    <row r="33" spans="1:25" x14ac:dyDescent="0.25">
      <c r="A33" s="5"/>
      <c r="B33" s="5"/>
      <c r="C33" s="5"/>
      <c r="D33" s="5"/>
      <c r="E33" s="5"/>
      <c r="F33" s="5"/>
      <c r="G33" s="39" t="str">
        <f>G21</f>
        <v>Brensels- og utslippskostnader</v>
      </c>
      <c r="H33" s="40" t="s">
        <v>13</v>
      </c>
      <c r="I33" s="258">
        <f>-PV($C$3,$C$8,I10*I21*1000*I7*I9)</f>
        <v>574965140.07426691</v>
      </c>
      <c r="J33" s="258">
        <f>-PV($C$3,$C$8,J10*J21*1000*J7*J9)</f>
        <v>7187064250.9283371</v>
      </c>
      <c r="K33" s="258">
        <f>-PV($C$3,$D$8,K10*K21*1000*K7*K9)</f>
        <v>32617836296.492416</v>
      </c>
      <c r="L33" s="258">
        <f>-PV($C$3,$C$8,L10*L21*1000*(L7)*L9)</f>
        <v>7187064250.9283371</v>
      </c>
      <c r="M33" s="258">
        <f>-PV($C$3,$D$8,M10*M21*1000*(M7)*M9)</f>
        <v>32617836296.492416</v>
      </c>
      <c r="N33" s="258">
        <f>-PV($C$3,$C$8,N10*N21*1000*N7*N9)</f>
        <v>81582891.497024357</v>
      </c>
      <c r="O33" s="258">
        <f>-PV($C$3,$C$8,O10*O21*1000*O7*O9)</f>
        <v>621583935.2154237</v>
      </c>
      <c r="P33" s="258">
        <f>-PV($C$3,$C$8,P10*P21*1000*P7*P9)</f>
        <v>7769799190.1927958</v>
      </c>
      <c r="Q33" s="258">
        <f>-PV($C$3,$D$8,Q10*Q21*1000*Q7*Q9)</f>
        <v>35206465918.541771</v>
      </c>
      <c r="R33" s="258">
        <f>-PV($C$3,$C$8,R10*R21*1000*R7*R9)</f>
        <v>7913540.4752113624</v>
      </c>
      <c r="S33" s="258">
        <f>-PV($C$3,$C$8,S10*S21*1000*S7*S9)</f>
        <v>9891925.5940142032</v>
      </c>
      <c r="T33" s="258">
        <f>-PV($C$3,$C$8,T10*T21*1000*T7*T9)</f>
        <v>118703107.12817043</v>
      </c>
      <c r="U33" s="258">
        <f>-PV($C$3,$C$8,U10*U21*1000*U7*U9)</f>
        <v>904404625.73844147</v>
      </c>
      <c r="V33" s="258">
        <f>-PV($C$3,$C$8,V10*V21*1000*V7*V9)</f>
        <v>11305057821.730516</v>
      </c>
      <c r="W33" s="263">
        <f>-PV($C$3,$D$8,W10*W21*1000*W7*W9)</f>
        <v>50910818958.974525</v>
      </c>
      <c r="X33" s="5"/>
      <c r="Y33" s="5"/>
    </row>
    <row r="34" spans="1:25" x14ac:dyDescent="0.25">
      <c r="A34" s="5"/>
      <c r="B34" s="5"/>
      <c r="C34" s="5"/>
      <c r="D34" s="5"/>
      <c r="E34" s="5"/>
      <c r="F34" s="5"/>
      <c r="G34" s="76" t="s">
        <v>14</v>
      </c>
      <c r="H34" s="77" t="s">
        <v>15</v>
      </c>
      <c r="I34" s="264">
        <f>-PV($C$3+$C$4,$C$8,I10*I9*I7*1000)</f>
        <v>26245561.230874766</v>
      </c>
      <c r="J34" s="264">
        <f>-PV($C$3+$C$4,$C$8,J10*J9*J7*1000)</f>
        <v>343508080.81586093</v>
      </c>
      <c r="K34" s="264">
        <f>-PV($C$3+$C$4,$D$8,K10*K9*K7*1000)</f>
        <v>1521433438.6894495</v>
      </c>
      <c r="L34" s="264">
        <f>-PV($C$3+$C$4,$C$8,L10*L9*(L7)*1000)</f>
        <v>429385101.01982611</v>
      </c>
      <c r="M34" s="264">
        <f>-PV($C$3+$C$4,$D$8,M10*M9*(M7)*1000)</f>
        <v>1901791798.3618119</v>
      </c>
      <c r="N34" s="264">
        <f>-PV($C$3+$C$4,$C$8,N10*N9*N7*1000)</f>
        <v>3242098.74028453</v>
      </c>
      <c r="O34" s="264">
        <f>-PV($C$3+$C$4,$C$8,O10*O9*O7*1000)</f>
        <v>26554332.539473295</v>
      </c>
      <c r="P34" s="264">
        <f>-PV($C$3+$C$4,$C$8,P10*P9*P7*1000)</f>
        <v>347367722.17334253</v>
      </c>
      <c r="Q34" s="264">
        <f>-PV($C$3+$C$4,$D$8,Q10*Q9*Q7*1000)</f>
        <v>1538528196.4275331</v>
      </c>
      <c r="R34" s="264">
        <f>-PV($C$3+$C$4,$C$8,R10*R9*R7*1000)</f>
        <v>218841.6649692058</v>
      </c>
      <c r="S34" s="264">
        <f>-PV($C$3+$C$4,$C$8,S10*S9*S7*1000)</f>
        <v>218841.6649692058</v>
      </c>
      <c r="T34" s="264">
        <f>-PV($C$3+$C$4,$C$8,T10*T9*T7*1000)</f>
        <v>3404203.6772987563</v>
      </c>
      <c r="U34" s="264">
        <f>-PV($C$3+$C$4,$C$8,U10*U9*U7*1000)</f>
        <v>26554332.539473295</v>
      </c>
      <c r="V34" s="264">
        <f>-PV($C$3+$C$4,$C$8,V10*V9*V7*1000)</f>
        <v>351227363.53082407</v>
      </c>
      <c r="W34" s="265">
        <f>-PV($C$3+$C$4,$D$8,W10*W9*W7*1000)</f>
        <v>1555622954.165617</v>
      </c>
      <c r="Y34" s="5"/>
    </row>
    <row r="35" spans="1:25" x14ac:dyDescent="0.25">
      <c r="G35" s="35"/>
      <c r="H35" s="46"/>
      <c r="I35" s="24"/>
      <c r="J35" s="24"/>
      <c r="K35" s="24"/>
      <c r="L35" s="24"/>
      <c r="N35" s="24"/>
      <c r="O35" s="24"/>
      <c r="P35" s="24"/>
      <c r="Q35" s="24"/>
      <c r="R35" s="24"/>
      <c r="S35" s="24"/>
      <c r="T35" s="24"/>
      <c r="U35" s="24"/>
      <c r="V35" s="24"/>
      <c r="W35" s="24"/>
    </row>
    <row r="36" spans="1:25" x14ac:dyDescent="0.25">
      <c r="G36" s="44"/>
      <c r="H36" s="46"/>
      <c r="I36" s="41"/>
      <c r="J36" s="41"/>
      <c r="K36" s="41"/>
      <c r="L36" s="41"/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1:25" x14ac:dyDescent="0.25">
      <c r="H37" s="46"/>
      <c r="I37" s="42"/>
      <c r="J37" s="42"/>
      <c r="K37" s="42"/>
      <c r="L37" s="42"/>
      <c r="N37" s="42"/>
      <c r="O37" s="42"/>
      <c r="P37" s="42"/>
      <c r="Q37" s="42"/>
      <c r="R37" s="42"/>
      <c r="S37" s="42"/>
      <c r="T37" s="42"/>
      <c r="U37" s="42"/>
      <c r="V37" s="42"/>
      <c r="W37" s="42"/>
    </row>
  </sheetData>
  <mergeCells count="6">
    <mergeCell ref="Y13:Y14"/>
    <mergeCell ref="N5:Q5"/>
    <mergeCell ref="R5:W5"/>
    <mergeCell ref="I5:K5"/>
    <mergeCell ref="L5:M5"/>
    <mergeCell ref="X13:X14"/>
  </mergeCells>
  <pageMargins left="0.7" right="0.7" top="0.75" bottom="0.75" header="0.3" footer="0.3"/>
  <pageSetup paperSize="9" orientation="portrait" r:id="rId1"/>
  <ignoredErrors>
    <ignoredError sqref="Q1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5"/>
  <sheetViews>
    <sheetView topLeftCell="A2" workbookViewId="0">
      <selection activeCell="D25" sqref="D25"/>
    </sheetView>
  </sheetViews>
  <sheetFormatPr baseColWidth="10" defaultRowHeight="15" x14ac:dyDescent="0.25"/>
  <cols>
    <col min="1" max="1" width="29.85546875" customWidth="1"/>
    <col min="2" max="2" width="18.42578125" customWidth="1"/>
    <col min="3" max="3" width="13.5703125" customWidth="1"/>
    <col min="4" max="4" width="12.28515625" bestFit="1" customWidth="1"/>
    <col min="5" max="5" width="12.85546875" customWidth="1"/>
    <col min="6" max="6" width="14.140625" customWidth="1"/>
    <col min="9" max="9" width="12.7109375" customWidth="1"/>
    <col min="10" max="10" width="13.140625" customWidth="1"/>
    <col min="14" max="14" width="13.42578125" customWidth="1"/>
    <col min="15" max="15" width="12.7109375" customWidth="1"/>
  </cols>
  <sheetData>
    <row r="2" spans="1:15" ht="19.5" thickBot="1" x14ac:dyDescent="0.35">
      <c r="A2" s="141" t="s">
        <v>80</v>
      </c>
    </row>
    <row r="3" spans="1:15" ht="16.5" thickBot="1" x14ac:dyDescent="0.3">
      <c r="B3" s="78" t="s">
        <v>29</v>
      </c>
      <c r="C3" s="79"/>
      <c r="D3" s="275" t="s">
        <v>56</v>
      </c>
      <c r="E3" s="276"/>
      <c r="F3" s="276"/>
      <c r="G3" s="277" t="s">
        <v>57</v>
      </c>
      <c r="H3" s="276"/>
      <c r="I3" s="276"/>
      <c r="J3" s="278"/>
      <c r="K3" s="276" t="s">
        <v>32</v>
      </c>
      <c r="L3" s="276"/>
      <c r="M3" s="276"/>
      <c r="N3" s="276"/>
      <c r="O3" s="278"/>
    </row>
    <row r="4" spans="1:15" x14ac:dyDescent="0.25">
      <c r="B4" s="80"/>
      <c r="C4" s="142" t="s">
        <v>58</v>
      </c>
      <c r="D4" s="114"/>
      <c r="E4" s="81"/>
      <c r="F4" s="115"/>
      <c r="G4" s="82"/>
      <c r="H4" s="82"/>
      <c r="I4" s="81"/>
      <c r="J4" s="83"/>
      <c r="K4" s="80"/>
      <c r="L4" s="81"/>
      <c r="M4" s="81"/>
      <c r="N4" s="81"/>
      <c r="O4" s="115"/>
    </row>
    <row r="5" spans="1:15" x14ac:dyDescent="0.25">
      <c r="B5" s="84" t="s">
        <v>4</v>
      </c>
      <c r="C5" s="143" t="s">
        <v>27</v>
      </c>
      <c r="D5" s="121">
        <v>1</v>
      </c>
      <c r="E5" s="85">
        <v>10</v>
      </c>
      <c r="F5" s="87">
        <v>30</v>
      </c>
      <c r="G5" s="133">
        <v>0.15</v>
      </c>
      <c r="H5" s="134">
        <v>1</v>
      </c>
      <c r="I5" s="135">
        <v>10</v>
      </c>
      <c r="J5" s="136">
        <v>30</v>
      </c>
      <c r="K5" s="86">
        <v>0.01</v>
      </c>
      <c r="L5" s="85">
        <v>0.15</v>
      </c>
      <c r="M5" s="88">
        <v>1</v>
      </c>
      <c r="N5" s="85">
        <v>10</v>
      </c>
      <c r="O5" s="87">
        <v>30</v>
      </c>
    </row>
    <row r="6" spans="1:15" x14ac:dyDescent="0.25">
      <c r="B6" s="89" t="s">
        <v>59</v>
      </c>
      <c r="C6" s="144"/>
      <c r="D6" s="122">
        <f>'Kostnad 2016'!I10</f>
        <v>0.85</v>
      </c>
      <c r="E6" s="117">
        <f>'Kostnad 2016'!J10</f>
        <v>0.89</v>
      </c>
      <c r="F6" s="123">
        <f>'Kostnad 2016'!K10</f>
        <v>0.89</v>
      </c>
      <c r="G6" s="122">
        <f>'Kostnad 2016'!N10</f>
        <v>0.8</v>
      </c>
      <c r="H6" s="117">
        <f>'Kostnad 2016'!O10</f>
        <v>0.86</v>
      </c>
      <c r="I6" s="117">
        <f>'Kostnad 2016'!P10</f>
        <v>0.9</v>
      </c>
      <c r="J6" s="123">
        <f>'Kostnad 2016'!Q10</f>
        <v>0.9</v>
      </c>
      <c r="K6" s="122">
        <f>'Kostnad 2016'!R10</f>
        <v>0.81</v>
      </c>
      <c r="L6" s="117">
        <f>'Kostnad 2016'!T10</f>
        <v>0.84</v>
      </c>
      <c r="M6" s="117">
        <f>'Kostnad 2016'!U10</f>
        <v>0.86</v>
      </c>
      <c r="N6" s="117">
        <f>'Kostnad 2016'!V10</f>
        <v>0.91</v>
      </c>
      <c r="O6" s="123">
        <f>'Kostnad 2016'!W10</f>
        <v>0.91</v>
      </c>
    </row>
    <row r="7" spans="1:15" x14ac:dyDescent="0.25">
      <c r="B7" s="89" t="s">
        <v>5</v>
      </c>
      <c r="C7" s="145" t="s">
        <v>6</v>
      </c>
      <c r="D7" s="124">
        <f>'Kostnad 2016'!I9</f>
        <v>3200</v>
      </c>
      <c r="E7" s="118">
        <f>'Kostnad 2016'!J9</f>
        <v>4000</v>
      </c>
      <c r="F7" s="125">
        <f>'Kostnad 2016'!K9</f>
        <v>4500</v>
      </c>
      <c r="G7" s="124">
        <f>'Kostnad 2016'!N9</f>
        <v>2800</v>
      </c>
      <c r="H7" s="118">
        <f>'Kostnad 2016'!O9</f>
        <v>3200</v>
      </c>
      <c r="I7" s="118">
        <f>'Kostnad 2016'!P9</f>
        <v>4000</v>
      </c>
      <c r="J7" s="125">
        <f>'Kostnad 2016'!Q9</f>
        <v>4500</v>
      </c>
      <c r="K7" s="124">
        <f>'Kostnad 2016'!R9</f>
        <v>2800</v>
      </c>
      <c r="L7" s="118">
        <f>'Kostnad 2016'!T9</f>
        <v>2800</v>
      </c>
      <c r="M7" s="118">
        <f>'Kostnad 2016'!U9</f>
        <v>3200</v>
      </c>
      <c r="N7" s="118">
        <f>'Kostnad 2016'!V9</f>
        <v>4000</v>
      </c>
      <c r="O7" s="125">
        <f>'Kostnad 2016'!W9</f>
        <v>4500</v>
      </c>
    </row>
    <row r="8" spans="1:15" x14ac:dyDescent="0.25">
      <c r="B8" s="89" t="s">
        <v>60</v>
      </c>
      <c r="C8" s="145" t="s">
        <v>61</v>
      </c>
      <c r="D8" s="124">
        <f>+D6*D5*D7*1000</f>
        <v>2720000</v>
      </c>
      <c r="E8" s="124">
        <f t="shared" ref="E8:O8" si="0">+E6*E5*E7*1000</f>
        <v>35600000</v>
      </c>
      <c r="F8" s="124">
        <f t="shared" si="0"/>
        <v>120150000</v>
      </c>
      <c r="G8" s="124">
        <f t="shared" si="0"/>
        <v>336000</v>
      </c>
      <c r="H8" s="124">
        <f t="shared" si="0"/>
        <v>2752000</v>
      </c>
      <c r="I8" s="124">
        <f t="shared" si="0"/>
        <v>36000000</v>
      </c>
      <c r="J8" s="124">
        <f t="shared" si="0"/>
        <v>121500000</v>
      </c>
      <c r="K8" s="124">
        <f t="shared" si="0"/>
        <v>22680.000000000004</v>
      </c>
      <c r="L8" s="124">
        <f t="shared" si="0"/>
        <v>352800</v>
      </c>
      <c r="M8" s="124">
        <f t="shared" si="0"/>
        <v>2752000</v>
      </c>
      <c r="N8" s="124">
        <f t="shared" si="0"/>
        <v>36400000</v>
      </c>
      <c r="O8" s="124">
        <f t="shared" si="0"/>
        <v>122850000</v>
      </c>
    </row>
    <row r="9" spans="1:15" x14ac:dyDescent="0.25">
      <c r="B9" s="89" t="s">
        <v>54</v>
      </c>
      <c r="C9" s="146" t="s">
        <v>55</v>
      </c>
      <c r="D9" s="126">
        <f>1/('Kostnad 2016'!$C$11*D6)</f>
        <v>0.40428542551041036</v>
      </c>
      <c r="E9" s="119">
        <f>1/('Kostnad 2016'!$C$11*E6)</f>
        <v>0.3861152940267964</v>
      </c>
      <c r="F9" s="127">
        <f>1/('Kostnad 2016'!$C$11*F6)</f>
        <v>0.3861152940267964</v>
      </c>
      <c r="G9" s="126">
        <f>1/('Kostnad 2016'!$D$11*G6)</f>
        <v>0.3048780487804878</v>
      </c>
      <c r="H9" s="119">
        <f>1/('Kostnad 2016'!$D$11*H6)</f>
        <v>0.2836074872376631</v>
      </c>
      <c r="I9" s="119">
        <f>1/('Kostnad 2016'!$D$11*I6)</f>
        <v>0.2710027100271003</v>
      </c>
      <c r="J9" s="127">
        <f>1/('Kostnad 2016'!$D$11*J6)</f>
        <v>0.2710027100271003</v>
      </c>
      <c r="K9" s="126">
        <f>1/('Kostnad 2016'!$E$11*K6)</f>
        <v>0.26267402153926972</v>
      </c>
      <c r="L9" s="119">
        <f>1/('Kostnad 2016'!$E$11*L6)</f>
        <v>0.25329280648429586</v>
      </c>
      <c r="M9" s="119">
        <f>1/('Kostnad 2016'!$E$11*M6)</f>
        <v>0.24740227610094015</v>
      </c>
      <c r="N9" s="119">
        <f>1/('Kostnad 2016'!$E$11*N6)</f>
        <v>0.2338087444470423</v>
      </c>
      <c r="O9" s="127">
        <f>1/('Kostnad 2016'!$E$11*O6)</f>
        <v>0.2338087444470423</v>
      </c>
    </row>
    <row r="10" spans="1:15" x14ac:dyDescent="0.25">
      <c r="B10" s="89" t="s">
        <v>68</v>
      </c>
      <c r="C10" s="144" t="s">
        <v>2</v>
      </c>
      <c r="D10" s="128">
        <f>D18+D25</f>
        <v>2.1064281382656156</v>
      </c>
      <c r="E10" s="120">
        <f t="shared" ref="E10:O10" si="1">E18+E25</f>
        <v>2.0791729410401945</v>
      </c>
      <c r="F10" s="129">
        <f t="shared" si="1"/>
        <v>2.0791729410401945</v>
      </c>
      <c r="G10" s="128">
        <f t="shared" si="1"/>
        <v>1.2048780487804878</v>
      </c>
      <c r="H10" s="120">
        <f t="shared" si="1"/>
        <v>1.183607487237663</v>
      </c>
      <c r="I10" s="120">
        <f t="shared" si="1"/>
        <v>1.1710027100271003</v>
      </c>
      <c r="J10" s="129">
        <f t="shared" si="1"/>
        <v>1.1710027100271003</v>
      </c>
      <c r="K10" s="128">
        <f t="shared" si="1"/>
        <v>0.73133701076963487</v>
      </c>
      <c r="L10" s="120">
        <f t="shared" si="1"/>
        <v>0.72664640324214791</v>
      </c>
      <c r="M10" s="120">
        <f t="shared" si="1"/>
        <v>0.72370113805047009</v>
      </c>
      <c r="N10" s="120">
        <f t="shared" si="1"/>
        <v>0.7169043722235211</v>
      </c>
      <c r="O10" s="129">
        <f t="shared" si="1"/>
        <v>0.7169043722235211</v>
      </c>
    </row>
    <row r="11" spans="1:15" ht="15.75" thickBot="1" x14ac:dyDescent="0.3">
      <c r="B11" s="147" t="s">
        <v>64</v>
      </c>
      <c r="C11" s="148" t="s">
        <v>63</v>
      </c>
      <c r="D11" s="130">
        <f>D28+D34</f>
        <v>390</v>
      </c>
      <c r="E11" s="131">
        <f t="shared" ref="E11:O11" si="2">E28+E34</f>
        <v>280</v>
      </c>
      <c r="F11" s="132">
        <f t="shared" si="2"/>
        <v>150</v>
      </c>
      <c r="G11" s="130">
        <f t="shared" si="2"/>
        <v>600</v>
      </c>
      <c r="H11" s="131">
        <f t="shared" si="2"/>
        <v>360</v>
      </c>
      <c r="I11" s="131">
        <f t="shared" si="2"/>
        <v>200</v>
      </c>
      <c r="J11" s="132">
        <f t="shared" si="2"/>
        <v>110</v>
      </c>
      <c r="K11" s="130">
        <f t="shared" si="2"/>
        <v>750</v>
      </c>
      <c r="L11" s="131">
        <f t="shared" si="2"/>
        <v>520</v>
      </c>
      <c r="M11" s="131">
        <f t="shared" si="2"/>
        <v>280</v>
      </c>
      <c r="N11" s="131">
        <f t="shared" si="2"/>
        <v>100</v>
      </c>
      <c r="O11" s="132">
        <f t="shared" si="2"/>
        <v>65</v>
      </c>
    </row>
    <row r="12" spans="1:15" s="95" customFormat="1" x14ac:dyDescent="0.25">
      <c r="B12" s="96"/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</row>
    <row r="13" spans="1:15" s="100" customFormat="1" ht="18.75" x14ac:dyDescent="0.3">
      <c r="A13" s="116" t="s">
        <v>68</v>
      </c>
      <c r="B13" s="96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1:15" s="100" customFormat="1" x14ac:dyDescent="0.25">
      <c r="A14" s="99" t="s">
        <v>86</v>
      </c>
      <c r="B14" s="96"/>
      <c r="C14" s="97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1:15" s="100" customFormat="1" x14ac:dyDescent="0.25">
      <c r="A15" s="137" t="s">
        <v>65</v>
      </c>
      <c r="B15" s="100" t="s">
        <v>81</v>
      </c>
      <c r="C15" s="112">
        <v>60</v>
      </c>
    </row>
    <row r="16" spans="1:15" s="100" customFormat="1" x14ac:dyDescent="0.25">
      <c r="A16" s="137" t="s">
        <v>82</v>
      </c>
      <c r="B16" s="100" t="s">
        <v>83</v>
      </c>
      <c r="C16" s="112"/>
      <c r="D16" s="101">
        <v>2.5000000000000001E-2</v>
      </c>
      <c r="E16" s="101">
        <v>2.5000000000000001E-2</v>
      </c>
      <c r="F16" s="101">
        <v>2.5000000000000001E-2</v>
      </c>
      <c r="G16" s="101">
        <v>1.4999999999999999E-2</v>
      </c>
      <c r="H16" s="101">
        <v>1.4999999999999999E-2</v>
      </c>
      <c r="I16" s="101">
        <v>1.4999999999999999E-2</v>
      </c>
      <c r="J16" s="101">
        <v>1.4999999999999999E-2</v>
      </c>
      <c r="K16" s="101">
        <v>0.01</v>
      </c>
      <c r="L16" s="101">
        <v>0.01</v>
      </c>
      <c r="M16" s="101">
        <v>0.01</v>
      </c>
      <c r="N16" s="101">
        <v>0.01</v>
      </c>
      <c r="O16" s="101">
        <v>0.01</v>
      </c>
    </row>
    <row r="17" spans="1:15" s="100" customFormat="1" x14ac:dyDescent="0.25">
      <c r="A17" s="137" t="s">
        <v>84</v>
      </c>
      <c r="B17" s="100" t="s">
        <v>85</v>
      </c>
      <c r="C17" s="112"/>
      <c r="D17" s="102">
        <f>+D16*D8*$C$15/100</f>
        <v>40800</v>
      </c>
      <c r="E17" s="102">
        <f>+E16*E8*$C$15/100</f>
        <v>534000</v>
      </c>
      <c r="F17" s="102">
        <f t="shared" ref="F17:O17" si="3">+F16*F8*$C$15/100</f>
        <v>1802250</v>
      </c>
      <c r="G17" s="102">
        <f t="shared" si="3"/>
        <v>3024</v>
      </c>
      <c r="H17" s="102">
        <f t="shared" si="3"/>
        <v>24768</v>
      </c>
      <c r="I17" s="102">
        <f t="shared" si="3"/>
        <v>324000</v>
      </c>
      <c r="J17" s="102">
        <f t="shared" si="3"/>
        <v>1093500</v>
      </c>
      <c r="K17" s="102">
        <f t="shared" si="3"/>
        <v>136.08000000000001</v>
      </c>
      <c r="L17" s="102">
        <f t="shared" si="3"/>
        <v>2116.8000000000002</v>
      </c>
      <c r="M17" s="102">
        <f t="shared" si="3"/>
        <v>16512</v>
      </c>
      <c r="N17" s="102">
        <f t="shared" si="3"/>
        <v>218400</v>
      </c>
      <c r="O17" s="102">
        <f t="shared" si="3"/>
        <v>737100</v>
      </c>
    </row>
    <row r="18" spans="1:15" s="100" customFormat="1" x14ac:dyDescent="0.25">
      <c r="A18" s="137" t="s">
        <v>84</v>
      </c>
      <c r="B18" s="100" t="s">
        <v>2</v>
      </c>
      <c r="C18" s="112"/>
      <c r="D18" s="100">
        <f>+D17/D8*100</f>
        <v>1.5</v>
      </c>
      <c r="E18" s="100">
        <f t="shared" ref="E18:O18" si="4">+E17/E8*100</f>
        <v>1.5</v>
      </c>
      <c r="F18" s="100">
        <f t="shared" si="4"/>
        <v>1.5</v>
      </c>
      <c r="G18" s="100">
        <f t="shared" si="4"/>
        <v>0.89999999999999991</v>
      </c>
      <c r="H18" s="100">
        <f t="shared" si="4"/>
        <v>0.89999999999999991</v>
      </c>
      <c r="I18" s="100">
        <f t="shared" si="4"/>
        <v>0.89999999999999991</v>
      </c>
      <c r="J18" s="100">
        <f t="shared" si="4"/>
        <v>0.89999999999999991</v>
      </c>
      <c r="K18" s="100">
        <f t="shared" si="4"/>
        <v>0.6</v>
      </c>
      <c r="L18" s="100">
        <f t="shared" si="4"/>
        <v>0.6</v>
      </c>
      <c r="M18" s="100">
        <f t="shared" si="4"/>
        <v>0.6</v>
      </c>
      <c r="N18" s="100">
        <f t="shared" si="4"/>
        <v>0.6</v>
      </c>
      <c r="O18" s="100">
        <f t="shared" si="4"/>
        <v>0.6</v>
      </c>
    </row>
    <row r="19" spans="1:15" s="100" customFormat="1" x14ac:dyDescent="0.25">
      <c r="A19" s="99" t="s">
        <v>69</v>
      </c>
      <c r="C19" s="112"/>
    </row>
    <row r="20" spans="1:15" s="100" customFormat="1" x14ac:dyDescent="0.25">
      <c r="A20" s="137" t="s">
        <v>87</v>
      </c>
      <c r="B20" s="138" t="s">
        <v>71</v>
      </c>
      <c r="C20" s="112">
        <v>1000</v>
      </c>
    </row>
    <row r="21" spans="1:15" s="100" customFormat="1" x14ac:dyDescent="0.25">
      <c r="A21" s="137" t="s">
        <v>72</v>
      </c>
      <c r="B21" s="138" t="s">
        <v>88</v>
      </c>
      <c r="D21" s="103">
        <v>1.4999999999999999E-2</v>
      </c>
      <c r="E21" s="103">
        <v>1.4999999999999999E-2</v>
      </c>
      <c r="F21" s="103">
        <v>1.4999999999999999E-2</v>
      </c>
      <c r="G21" s="103">
        <v>0.01</v>
      </c>
      <c r="H21" s="103">
        <v>0.01</v>
      </c>
      <c r="I21" s="103">
        <v>0.01</v>
      </c>
      <c r="J21" s="103">
        <v>0.01</v>
      </c>
      <c r="K21" s="103">
        <v>5.0000000000000001E-3</v>
      </c>
      <c r="L21" s="103">
        <v>5.0000000000000001E-3</v>
      </c>
      <c r="M21" s="103">
        <v>5.0000000000000001E-3</v>
      </c>
      <c r="N21" s="103">
        <v>5.0000000000000001E-3</v>
      </c>
      <c r="O21" s="103">
        <v>5.0000000000000001E-3</v>
      </c>
    </row>
    <row r="22" spans="1:15" s="100" customFormat="1" x14ac:dyDescent="0.25">
      <c r="A22" s="137" t="s">
        <v>90</v>
      </c>
      <c r="B22" s="139" t="s">
        <v>91</v>
      </c>
      <c r="D22" s="104">
        <f>+D9*D8/1000</f>
        <v>1099.6563573883161</v>
      </c>
      <c r="E22" s="104">
        <f t="shared" ref="E22:O22" si="5">+E9*E8/1000</f>
        <v>13745.704467353951</v>
      </c>
      <c r="F22" s="104">
        <f t="shared" si="5"/>
        <v>46391.752577319581</v>
      </c>
      <c r="G22" s="104">
        <f t="shared" si="5"/>
        <v>102.4390243902439</v>
      </c>
      <c r="H22" s="104">
        <f t="shared" si="5"/>
        <v>780.48780487804879</v>
      </c>
      <c r="I22" s="104">
        <f t="shared" si="5"/>
        <v>9756.0975609756115</v>
      </c>
      <c r="J22" s="104">
        <f t="shared" si="5"/>
        <v>32926.829268292691</v>
      </c>
      <c r="K22" s="104">
        <f t="shared" si="5"/>
        <v>5.957446808510638</v>
      </c>
      <c r="L22" s="104">
        <f t="shared" si="5"/>
        <v>89.361702127659584</v>
      </c>
      <c r="M22" s="104">
        <f t="shared" si="5"/>
        <v>680.85106382978734</v>
      </c>
      <c r="N22" s="104">
        <f t="shared" si="5"/>
        <v>8510.6382978723395</v>
      </c>
      <c r="O22" s="104">
        <f t="shared" si="5"/>
        <v>28723.404255319147</v>
      </c>
    </row>
    <row r="23" spans="1:15" s="100" customFormat="1" x14ac:dyDescent="0.25">
      <c r="A23" s="137" t="s">
        <v>89</v>
      </c>
      <c r="B23" s="139" t="s">
        <v>92</v>
      </c>
      <c r="C23" s="112"/>
      <c r="D23" s="105">
        <f>+D21*D22</f>
        <v>16.494845360824741</v>
      </c>
      <c r="E23" s="105">
        <f t="shared" ref="E23:O23" si="6">+E21*E22</f>
        <v>206.18556701030926</v>
      </c>
      <c r="F23" s="105">
        <f t="shared" si="6"/>
        <v>695.87628865979366</v>
      </c>
      <c r="G23" s="105">
        <f t="shared" si="6"/>
        <v>1.024390243902439</v>
      </c>
      <c r="H23" s="105">
        <f t="shared" si="6"/>
        <v>7.8048780487804885</v>
      </c>
      <c r="I23" s="105">
        <f t="shared" si="6"/>
        <v>97.560975609756113</v>
      </c>
      <c r="J23" s="105">
        <f t="shared" si="6"/>
        <v>329.26829268292693</v>
      </c>
      <c r="K23" s="105">
        <f t="shared" si="6"/>
        <v>2.9787234042553189E-2</v>
      </c>
      <c r="L23" s="105">
        <f t="shared" si="6"/>
        <v>0.44680851063829791</v>
      </c>
      <c r="M23" s="105">
        <f t="shared" si="6"/>
        <v>3.4042553191489366</v>
      </c>
      <c r="N23" s="105">
        <f t="shared" si="6"/>
        <v>42.553191489361701</v>
      </c>
      <c r="O23" s="105">
        <f t="shared" si="6"/>
        <v>143.61702127659575</v>
      </c>
    </row>
    <row r="24" spans="1:15" s="100" customFormat="1" x14ac:dyDescent="0.25">
      <c r="A24" s="137" t="s">
        <v>87</v>
      </c>
      <c r="B24" s="139" t="s">
        <v>66</v>
      </c>
      <c r="D24" s="102">
        <f>+D23*$C20</f>
        <v>16494.84536082474</v>
      </c>
      <c r="E24" s="102">
        <f t="shared" ref="E24:O24" si="7">+E23*$C20</f>
        <v>206185.56701030926</v>
      </c>
      <c r="F24" s="102">
        <f t="shared" si="7"/>
        <v>695876.28865979367</v>
      </c>
      <c r="G24" s="102">
        <f t="shared" si="7"/>
        <v>1024.3902439024391</v>
      </c>
      <c r="H24" s="102">
        <f t="shared" si="7"/>
        <v>7804.8780487804888</v>
      </c>
      <c r="I24" s="102">
        <f t="shared" si="7"/>
        <v>97560.975609756119</v>
      </c>
      <c r="J24" s="102">
        <f t="shared" si="7"/>
        <v>329268.29268292693</v>
      </c>
      <c r="K24" s="102">
        <f t="shared" si="7"/>
        <v>29.787234042553191</v>
      </c>
      <c r="L24" s="102">
        <f t="shared" si="7"/>
        <v>446.80851063829789</v>
      </c>
      <c r="M24" s="102">
        <f t="shared" si="7"/>
        <v>3404.2553191489365</v>
      </c>
      <c r="N24" s="102">
        <f t="shared" si="7"/>
        <v>42553.191489361699</v>
      </c>
      <c r="O24" s="102">
        <f t="shared" si="7"/>
        <v>143617.02127659574</v>
      </c>
    </row>
    <row r="25" spans="1:15" s="100" customFormat="1" x14ac:dyDescent="0.25">
      <c r="A25" s="137" t="s">
        <v>87</v>
      </c>
      <c r="B25" s="140" t="s">
        <v>2</v>
      </c>
      <c r="D25" s="106">
        <f>+D24/D8*100</f>
        <v>0.60642813826561548</v>
      </c>
      <c r="E25" s="106">
        <f t="shared" ref="E25:O25" si="8">+E24/E8*100</f>
        <v>0.57917294104019457</v>
      </c>
      <c r="F25" s="106">
        <f t="shared" si="8"/>
        <v>0.57917294104019446</v>
      </c>
      <c r="G25" s="106">
        <f t="shared" si="8"/>
        <v>0.3048780487804878</v>
      </c>
      <c r="H25" s="106">
        <f t="shared" si="8"/>
        <v>0.2836074872376631</v>
      </c>
      <c r="I25" s="106">
        <f t="shared" si="8"/>
        <v>0.2710027100271003</v>
      </c>
      <c r="J25" s="106">
        <f t="shared" si="8"/>
        <v>0.27100271002710036</v>
      </c>
      <c r="K25" s="106">
        <f t="shared" si="8"/>
        <v>0.13133701076963486</v>
      </c>
      <c r="L25" s="106">
        <f t="shared" si="8"/>
        <v>0.12664640324214793</v>
      </c>
      <c r="M25" s="106">
        <f t="shared" si="8"/>
        <v>0.12370113805047007</v>
      </c>
      <c r="N25" s="106">
        <f t="shared" si="8"/>
        <v>0.11690437222352115</v>
      </c>
      <c r="O25" s="106">
        <f t="shared" si="8"/>
        <v>0.11690437222352115</v>
      </c>
    </row>
    <row r="26" spans="1:15" s="100" customFormat="1" x14ac:dyDescent="0.25">
      <c r="C26" s="113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</row>
    <row r="27" spans="1:15" s="100" customFormat="1" ht="18.75" x14ac:dyDescent="0.3">
      <c r="A27" s="116" t="s">
        <v>0</v>
      </c>
      <c r="C27" s="112"/>
    </row>
    <row r="28" spans="1:15" s="100" customFormat="1" x14ac:dyDescent="0.25">
      <c r="A28" s="45" t="s">
        <v>67</v>
      </c>
      <c r="B28" s="112" t="s">
        <v>63</v>
      </c>
      <c r="D28" s="100">
        <v>150</v>
      </c>
      <c r="E28" s="100">
        <v>100</v>
      </c>
      <c r="F28" s="100">
        <v>50</v>
      </c>
      <c r="G28" s="100">
        <v>200</v>
      </c>
      <c r="H28" s="100">
        <v>120</v>
      </c>
      <c r="I28" s="100">
        <v>80</v>
      </c>
      <c r="J28" s="100">
        <v>30</v>
      </c>
      <c r="K28" s="100">
        <v>150</v>
      </c>
      <c r="L28" s="100">
        <v>120</v>
      </c>
      <c r="M28" s="100">
        <v>100</v>
      </c>
      <c r="N28" s="100">
        <v>40</v>
      </c>
      <c r="O28" s="100">
        <v>25</v>
      </c>
    </row>
    <row r="29" spans="1:15" s="100" customFormat="1" x14ac:dyDescent="0.25">
      <c r="A29" s="45"/>
      <c r="C29" s="11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</row>
    <row r="30" spans="1:15" s="100" customFormat="1" x14ac:dyDescent="0.25">
      <c r="A30" s="45"/>
      <c r="C30" s="113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</row>
    <row r="31" spans="1:15" s="100" customFormat="1" x14ac:dyDescent="0.25">
      <c r="A31" s="45" t="s">
        <v>62</v>
      </c>
      <c r="B31" s="107">
        <v>600000</v>
      </c>
      <c r="C31" s="112"/>
    </row>
    <row r="32" spans="1:15" s="100" customFormat="1" x14ac:dyDescent="0.25">
      <c r="B32" s="112" t="s">
        <v>70</v>
      </c>
      <c r="D32" s="100">
        <v>0.4</v>
      </c>
      <c r="E32" s="100">
        <v>3</v>
      </c>
      <c r="F32" s="100">
        <v>5</v>
      </c>
      <c r="G32" s="100">
        <v>0.1</v>
      </c>
      <c r="H32" s="100">
        <v>0.4</v>
      </c>
      <c r="I32" s="100">
        <v>2</v>
      </c>
      <c r="J32" s="100">
        <v>4</v>
      </c>
      <c r="K32" s="100">
        <v>0.01</v>
      </c>
      <c r="L32" s="100">
        <v>0.1</v>
      </c>
      <c r="M32" s="100">
        <v>0.3</v>
      </c>
      <c r="N32" s="100">
        <v>1</v>
      </c>
      <c r="O32" s="100">
        <v>2</v>
      </c>
    </row>
    <row r="33" spans="2:15" s="100" customFormat="1" x14ac:dyDescent="0.25">
      <c r="B33" s="112" t="s">
        <v>66</v>
      </c>
      <c r="D33" s="102">
        <f t="shared" ref="D33:O33" si="9">+D32*$B31</f>
        <v>240000</v>
      </c>
      <c r="E33" s="102">
        <f t="shared" si="9"/>
        <v>1800000</v>
      </c>
      <c r="F33" s="102">
        <f t="shared" si="9"/>
        <v>3000000</v>
      </c>
      <c r="G33" s="102">
        <f t="shared" si="9"/>
        <v>60000</v>
      </c>
      <c r="H33" s="102">
        <f t="shared" si="9"/>
        <v>240000</v>
      </c>
      <c r="I33" s="102">
        <f t="shared" si="9"/>
        <v>1200000</v>
      </c>
      <c r="J33" s="102">
        <f t="shared" si="9"/>
        <v>2400000</v>
      </c>
      <c r="K33" s="102">
        <f t="shared" si="9"/>
        <v>6000</v>
      </c>
      <c r="L33" s="102">
        <f t="shared" si="9"/>
        <v>60000</v>
      </c>
      <c r="M33" s="102">
        <f t="shared" si="9"/>
        <v>180000</v>
      </c>
      <c r="N33" s="102">
        <f t="shared" si="9"/>
        <v>600000</v>
      </c>
      <c r="O33" s="102">
        <f t="shared" si="9"/>
        <v>1200000</v>
      </c>
    </row>
    <row r="34" spans="2:15" s="100" customFormat="1" x14ac:dyDescent="0.25">
      <c r="B34" s="113" t="s">
        <v>63</v>
      </c>
      <c r="D34" s="108">
        <f t="shared" ref="D34:O34" si="10">D33/D5/1000</f>
        <v>240</v>
      </c>
      <c r="E34" s="108">
        <f t="shared" si="10"/>
        <v>180</v>
      </c>
      <c r="F34" s="108">
        <f t="shared" si="10"/>
        <v>100</v>
      </c>
      <c r="G34" s="108">
        <f t="shared" si="10"/>
        <v>400</v>
      </c>
      <c r="H34" s="108">
        <f t="shared" si="10"/>
        <v>240</v>
      </c>
      <c r="I34" s="108">
        <f t="shared" si="10"/>
        <v>120</v>
      </c>
      <c r="J34" s="108">
        <f t="shared" si="10"/>
        <v>80</v>
      </c>
      <c r="K34" s="108">
        <f t="shared" si="10"/>
        <v>600</v>
      </c>
      <c r="L34" s="108">
        <f t="shared" si="10"/>
        <v>400</v>
      </c>
      <c r="M34" s="108">
        <f t="shared" si="10"/>
        <v>180</v>
      </c>
      <c r="N34" s="108">
        <f t="shared" si="10"/>
        <v>60</v>
      </c>
      <c r="O34" s="108">
        <f t="shared" si="10"/>
        <v>40</v>
      </c>
    </row>
    <row r="35" spans="2:15" s="95" customFormat="1" x14ac:dyDescent="0.25"/>
    <row r="36" spans="2:15" s="95" customFormat="1" x14ac:dyDescent="0.25">
      <c r="B36" s="109"/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</row>
    <row r="37" spans="2:15" s="95" customFormat="1" x14ac:dyDescent="0.25"/>
    <row r="38" spans="2:15" s="95" customFormat="1" x14ac:dyDescent="0.25">
      <c r="B38" s="109"/>
      <c r="C38" s="109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</row>
    <row r="39" spans="2:15" x14ac:dyDescent="0.25"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15" s="90" customFormat="1" x14ac:dyDescent="0.25">
      <c r="B40"/>
      <c r="C40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2:15" x14ac:dyDescent="0.25"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</row>
    <row r="42" spans="2:15" s="90" customFormat="1" x14ac:dyDescent="0.25">
      <c r="B42"/>
      <c r="C42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</row>
    <row r="43" spans="2:15" x14ac:dyDescent="0.25"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</row>
    <row r="45" spans="2:15" x14ac:dyDescent="0.25">
      <c r="E45" s="93"/>
    </row>
  </sheetData>
  <mergeCells count="3">
    <mergeCell ref="D3:F3"/>
    <mergeCell ref="G3:J3"/>
    <mergeCell ref="K3:O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Kostnad 2016</vt:lpstr>
      <vt:lpstr>Driftskostnader</vt:lpstr>
    </vt:vector>
  </TitlesOfParts>
  <Company>NVE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Karstad Isachsen</dc:creator>
  <cp:lastModifiedBy>Olav Karstad Isachsen</cp:lastModifiedBy>
  <dcterms:created xsi:type="dcterms:W3CDTF">2016-11-15T12:54:30Z</dcterms:created>
  <dcterms:modified xsi:type="dcterms:W3CDTF">2017-03-17T14:34:24Z</dcterms:modified>
</cp:coreProperties>
</file>