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6" i="2"/>
  <c r="C5" i="2"/>
  <c r="C4" i="2"/>
  <c r="C3" i="2"/>
  <c r="I19" i="2" l="1"/>
  <c r="H19" i="2"/>
  <c r="H17" i="2"/>
  <c r="H23" i="2" l="1"/>
  <c r="I23" i="2"/>
  <c r="I17" i="2"/>
  <c r="C10" i="2" l="1"/>
  <c r="H21" i="2" l="1"/>
  <c r="I21" i="2" l="1"/>
  <c r="C9" i="2"/>
  <c r="H32" i="2" l="1"/>
  <c r="H33" i="2"/>
  <c r="H35" i="2"/>
  <c r="H36" i="2"/>
  <c r="I35" i="2"/>
  <c r="I36" i="2"/>
  <c r="I33" i="2"/>
  <c r="I32" i="2"/>
  <c r="H20" i="2"/>
  <c r="H22" i="2" s="1"/>
  <c r="H34" i="2" s="1"/>
  <c r="I20" i="2"/>
  <c r="I22" i="2" s="1"/>
  <c r="I34" i="2" s="1"/>
  <c r="C7" i="2"/>
  <c r="C8" i="2"/>
  <c r="H7" i="2" l="1"/>
  <c r="I7" i="2"/>
  <c r="I15" i="2" l="1"/>
  <c r="I16" i="2" s="1"/>
  <c r="I31" i="2" s="1"/>
  <c r="H15" i="2"/>
  <c r="H16" i="2" s="1"/>
  <c r="H31" i="2" s="1"/>
  <c r="F34" i="2"/>
  <c r="F33" i="2"/>
  <c r="F32" i="2"/>
  <c r="F31" i="2"/>
  <c r="I24" i="2" l="1"/>
  <c r="I26" i="2" s="1"/>
  <c r="H24" i="2" l="1"/>
  <c r="H26" i="2" l="1"/>
</calcChain>
</file>

<file path=xl/sharedStrings.xml><?xml version="1.0" encoding="utf-8"?>
<sst xmlns="http://schemas.openxmlformats.org/spreadsheetml/2006/main" count="86" uniqueCount="64">
  <si>
    <t>Faste driftskostnader</t>
  </si>
  <si>
    <t>%</t>
  </si>
  <si>
    <t>øre/kWh</t>
  </si>
  <si>
    <t>Enhet</t>
  </si>
  <si>
    <t>Ytelse</t>
  </si>
  <si>
    <t>timer/år</t>
  </si>
  <si>
    <t>Elandel</t>
  </si>
  <si>
    <t>Investeringskostnader</t>
  </si>
  <si>
    <t>Byggekostnader</t>
  </si>
  <si>
    <t>Nettilknytning</t>
  </si>
  <si>
    <t>Prosjektering og administrasjon</t>
  </si>
  <si>
    <t xml:space="preserve">Sum investeringskostnader </t>
  </si>
  <si>
    <t xml:space="preserve">Spesifikt brenselforbruk  </t>
  </si>
  <si>
    <t>øre/kWhel</t>
  </si>
  <si>
    <t>NOx-avgift</t>
  </si>
  <si>
    <t>Brensels- og utslippskostnader</t>
  </si>
  <si>
    <t>Variable kostnader eks brensel</t>
  </si>
  <si>
    <t>Nåverdier</t>
  </si>
  <si>
    <t>øre</t>
  </si>
  <si>
    <t>Produsert varme</t>
  </si>
  <si>
    <t>kWhv</t>
  </si>
  <si>
    <t>Produsert elektrisitet</t>
  </si>
  <si>
    <r>
      <t>kWh</t>
    </r>
    <r>
      <rPr>
        <sz val="9"/>
        <rFont val="Calibri"/>
        <family val="2"/>
        <scheme val="minor"/>
      </rPr>
      <t>el</t>
    </r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</si>
  <si>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</si>
  <si>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</si>
  <si>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</si>
  <si>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</si>
  <si>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</si>
  <si>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</si>
  <si>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</si>
  <si>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</si>
  <si>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Brenselpris</t>
  </si>
  <si>
    <t>prosent/år</t>
  </si>
  <si>
    <t>enhet</t>
  </si>
  <si>
    <t>Diskonteringsrente</t>
  </si>
  <si>
    <t>kWh/kg</t>
  </si>
  <si>
    <t>Avfallsforbrenning med mottrykksturbin</t>
  </si>
  <si>
    <t>Virkningsgrad (øvre brennverdi)</t>
  </si>
  <si>
    <t>Virkningsgrad (effektiv brennverdi)</t>
  </si>
  <si>
    <t>Øvre brennverdi</t>
  </si>
  <si>
    <t>Effektiv brennverdi</t>
  </si>
  <si>
    <r>
      <t>øre/kWh</t>
    </r>
    <r>
      <rPr>
        <sz val="8"/>
        <rFont val="Calibri"/>
        <family val="2"/>
        <scheme val="minor"/>
      </rPr>
      <t>brensel</t>
    </r>
  </si>
  <si>
    <t>øre/kWhbrensel</t>
  </si>
  <si>
    <t>Avfallskjel</t>
  </si>
  <si>
    <t>kr/kW</t>
  </si>
  <si>
    <t>Turbinaggregat og generator</t>
  </si>
  <si>
    <t xml:space="preserve">Byggetidsrenter      </t>
  </si>
  <si>
    <r>
      <t>kr/kW</t>
    </r>
    <r>
      <rPr>
        <sz val="10"/>
        <rFont val="Calibri"/>
        <family val="2"/>
        <scheme val="minor"/>
      </rPr>
      <t>/år</t>
    </r>
  </si>
  <si>
    <t>Brenselspris</t>
  </si>
  <si>
    <r>
      <t>kWh</t>
    </r>
    <r>
      <rPr>
        <sz val="8"/>
        <rFont val="Calibri"/>
        <family val="2"/>
        <scheme val="minor"/>
      </rPr>
      <t>brensel</t>
    </r>
    <r>
      <rPr>
        <sz val="10"/>
        <rFont val="Calibri"/>
        <family val="2"/>
        <scheme val="minor"/>
      </rPr>
      <t>/kWh</t>
    </r>
  </si>
  <si>
    <r>
      <rPr>
        <sz val="11"/>
        <rFont val="Calibri"/>
        <family val="2"/>
        <scheme val="minor"/>
      </rPr>
      <t>øre/kWh</t>
    </r>
    <r>
      <rPr>
        <sz val="8"/>
        <rFont val="Calibri"/>
        <family val="2"/>
        <scheme val="minor"/>
      </rPr>
      <t>brensel</t>
    </r>
  </si>
  <si>
    <t>MW</t>
  </si>
  <si>
    <t>Degraderingsrate</t>
  </si>
  <si>
    <t>Fullasttimer</t>
  </si>
  <si>
    <t>Fullasttimer for kraft- og varmeproduksjon</t>
  </si>
  <si>
    <t>Investeringskostnader er justert opp basert på innspill fra bransjen</t>
  </si>
  <si>
    <t>Kostnadsfordeling mellom delkostnader er som i Kostnader i energisektoren 2015</t>
  </si>
  <si>
    <t>Inflasjon 2013-2016</t>
  </si>
  <si>
    <t>faktor</t>
  </si>
  <si>
    <t>Erfaringstall fra Norconsult og Calambio</t>
  </si>
  <si>
    <t xml:space="preserve">Justert vha inflasjonsindeks fra tall i Kostnader i energisektoren 2015 </t>
  </si>
  <si>
    <r>
      <t xml:space="preserve">Justert opp fra </t>
    </r>
    <r>
      <rPr>
        <i/>
        <sz val="11"/>
        <color theme="1"/>
        <rFont val="Calibri"/>
        <family val="2"/>
        <scheme val="minor"/>
      </rPr>
      <t xml:space="preserve">Kostnader i energisektoren 2015 </t>
    </r>
    <r>
      <rPr>
        <sz val="11"/>
        <color theme="1"/>
        <rFont val="Calibri"/>
        <family val="2"/>
        <scheme val="minor"/>
      </rPr>
      <t>vha infasjonsindeks</t>
    </r>
  </si>
  <si>
    <t>Dette er momentan virkningsgrad, årsvirkningsgrad er 5-15% lavere</t>
  </si>
  <si>
    <t>Avfallsforbrenning er moden teknologi med liten potensial for reduksjon i investeringskostnader. Det er antatt samme brenselspris/mottasgebyr her. Økt fokus på sortering og sirkulær økonomi sammen med overkapasitet for forbrenning anlegg i Scandinavia kan føre til at avfallsforbrenning blir mindre lønnsom i framtiden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</si>
</sst>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0.000"/>
    <numFmt numFmtId="168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</cellStyleXfs>
  <cellXfs count="106">
    <xf numFmtId="0" fontId="0" fillId="0" borderId="0" xfId="0"/>
    <xf numFmtId="164" fontId="7" fillId="0" borderId="1" xfId="1" applyFont="1" applyFill="1" applyBorder="1"/>
    <xf numFmtId="164" fontId="7" fillId="0" borderId="5" xfId="1" applyFont="1" applyFill="1" applyBorder="1" applyAlignment="1">
      <alignment horizontal="right"/>
    </xf>
    <xf numFmtId="164" fontId="7" fillId="0" borderId="7" xfId="1" applyFont="1" applyFill="1" applyBorder="1"/>
    <xf numFmtId="164" fontId="7" fillId="0" borderId="2" xfId="1" applyFont="1" applyFill="1" applyBorder="1"/>
    <xf numFmtId="164" fontId="4" fillId="0" borderId="9" xfId="1" applyFont="1" applyFill="1" applyBorder="1" applyAlignment="1">
      <alignment horizontal="right"/>
    </xf>
    <xf numFmtId="3" fontId="4" fillId="0" borderId="4" xfId="1" applyNumberFormat="1" applyFont="1" applyFill="1" applyBorder="1"/>
    <xf numFmtId="164" fontId="4" fillId="0" borderId="2" xfId="1" applyFont="1" applyFill="1" applyBorder="1"/>
    <xf numFmtId="164" fontId="4" fillId="0" borderId="8" xfId="1" applyFont="1" applyFill="1" applyBorder="1" applyAlignment="1">
      <alignment horizontal="right"/>
    </xf>
    <xf numFmtId="164" fontId="4" fillId="0" borderId="10" xfId="1" applyFont="1" applyFill="1" applyBorder="1" applyAlignment="1">
      <alignment horizontal="right"/>
    </xf>
    <xf numFmtId="164" fontId="4" fillId="0" borderId="11" xfId="1" applyFont="1" applyFill="1" applyBorder="1" applyAlignment="1">
      <alignment horizontal="right"/>
    </xf>
    <xf numFmtId="164" fontId="7" fillId="0" borderId="12" xfId="1" applyFont="1" applyFill="1" applyBorder="1"/>
    <xf numFmtId="164" fontId="7" fillId="0" borderId="13" xfId="1" applyFont="1" applyFill="1" applyBorder="1" applyAlignment="1">
      <alignment horizontal="right"/>
    </xf>
    <xf numFmtId="165" fontId="7" fillId="0" borderId="13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2" applyNumberFormat="1" applyFont="1" applyFill="1" applyBorder="1"/>
    <xf numFmtId="165" fontId="9" fillId="0" borderId="0" xfId="1" applyNumberFormat="1" applyFont="1" applyFill="1" applyBorder="1"/>
    <xf numFmtId="164" fontId="4" fillId="0" borderId="14" xfId="0" applyNumberFormat="1" applyFont="1" applyBorder="1"/>
    <xf numFmtId="0" fontId="4" fillId="0" borderId="3" xfId="0" applyFont="1" applyBorder="1" applyAlignment="1">
      <alignment horizontal="right"/>
    </xf>
    <xf numFmtId="164" fontId="4" fillId="0" borderId="10" xfId="0" applyNumberFormat="1" applyFont="1" applyBorder="1"/>
    <xf numFmtId="0" fontId="4" fillId="0" borderId="9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16" xfId="0" applyFont="1" applyFill="1" applyBorder="1"/>
    <xf numFmtId="0" fontId="5" fillId="2" borderId="17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43" fontId="0" fillId="0" borderId="0" xfId="4" applyFont="1"/>
    <xf numFmtId="166" fontId="0" fillId="0" borderId="0" xfId="3" applyNumberFormat="1" applyFont="1"/>
    <xf numFmtId="43" fontId="0" fillId="0" borderId="0" xfId="4" applyFont="1" applyBorder="1"/>
    <xf numFmtId="0" fontId="1" fillId="2" borderId="18" xfId="0" applyFont="1" applyFill="1" applyBorder="1"/>
    <xf numFmtId="167" fontId="4" fillId="0" borderId="0" xfId="0" applyNumberFormat="1" applyFont="1" applyAlignment="1">
      <alignment horizontal="right"/>
    </xf>
    <xf numFmtId="164" fontId="4" fillId="4" borderId="9" xfId="1" applyFont="1" applyFill="1" applyBorder="1" applyAlignment="1">
      <alignment horizontal="right"/>
    </xf>
    <xf numFmtId="164" fontId="7" fillId="0" borderId="0" xfId="1" applyFont="1" applyFill="1" applyBorder="1"/>
    <xf numFmtId="164" fontId="4" fillId="4" borderId="2" xfId="1" applyFont="1" applyFill="1" applyBorder="1" applyAlignment="1">
      <alignment horizontal="left" indent="2"/>
    </xf>
    <xf numFmtId="0" fontId="13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4" fillId="0" borderId="0" xfId="1" applyFont="1" applyFill="1" applyBorder="1" applyAlignment="1">
      <alignment horizontal="right"/>
    </xf>
    <xf numFmtId="40" fontId="0" fillId="0" borderId="0" xfId="0" applyNumberForma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3" borderId="0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3" fontId="4" fillId="0" borderId="20" xfId="1" applyNumberFormat="1" applyFont="1" applyFill="1" applyBorder="1"/>
    <xf numFmtId="3" fontId="4" fillId="0" borderId="9" xfId="5" applyNumberFormat="1" applyFont="1" applyFill="1" applyBorder="1"/>
    <xf numFmtId="164" fontId="4" fillId="0" borderId="19" xfId="1" applyFont="1" applyFill="1" applyBorder="1" applyAlignment="1">
      <alignment horizontal="right"/>
    </xf>
    <xf numFmtId="164" fontId="7" fillId="0" borderId="19" xfId="1" applyFont="1" applyFill="1" applyBorder="1" applyAlignment="1">
      <alignment horizontal="right"/>
    </xf>
    <xf numFmtId="3" fontId="4" fillId="0" borderId="20" xfId="5" applyNumberFormat="1" applyFont="1" applyFill="1" applyBorder="1"/>
    <xf numFmtId="9" fontId="4" fillId="0" borderId="8" xfId="1" applyNumberFormat="1" applyFont="1" applyFill="1" applyBorder="1"/>
    <xf numFmtId="9" fontId="4" fillId="0" borderId="8" xfId="3" applyFont="1" applyFill="1" applyBorder="1"/>
    <xf numFmtId="164" fontId="7" fillId="0" borderId="9" xfId="1" applyFont="1" applyFill="1" applyBorder="1"/>
    <xf numFmtId="3" fontId="4" fillId="0" borderId="9" xfId="1" applyNumberFormat="1" applyFont="1" applyFill="1" applyBorder="1"/>
    <xf numFmtId="3" fontId="4" fillId="0" borderId="9" xfId="2" applyNumberFormat="1" applyFont="1" applyFill="1" applyBorder="1"/>
    <xf numFmtId="3" fontId="4" fillId="0" borderId="8" xfId="1" applyNumberFormat="1" applyFont="1" applyFill="1" applyBorder="1"/>
    <xf numFmtId="0" fontId="0" fillId="0" borderId="9" xfId="0" applyFill="1" applyBorder="1"/>
    <xf numFmtId="4" fontId="4" fillId="0" borderId="9" xfId="1" applyNumberFormat="1" applyFont="1" applyFill="1" applyBorder="1"/>
    <xf numFmtId="165" fontId="4" fillId="0" borderId="9" xfId="2" applyNumberFormat="1" applyFont="1" applyFill="1" applyBorder="1"/>
    <xf numFmtId="2" fontId="4" fillId="0" borderId="9" xfId="1" applyNumberFormat="1" applyFont="1" applyFill="1" applyBorder="1"/>
    <xf numFmtId="165" fontId="4" fillId="0" borderId="11" xfId="2" applyNumberFormat="1" applyFont="1" applyFill="1" applyBorder="1"/>
    <xf numFmtId="3" fontId="4" fillId="0" borderId="11" xfId="1" applyNumberFormat="1" applyFont="1" applyFill="1" applyBorder="1"/>
    <xf numFmtId="0" fontId="6" fillId="3" borderId="20" xfId="0" applyFont="1" applyFill="1" applyBorder="1" applyAlignment="1">
      <alignment horizontal="center"/>
    </xf>
    <xf numFmtId="164" fontId="5" fillId="3" borderId="20" xfId="1" applyFont="1" applyFill="1" applyBorder="1" applyAlignment="1">
      <alignment horizontal="right"/>
    </xf>
    <xf numFmtId="9" fontId="4" fillId="0" borderId="23" xfId="1" applyNumberFormat="1" applyFont="1" applyFill="1" applyBorder="1"/>
    <xf numFmtId="9" fontId="4" fillId="0" borderId="23" xfId="3" applyFont="1" applyFill="1" applyBorder="1"/>
    <xf numFmtId="164" fontId="7" fillId="0" borderId="20" xfId="1" applyFont="1" applyFill="1" applyBorder="1"/>
    <xf numFmtId="3" fontId="4" fillId="0" borderId="20" xfId="2" applyNumberFormat="1" applyFont="1" applyFill="1" applyBorder="1"/>
    <xf numFmtId="3" fontId="4" fillId="0" borderId="23" xfId="1" applyNumberFormat="1" applyFont="1" applyFill="1" applyBorder="1"/>
    <xf numFmtId="0" fontId="0" fillId="0" borderId="20" xfId="0" applyFill="1" applyBorder="1"/>
    <xf numFmtId="4" fontId="4" fillId="0" borderId="20" xfId="1" applyNumberFormat="1" applyFont="1" applyFill="1" applyBorder="1"/>
    <xf numFmtId="165" fontId="4" fillId="0" borderId="20" xfId="2" applyNumberFormat="1" applyFont="1" applyFill="1" applyBorder="1"/>
    <xf numFmtId="2" fontId="4" fillId="0" borderId="20" xfId="1" applyNumberFormat="1" applyFont="1" applyFill="1" applyBorder="1"/>
    <xf numFmtId="165" fontId="4" fillId="0" borderId="24" xfId="2" applyNumberFormat="1" applyFont="1" applyFill="1" applyBorder="1"/>
    <xf numFmtId="165" fontId="7" fillId="0" borderId="25" xfId="0" applyNumberFormat="1" applyFont="1" applyFill="1" applyBorder="1"/>
    <xf numFmtId="164" fontId="7" fillId="0" borderId="3" xfId="1" applyFont="1" applyFill="1" applyBorder="1" applyAlignment="1">
      <alignment horizontal="right"/>
    </xf>
    <xf numFmtId="0" fontId="0" fillId="0" borderId="9" xfId="0" applyBorder="1"/>
    <xf numFmtId="164" fontId="4" fillId="0" borderId="15" xfId="0" applyNumberFormat="1" applyFont="1" applyBorder="1"/>
    <xf numFmtId="0" fontId="4" fillId="0" borderId="11" xfId="0" applyFont="1" applyBorder="1" applyAlignment="1">
      <alignment horizontal="right"/>
    </xf>
    <xf numFmtId="3" fontId="4" fillId="0" borderId="26" xfId="0" applyNumberFormat="1" applyFont="1" applyBorder="1"/>
    <xf numFmtId="3" fontId="4" fillId="0" borderId="4" xfId="0" applyNumberFormat="1" applyFont="1" applyBorder="1"/>
    <xf numFmtId="2" fontId="2" fillId="0" borderId="0" xfId="0" applyNumberFormat="1" applyFont="1"/>
    <xf numFmtId="0" fontId="0" fillId="0" borderId="0" xfId="0" applyAlignment="1">
      <alignment wrapText="1"/>
    </xf>
    <xf numFmtId="9" fontId="15" fillId="0" borderId="9" xfId="3" applyFont="1" applyFill="1" applyBorder="1"/>
    <xf numFmtId="9" fontId="15" fillId="0" borderId="20" xfId="3" applyFont="1" applyFill="1" applyBorder="1"/>
    <xf numFmtId="4" fontId="4" fillId="0" borderId="6" xfId="1" applyNumberFormat="1" applyFont="1" applyFill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15" xfId="0" applyNumberFormat="1" applyFont="1" applyBorder="1"/>
    <xf numFmtId="3" fontId="4" fillId="0" borderId="27" xfId="0" applyNumberFormat="1" applyFont="1" applyBorder="1"/>
    <xf numFmtId="164" fontId="4" fillId="0" borderId="0" xfId="0" applyNumberFormat="1" applyFont="1"/>
    <xf numFmtId="168" fontId="4" fillId="0" borderId="0" xfId="4" applyNumberFormat="1" applyFont="1"/>
    <xf numFmtId="0" fontId="1" fillId="3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Komma" xfId="4" builtinId="3"/>
    <cellStyle name="Normal" xfId="0" builtinId="0"/>
    <cellStyle name="Normal 2 2" xfId="5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vfallskj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14">
          <cell r="D14">
            <v>3.4</v>
          </cell>
          <cell r="F14">
            <v>3</v>
          </cell>
        </row>
        <row r="38">
          <cell r="D38">
            <v>-27.397260273972602</v>
          </cell>
        </row>
      </sheetData>
      <sheetData sheetId="1"/>
      <sheetData sheetId="2"/>
      <sheetData sheetId="3">
        <row r="1">
          <cell r="C1">
            <v>1.07973174366617</v>
          </cell>
        </row>
        <row r="22">
          <cell r="C22">
            <v>3</v>
          </cell>
        </row>
        <row r="47">
          <cell r="C47">
            <v>20</v>
          </cell>
          <cell r="D47">
            <v>0.06</v>
          </cell>
          <cell r="E47">
            <v>1E-3</v>
          </cell>
        </row>
      </sheetData>
      <sheetData sheetId="4">
        <row r="15">
          <cell r="H15">
            <v>0.71966666666666657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nad 2016"/>
    </sheetNames>
    <sheetDataSet>
      <sheetData sheetId="0">
        <row r="21">
          <cell r="H21">
            <v>59.808849787315737</v>
          </cell>
          <cell r="I21">
            <v>33.407417324794672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9" zoomScaleNormal="100" workbookViewId="0">
      <selection activeCell="D21" sqref="D21"/>
    </sheetView>
  </sheetViews>
  <sheetFormatPr baseColWidth="10" defaultRowHeight="15" x14ac:dyDescent="0.25"/>
  <cols>
    <col min="1" max="1" width="16.85546875" customWidth="1"/>
    <col min="2" max="2" width="15.5703125" bestFit="1" customWidth="1"/>
    <col min="3" max="3" width="11.5703125" bestFit="1" customWidth="1"/>
    <col min="6" max="6" width="34.7109375" customWidth="1"/>
    <col min="7" max="7" width="13.28515625" customWidth="1"/>
    <col min="8" max="8" width="18.28515625" customWidth="1"/>
    <col min="9" max="9" width="16.5703125" customWidth="1"/>
    <col min="10" max="10" width="24.42578125" customWidth="1"/>
    <col min="11" max="11" width="26" customWidth="1"/>
  </cols>
  <sheetData>
    <row r="1" spans="1:12" ht="15.75" thickBot="1" x14ac:dyDescent="0.3"/>
    <row r="2" spans="1:12" x14ac:dyDescent="0.25">
      <c r="A2" s="25"/>
      <c r="B2" s="25" t="s">
        <v>33</v>
      </c>
      <c r="C2" s="26"/>
      <c r="D2" s="33"/>
      <c r="F2" s="100" t="s">
        <v>36</v>
      </c>
      <c r="G2" s="101"/>
      <c r="H2" s="101"/>
      <c r="I2" s="102"/>
      <c r="J2" s="29"/>
      <c r="K2" s="29"/>
    </row>
    <row r="3" spans="1:12" x14ac:dyDescent="0.25">
      <c r="A3" s="25" t="s">
        <v>29</v>
      </c>
      <c r="B3" t="s">
        <v>28</v>
      </c>
      <c r="C3">
        <f>'[1]byggetid levetid rente'!$C$22</f>
        <v>3</v>
      </c>
      <c r="E3" s="28"/>
      <c r="F3" s="30"/>
      <c r="G3" s="51" t="s">
        <v>3</v>
      </c>
      <c r="H3" s="52"/>
      <c r="I3" s="70"/>
      <c r="J3" s="29"/>
      <c r="K3" s="29"/>
    </row>
    <row r="4" spans="1:12" x14ac:dyDescent="0.25">
      <c r="A4" s="25" t="s">
        <v>30</v>
      </c>
      <c r="B4" t="s">
        <v>28</v>
      </c>
      <c r="C4" s="31">
        <f>'[1]byggetid levetid rente'!$C$47</f>
        <v>20</v>
      </c>
      <c r="E4" s="28"/>
      <c r="F4" s="30" t="s">
        <v>4</v>
      </c>
      <c r="G4" s="51" t="s">
        <v>51</v>
      </c>
      <c r="H4" s="51">
        <v>15</v>
      </c>
      <c r="I4" s="71">
        <v>40</v>
      </c>
      <c r="J4" s="35" t="s">
        <v>24</v>
      </c>
      <c r="K4" s="35" t="s">
        <v>23</v>
      </c>
    </row>
    <row r="5" spans="1:12" x14ac:dyDescent="0.25">
      <c r="A5" s="25" t="s">
        <v>34</v>
      </c>
      <c r="B5" t="s">
        <v>32</v>
      </c>
      <c r="C5" s="34">
        <f>'[1]byggetid levetid rente'!$D$47</f>
        <v>0.06</v>
      </c>
      <c r="E5" s="28"/>
      <c r="F5" s="4" t="s">
        <v>53</v>
      </c>
      <c r="G5" s="5" t="s">
        <v>5</v>
      </c>
      <c r="H5" s="6">
        <v>6700</v>
      </c>
      <c r="I5" s="53">
        <v>6700</v>
      </c>
      <c r="J5" t="s">
        <v>59</v>
      </c>
      <c r="K5" t="s">
        <v>54</v>
      </c>
    </row>
    <row r="6" spans="1:12" ht="60" x14ac:dyDescent="0.25">
      <c r="A6" s="25" t="s">
        <v>52</v>
      </c>
      <c r="B6" t="s">
        <v>32</v>
      </c>
      <c r="C6" s="34">
        <f>'[1]byggetid levetid rente'!$E$47</f>
        <v>1E-3</v>
      </c>
      <c r="D6" s="37"/>
      <c r="E6" s="14"/>
      <c r="F6" s="3" t="s">
        <v>38</v>
      </c>
      <c r="G6" s="55" t="s">
        <v>1</v>
      </c>
      <c r="H6" s="58">
        <v>0.88</v>
      </c>
      <c r="I6" s="72">
        <v>0.88</v>
      </c>
      <c r="J6" t="s">
        <v>59</v>
      </c>
      <c r="K6" s="90" t="s">
        <v>62</v>
      </c>
    </row>
    <row r="7" spans="1:12" x14ac:dyDescent="0.25">
      <c r="A7" s="25" t="s">
        <v>39</v>
      </c>
      <c r="B7" s="14" t="s">
        <v>35</v>
      </c>
      <c r="C7" s="38">
        <f>'[1]Brennverdier og priser'!$D$14</f>
        <v>3.4</v>
      </c>
      <c r="D7" s="14"/>
      <c r="E7" s="14"/>
      <c r="F7" s="4" t="s">
        <v>37</v>
      </c>
      <c r="G7" s="9" t="s">
        <v>1</v>
      </c>
      <c r="H7" s="91">
        <f>H6/C7*C8</f>
        <v>0.77647058823529425</v>
      </c>
      <c r="I7" s="92">
        <f>I6/C7*C8</f>
        <v>0.77647058823529425</v>
      </c>
    </row>
    <row r="8" spans="1:12" x14ac:dyDescent="0.25">
      <c r="A8" s="25" t="s">
        <v>40</v>
      </c>
      <c r="B8" s="14" t="s">
        <v>35</v>
      </c>
      <c r="C8" s="32">
        <f>'[1]Brennverdier og priser'!$F$14</f>
        <v>3</v>
      </c>
      <c r="E8" s="14"/>
      <c r="F8" s="3" t="s">
        <v>6</v>
      </c>
      <c r="G8" s="56" t="s">
        <v>1</v>
      </c>
      <c r="H8" s="59">
        <v>0.22</v>
      </c>
      <c r="I8" s="73">
        <v>0.22</v>
      </c>
    </row>
    <row r="9" spans="1:12" x14ac:dyDescent="0.25">
      <c r="A9" s="25" t="s">
        <v>31</v>
      </c>
      <c r="B9" s="14" t="s">
        <v>41</v>
      </c>
      <c r="C9" s="32">
        <f>'[1]Brennverdier og priser'!$D$38</f>
        <v>-27.397260273972602</v>
      </c>
      <c r="E9" s="14"/>
      <c r="F9" s="4" t="s">
        <v>7</v>
      </c>
      <c r="G9" s="83"/>
      <c r="H9" s="60"/>
      <c r="I9" s="74"/>
    </row>
    <row r="10" spans="1:12" x14ac:dyDescent="0.25">
      <c r="A10" s="39" t="s">
        <v>14</v>
      </c>
      <c r="B10" s="14" t="s">
        <v>42</v>
      </c>
      <c r="C10" s="40">
        <f>'[1]NOX avgift'!$H$15</f>
        <v>0.71966666666666657</v>
      </c>
      <c r="D10" s="14"/>
      <c r="E10" s="14"/>
      <c r="F10" s="43" t="s">
        <v>43</v>
      </c>
      <c r="G10" s="41" t="s">
        <v>44</v>
      </c>
      <c r="H10" s="61">
        <v>22300</v>
      </c>
      <c r="I10" s="53">
        <v>15900</v>
      </c>
      <c r="J10" s="103" t="s">
        <v>55</v>
      </c>
      <c r="K10" s="104" t="s">
        <v>56</v>
      </c>
    </row>
    <row r="11" spans="1:12" x14ac:dyDescent="0.25">
      <c r="A11" s="25" t="s">
        <v>57</v>
      </c>
      <c r="B11" s="14" t="s">
        <v>58</v>
      </c>
      <c r="C11" s="89">
        <f>'[1]byggetid levetid rente'!$C$1</f>
        <v>1.07973174366617</v>
      </c>
      <c r="E11" s="27"/>
      <c r="F11" s="43" t="s">
        <v>45</v>
      </c>
      <c r="G11" s="41" t="s">
        <v>44</v>
      </c>
      <c r="H11" s="61">
        <v>2100</v>
      </c>
      <c r="I11" s="53">
        <v>1600</v>
      </c>
      <c r="J11" s="103"/>
      <c r="K11" s="104"/>
    </row>
    <row r="12" spans="1:12" x14ac:dyDescent="0.25">
      <c r="B12" s="14"/>
      <c r="C12" s="14"/>
      <c r="D12" s="27"/>
      <c r="E12" s="27"/>
      <c r="F12" s="43" t="s">
        <v>9</v>
      </c>
      <c r="G12" s="41" t="s">
        <v>44</v>
      </c>
      <c r="H12" s="61">
        <v>600</v>
      </c>
      <c r="I12" s="53">
        <v>300</v>
      </c>
      <c r="J12" s="103"/>
      <c r="K12" s="104"/>
    </row>
    <row r="13" spans="1:12" x14ac:dyDescent="0.25">
      <c r="B13" s="14"/>
      <c r="C13" s="14"/>
      <c r="D13" s="27"/>
      <c r="E13" s="27"/>
      <c r="F13" s="43" t="s">
        <v>8</v>
      </c>
      <c r="G13" s="41" t="s">
        <v>44</v>
      </c>
      <c r="H13" s="54">
        <v>6500</v>
      </c>
      <c r="I13" s="57">
        <v>4600</v>
      </c>
      <c r="J13" s="103"/>
      <c r="K13" s="104"/>
    </row>
    <row r="14" spans="1:12" x14ac:dyDescent="0.25">
      <c r="B14" s="14"/>
      <c r="F14" s="43" t="s">
        <v>10</v>
      </c>
      <c r="G14" s="41" t="s">
        <v>44</v>
      </c>
      <c r="H14" s="54">
        <v>5000</v>
      </c>
      <c r="I14" s="57">
        <v>3600</v>
      </c>
      <c r="J14" s="103"/>
      <c r="K14" s="104"/>
    </row>
    <row r="15" spans="1:12" x14ac:dyDescent="0.25">
      <c r="B15" s="14"/>
      <c r="F15" s="43" t="s">
        <v>46</v>
      </c>
      <c r="G15" s="41" t="s">
        <v>44</v>
      </c>
      <c r="H15" s="61">
        <f>SUM(H10:H14)*(((1+(C5))*((1+C5)^(C3)-1))/(C5*C3))-SUM(H10:H14)</f>
        <v>4557.8280000000668</v>
      </c>
      <c r="I15" s="53">
        <f>SUM(I10:I14)*(((1+(C5))*((1+C5)^(C3)-1))/(C5*C3))-SUM(I10:I14)</f>
        <v>3246.6720000000496</v>
      </c>
      <c r="J15" s="103"/>
      <c r="K15" s="104"/>
    </row>
    <row r="16" spans="1:12" x14ac:dyDescent="0.25">
      <c r="B16" s="14"/>
      <c r="F16" s="4" t="s">
        <v>11</v>
      </c>
      <c r="G16" s="41" t="s">
        <v>44</v>
      </c>
      <c r="H16" s="62">
        <f>SUM(H10:H15)</f>
        <v>41057.828000000067</v>
      </c>
      <c r="I16" s="75">
        <f>SUM(I10:I15)</f>
        <v>29246.67200000005</v>
      </c>
      <c r="J16" s="103"/>
      <c r="K16" s="104"/>
      <c r="L16" s="36"/>
    </row>
    <row r="17" spans="2:11" x14ac:dyDescent="0.25">
      <c r="B17" s="14"/>
      <c r="F17" s="3" t="s">
        <v>0</v>
      </c>
      <c r="G17" s="8" t="s">
        <v>47</v>
      </c>
      <c r="H17" s="63">
        <f>990*C11</f>
        <v>1068.9344262295083</v>
      </c>
      <c r="I17" s="76">
        <f>400*C11</f>
        <v>431.89269746646801</v>
      </c>
      <c r="J17" t="s">
        <v>59</v>
      </c>
      <c r="K17" t="s">
        <v>60</v>
      </c>
    </row>
    <row r="18" spans="2:11" x14ac:dyDescent="0.25">
      <c r="B18" s="14"/>
      <c r="F18" s="4" t="s">
        <v>15</v>
      </c>
      <c r="G18" s="84"/>
      <c r="H18" s="64"/>
      <c r="I18" s="77"/>
    </row>
    <row r="19" spans="2:11" x14ac:dyDescent="0.25">
      <c r="B19" s="14"/>
      <c r="F19" s="7" t="s">
        <v>12</v>
      </c>
      <c r="G19" s="5" t="s">
        <v>49</v>
      </c>
      <c r="H19" s="65">
        <f>1/H6</f>
        <v>1.1363636363636365</v>
      </c>
      <c r="I19" s="78">
        <f>1/I6</f>
        <v>1.1363636363636365</v>
      </c>
    </row>
    <row r="20" spans="2:11" x14ac:dyDescent="0.25">
      <c r="B20" s="98"/>
      <c r="F20" s="7" t="s">
        <v>48</v>
      </c>
      <c r="G20" s="22" t="s">
        <v>50</v>
      </c>
      <c r="H20" s="66">
        <f>$C$9</f>
        <v>-27.397260273972602</v>
      </c>
      <c r="I20" s="79">
        <f>$C$9</f>
        <v>-27.397260273972602</v>
      </c>
    </row>
    <row r="21" spans="2:11" x14ac:dyDescent="0.25">
      <c r="B21" s="99"/>
      <c r="F21" s="7" t="s">
        <v>14</v>
      </c>
      <c r="G21" s="44" t="s">
        <v>41</v>
      </c>
      <c r="H21" s="67">
        <f>$C$10</f>
        <v>0.71966666666666657</v>
      </c>
      <c r="I21" s="80">
        <f>$C$10</f>
        <v>0.71966666666666657</v>
      </c>
    </row>
    <row r="22" spans="2:11" x14ac:dyDescent="0.25">
      <c r="B22" s="14"/>
      <c r="F22" s="4" t="s">
        <v>15</v>
      </c>
      <c r="G22" s="10" t="s">
        <v>2</v>
      </c>
      <c r="H22" s="68">
        <f>(H20+H21)*H19</f>
        <v>-30.315447281029478</v>
      </c>
      <c r="I22" s="81">
        <f>(I20+I21)*I19</f>
        <v>-30.315447281029478</v>
      </c>
    </row>
    <row r="23" spans="2:11" ht="45" x14ac:dyDescent="0.25">
      <c r="B23" s="14"/>
      <c r="F23" s="3" t="s">
        <v>16</v>
      </c>
      <c r="G23" s="55" t="s">
        <v>2</v>
      </c>
      <c r="H23" s="69">
        <f>19*C11</f>
        <v>20.514903129657231</v>
      </c>
      <c r="I23" s="53">
        <f>18*C11</f>
        <v>19.435171385991058</v>
      </c>
      <c r="J23" s="90" t="s">
        <v>59</v>
      </c>
      <c r="K23" s="90" t="s">
        <v>61</v>
      </c>
    </row>
    <row r="24" spans="2:11" ht="15.75" thickBot="1" x14ac:dyDescent="0.3">
      <c r="B24" s="14"/>
      <c r="F24" s="11" t="s">
        <v>26</v>
      </c>
      <c r="G24" s="12" t="s">
        <v>13</v>
      </c>
      <c r="H24" s="13">
        <f>(SUM(H31:H34)-H35*'[2]Kostnad 2016'!H21)/H36</f>
        <v>104.32912686781027</v>
      </c>
      <c r="I24" s="13">
        <f>(SUM(I31:I34)-I35*'[2]Kostnad 2016'!I21)/I36</f>
        <v>63.441834960631233</v>
      </c>
    </row>
    <row r="25" spans="2:11" ht="118.5" customHeight="1" x14ac:dyDescent="0.25">
      <c r="B25" s="14"/>
      <c r="F25" s="1" t="s">
        <v>25</v>
      </c>
      <c r="G25" s="2"/>
      <c r="H25" s="93">
        <v>0.96</v>
      </c>
      <c r="I25" s="93">
        <v>0.96</v>
      </c>
      <c r="J25" s="103" t="s">
        <v>63</v>
      </c>
      <c r="K25" s="105"/>
    </row>
    <row r="26" spans="2:11" ht="15.75" thickBot="1" x14ac:dyDescent="0.3">
      <c r="B26" s="14"/>
      <c r="F26" s="11" t="s">
        <v>27</v>
      </c>
      <c r="G26" s="12" t="s">
        <v>13</v>
      </c>
      <c r="H26" s="13">
        <f>H24*H25</f>
        <v>100.15596179309786</v>
      </c>
      <c r="I26" s="82">
        <f t="shared" ref="I26" si="0">I24*I25</f>
        <v>60.904161562205985</v>
      </c>
    </row>
    <row r="27" spans="2:11" x14ac:dyDescent="0.25">
      <c r="B27" s="14"/>
      <c r="I27" s="18"/>
    </row>
    <row r="28" spans="2:11" x14ac:dyDescent="0.25">
      <c r="B28" s="14"/>
      <c r="F28" s="15"/>
      <c r="G28" s="16"/>
      <c r="H28" s="18"/>
      <c r="I28" s="18"/>
    </row>
    <row r="29" spans="2:11" x14ac:dyDescent="0.25">
      <c r="B29" s="14"/>
      <c r="F29" s="14"/>
      <c r="G29" s="14"/>
      <c r="H29" s="14"/>
      <c r="I29" s="14"/>
    </row>
    <row r="30" spans="2:11" x14ac:dyDescent="0.25">
      <c r="B30" s="14"/>
      <c r="F30" s="42" t="s">
        <v>17</v>
      </c>
      <c r="G30" s="45"/>
      <c r="H30" s="46"/>
      <c r="I30" s="46"/>
    </row>
    <row r="31" spans="2:11" x14ac:dyDescent="0.25">
      <c r="B31" s="14"/>
      <c r="F31" s="19" t="str">
        <f>F9</f>
        <v>Investeringskostnader</v>
      </c>
      <c r="G31" s="20" t="s">
        <v>18</v>
      </c>
      <c r="H31" s="94">
        <f>H16*100*1000*H4</f>
        <v>61586742000.000099</v>
      </c>
      <c r="I31" s="87">
        <f>I16*100*1000*I4</f>
        <v>116986688000.00018</v>
      </c>
    </row>
    <row r="32" spans="2:11" x14ac:dyDescent="0.25">
      <c r="B32" s="14"/>
      <c r="F32" s="21" t="str">
        <f>F17</f>
        <v>Faste driftskostnader</v>
      </c>
      <c r="G32" s="22" t="s">
        <v>18</v>
      </c>
      <c r="H32" s="95">
        <f>-PV($C$5,$C$4,H17*100*1000*H4)</f>
        <v>18390890484.997082</v>
      </c>
      <c r="I32" s="88">
        <f>-PV($C$5,$C$4,I17*100*1000*I4)</f>
        <v>19815100859.256115</v>
      </c>
    </row>
    <row r="33" spans="3:9" x14ac:dyDescent="0.25">
      <c r="C33" s="36"/>
      <c r="F33" s="21" t="str">
        <f>F23</f>
        <v>Variable kostnader eks brensel</v>
      </c>
      <c r="G33" s="22" t="s">
        <v>18</v>
      </c>
      <c r="H33" s="95">
        <f>-PV($C$5,$C$4,H6*H23*1000*H4*H5)</f>
        <v>20810314299.912254</v>
      </c>
      <c r="I33" s="88">
        <f>-PV($C$5,$C$4,I6*I23*1000*I4*I5)</f>
        <v>52573425599.77832</v>
      </c>
    </row>
    <row r="34" spans="3:9" x14ac:dyDescent="0.25">
      <c r="F34" s="21" t="str">
        <f>F22</f>
        <v>Brensels- og utslippskostnader</v>
      </c>
      <c r="G34" s="22" t="s">
        <v>18</v>
      </c>
      <c r="H34" s="95">
        <f>-PV($C$5,$C$4,H6*H22*1000*H4*H5)</f>
        <v>-30751984646.158287</v>
      </c>
      <c r="I34" s="88">
        <f>-PV($C$5,$C$4,I6*I22*1000*I4*I5)</f>
        <v>-82005292389.755463</v>
      </c>
    </row>
    <row r="35" spans="3:9" x14ac:dyDescent="0.25">
      <c r="F35" s="21" t="s">
        <v>19</v>
      </c>
      <c r="G35" s="22" t="s">
        <v>20</v>
      </c>
      <c r="H35" s="95">
        <f>-PV($C$5+$C$6,$C$4,H6*H5*H4*(1-H8)*1000)</f>
        <v>784848448.78059006</v>
      </c>
      <c r="I35" s="88">
        <f>-PV($C$5+$C$6,$C$4,I6*I5*I4*(1-I8)*1000)</f>
        <v>2092929196.7482402</v>
      </c>
    </row>
    <row r="36" spans="3:9" x14ac:dyDescent="0.25">
      <c r="F36" s="85" t="s">
        <v>21</v>
      </c>
      <c r="G36" s="86" t="s">
        <v>22</v>
      </c>
      <c r="H36" s="96">
        <f>-PV($C$5+$C$6,$C$4,H6*H5*H4*1000*H8)</f>
        <v>221367511.19452539</v>
      </c>
      <c r="I36" s="97">
        <f>-PV($C$5+$C$6,$C$4,I6*I5*I4*1000*I8)</f>
        <v>590313363.18540108</v>
      </c>
    </row>
    <row r="37" spans="3:9" x14ac:dyDescent="0.25">
      <c r="F37" s="31"/>
      <c r="G37" s="47"/>
      <c r="H37" s="48"/>
      <c r="I37" s="48"/>
    </row>
    <row r="38" spans="3:9" x14ac:dyDescent="0.25">
      <c r="F38" s="15"/>
      <c r="G38" s="49"/>
      <c r="H38" s="17"/>
      <c r="I38" s="17"/>
    </row>
    <row r="39" spans="3:9" x14ac:dyDescent="0.25">
      <c r="F39" s="15"/>
      <c r="G39" s="49"/>
      <c r="H39" s="18"/>
      <c r="I39" s="18"/>
    </row>
    <row r="40" spans="3:9" x14ac:dyDescent="0.25">
      <c r="F40" s="24"/>
      <c r="G40" s="49"/>
      <c r="H40" s="23"/>
      <c r="I40" s="23"/>
    </row>
    <row r="41" spans="3:9" x14ac:dyDescent="0.25">
      <c r="F41" s="24"/>
      <c r="G41" s="49"/>
      <c r="H41" s="23"/>
      <c r="I41" s="23"/>
    </row>
    <row r="42" spans="3:9" x14ac:dyDescent="0.25">
      <c r="F42" s="31"/>
      <c r="G42" s="50"/>
      <c r="H42" s="48"/>
      <c r="I42" s="48"/>
    </row>
    <row r="43" spans="3:9" x14ac:dyDescent="0.25">
      <c r="F43" s="31"/>
      <c r="G43" s="31"/>
      <c r="H43" s="31"/>
      <c r="I43" s="31"/>
    </row>
    <row r="44" spans="3:9" x14ac:dyDescent="0.25">
      <c r="F44" s="31"/>
      <c r="G44" s="31"/>
      <c r="H44" s="31"/>
      <c r="I44" s="31"/>
    </row>
    <row r="45" spans="3:9" x14ac:dyDescent="0.25">
      <c r="F45" s="31"/>
      <c r="G45" s="31"/>
      <c r="H45" s="31"/>
      <c r="I45" s="31"/>
    </row>
  </sheetData>
  <mergeCells count="4">
    <mergeCell ref="F2:I2"/>
    <mergeCell ref="J10:J16"/>
    <mergeCell ref="K10:K16"/>
    <mergeCell ref="J25:K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2017-05-29T07:04:47Z</dcterms:modified>
</cp:coreProperties>
</file>