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harts/chart5.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codeName="ThisWorkbook" defaultThemeVersion="166925"/>
  <xr:revisionPtr revIDLastSave="23" documentId="8_{9A0CAA3A-E041-4FF3-8DFC-C518D44683F8}" xr6:coauthVersionLast="47" xr6:coauthVersionMax="47" xr10:uidLastSave="{039201CE-9461-4567-B8F8-9A91070FA269}"/>
  <bookViews>
    <workbookView xWindow="-120" yWindow="-120" windowWidth="29040" windowHeight="15840" xr2:uid="{F6838553-CF54-46A0-A006-864EC92841B7}"/>
  </bookViews>
  <sheets>
    <sheet name="RAC_COOLING" sheetId="3" r:id="rId1"/>
    <sheet name="RAC_HEATING" sheetId="6" r:id="rId2"/>
    <sheet name="Density calculation" sheetId="4" r:id="rId3"/>
  </sheets>
  <definedNames>
    <definedName name="solver_adj" localSheetId="0" hidden="1">RAC_COOLING!$F$22</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0</definedName>
    <definedName name="solver_nwt" localSheetId="0" hidden="1">1</definedName>
    <definedName name="solver_opt" localSheetId="0" hidden="1">RAC_COOLING!$J$22</definedName>
    <definedName name="solver_pre" localSheetId="0" hidden="1">0.000001</definedName>
    <definedName name="solver_rbv"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3</definedName>
    <definedName name="solver_val" localSheetId="0" hidden="1">0</definedName>
    <definedName name="solver_ver" localSheetId="0"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19" i="6" l="1"/>
  <c r="L19" i="6"/>
  <c r="D44" i="3"/>
  <c r="V11" i="3"/>
  <c r="AG11" i="3" s="1"/>
  <c r="AR11" i="3" s="1"/>
  <c r="W11" i="3"/>
  <c r="AH11" i="3" s="1"/>
  <c r="AS11" i="3" s="1"/>
  <c r="W10" i="3"/>
  <c r="AH10" i="3" s="1"/>
  <c r="AS10" i="3" s="1"/>
  <c r="V10" i="3"/>
  <c r="AG10" i="3" s="1"/>
  <c r="AR10" i="3" s="1"/>
  <c r="AV33" i="3" l="1"/>
  <c r="N33" i="6" l="1"/>
  <c r="O33" i="6"/>
  <c r="P33" i="6"/>
  <c r="N34" i="6"/>
  <c r="O34" i="6"/>
  <c r="P34" i="6"/>
  <c r="N35" i="6"/>
  <c r="O35" i="6"/>
  <c r="P35" i="6"/>
  <c r="N36" i="6"/>
  <c r="O36" i="6"/>
  <c r="P36" i="6"/>
  <c r="N37" i="6"/>
  <c r="O37" i="6"/>
  <c r="P37" i="6"/>
  <c r="N38" i="6"/>
  <c r="O38" i="6"/>
  <c r="P38" i="6"/>
  <c r="N39" i="6"/>
  <c r="O39" i="6"/>
  <c r="P39" i="6"/>
  <c r="N40" i="6"/>
  <c r="O40" i="6"/>
  <c r="P40" i="6"/>
  <c r="N41" i="6"/>
  <c r="O41" i="6"/>
  <c r="P41" i="6"/>
  <c r="N42" i="6"/>
  <c r="O42" i="6"/>
  <c r="P42" i="6"/>
  <c r="N43" i="6"/>
  <c r="O43" i="6"/>
  <c r="P43" i="6"/>
  <c r="N44" i="6"/>
  <c r="O44" i="6"/>
  <c r="P44" i="6"/>
  <c r="N45" i="6"/>
  <c r="O45" i="6"/>
  <c r="P45" i="6"/>
  <c r="N46" i="6"/>
  <c r="O46" i="6"/>
  <c r="P46" i="6"/>
  <c r="N47" i="6"/>
  <c r="O47" i="6"/>
  <c r="P47" i="6"/>
  <c r="N48" i="6"/>
  <c r="O48" i="6"/>
  <c r="P48" i="6"/>
  <c r="N49" i="6"/>
  <c r="O49" i="6"/>
  <c r="P49" i="6"/>
  <c r="N50" i="6"/>
  <c r="O50" i="6"/>
  <c r="P50" i="6"/>
  <c r="N51" i="6"/>
  <c r="O51" i="6"/>
  <c r="P51" i="6"/>
  <c r="N52" i="6"/>
  <c r="O52" i="6"/>
  <c r="P52" i="6"/>
  <c r="N53" i="6"/>
  <c r="O53" i="6"/>
  <c r="P53" i="6"/>
  <c r="N54" i="6"/>
  <c r="O54" i="6"/>
  <c r="P54" i="6"/>
  <c r="N55" i="6"/>
  <c r="O55" i="6"/>
  <c r="P55" i="6"/>
  <c r="N56" i="6"/>
  <c r="O56" i="6"/>
  <c r="P56" i="6"/>
  <c r="N57" i="6"/>
  <c r="O57" i="6"/>
  <c r="P57" i="6"/>
  <c r="N58" i="6"/>
  <c r="O58" i="6"/>
  <c r="P58" i="6"/>
  <c r="N59" i="6"/>
  <c r="O59" i="6"/>
  <c r="P59" i="6"/>
  <c r="N60" i="6"/>
  <c r="O60" i="6"/>
  <c r="P60" i="6"/>
  <c r="N61" i="6"/>
  <c r="O61" i="6"/>
  <c r="P61" i="6"/>
  <c r="N62" i="6"/>
  <c r="O62" i="6"/>
  <c r="P62" i="6"/>
  <c r="N63" i="6"/>
  <c r="O63" i="6"/>
  <c r="P63" i="6"/>
  <c r="N64" i="6"/>
  <c r="O64" i="6"/>
  <c r="P64" i="6"/>
  <c r="N65" i="6"/>
  <c r="O65" i="6"/>
  <c r="P65" i="6"/>
  <c r="N66" i="6"/>
  <c r="O66" i="6"/>
  <c r="P66" i="6"/>
  <c r="N67" i="6"/>
  <c r="O67" i="6"/>
  <c r="P67" i="6"/>
  <c r="N68" i="6"/>
  <c r="O68" i="6"/>
  <c r="P68" i="6"/>
  <c r="N69" i="6"/>
  <c r="O69" i="6"/>
  <c r="P69" i="6"/>
  <c r="N70" i="6"/>
  <c r="O70" i="6"/>
  <c r="P70" i="6"/>
  <c r="N71" i="6"/>
  <c r="O71" i="6"/>
  <c r="P71" i="6"/>
  <c r="N72" i="6"/>
  <c r="O72" i="6"/>
  <c r="P72" i="6"/>
  <c r="N73" i="6"/>
  <c r="O73" i="6"/>
  <c r="P73" i="6"/>
  <c r="N74" i="6"/>
  <c r="O74" i="6"/>
  <c r="P74" i="6"/>
  <c r="U33" i="6"/>
  <c r="F14" i="3"/>
  <c r="F10" i="3"/>
  <c r="K12" i="6"/>
  <c r="L12" i="6"/>
  <c r="M12" i="6"/>
  <c r="N12" i="6"/>
  <c r="O12" i="6"/>
  <c r="P12" i="6"/>
  <c r="P13" i="6"/>
  <c r="O13" i="6"/>
  <c r="N13" i="6"/>
  <c r="M13" i="6"/>
  <c r="L13" i="6"/>
  <c r="K13" i="6"/>
  <c r="P16" i="6"/>
  <c r="P14" i="6"/>
  <c r="N16" i="6"/>
  <c r="N14" i="6"/>
  <c r="L14" i="6"/>
  <c r="L16" i="6"/>
  <c r="M14" i="6"/>
  <c r="O14" i="6"/>
  <c r="M16" i="6"/>
  <c r="O16" i="6"/>
  <c r="K16" i="6"/>
  <c r="K14" i="6"/>
  <c r="Z8" i="6"/>
  <c r="Z7" i="6" s="1"/>
  <c r="Y8" i="6"/>
  <c r="AB8" i="6" s="1"/>
  <c r="AB7" i="6" s="1"/>
  <c r="F23" i="6"/>
  <c r="F21" i="6"/>
  <c r="X21" i="6"/>
  <c r="AA6" i="6"/>
  <c r="X11" i="6"/>
  <c r="X6" i="6" s="1"/>
  <c r="C77" i="6" l="1"/>
  <c r="E77" i="6"/>
  <c r="D77" i="6"/>
  <c r="Y7" i="6"/>
  <c r="AA8" i="6"/>
  <c r="AA7" i="6" s="1"/>
  <c r="J22" i="6" l="1"/>
  <c r="P3" i="6"/>
  <c r="N3" i="6"/>
  <c r="L3" i="6"/>
  <c r="E75" i="6"/>
  <c r="D75" i="6"/>
  <c r="C75" i="6"/>
  <c r="V73" i="6"/>
  <c r="U73" i="6"/>
  <c r="V72" i="6"/>
  <c r="U72" i="6"/>
  <c r="V71" i="6"/>
  <c r="U71" i="6"/>
  <c r="V70" i="6"/>
  <c r="U70" i="6"/>
  <c r="V69" i="6"/>
  <c r="U69" i="6"/>
  <c r="V68" i="6"/>
  <c r="U68" i="6"/>
  <c r="V67" i="6"/>
  <c r="U67" i="6"/>
  <c r="V66" i="6"/>
  <c r="U66" i="6"/>
  <c r="V65" i="6"/>
  <c r="U65" i="6"/>
  <c r="V64" i="6"/>
  <c r="U64" i="6"/>
  <c r="V63" i="6"/>
  <c r="U63" i="6"/>
  <c r="V62" i="6"/>
  <c r="U62" i="6"/>
  <c r="V61" i="6"/>
  <c r="U61" i="6"/>
  <c r="V60" i="6"/>
  <c r="U60" i="6"/>
  <c r="V59" i="6"/>
  <c r="U59" i="6"/>
  <c r="V58" i="6"/>
  <c r="U58" i="6"/>
  <c r="V57" i="6"/>
  <c r="U57" i="6"/>
  <c r="V56" i="6"/>
  <c r="U56" i="6"/>
  <c r="V55" i="6"/>
  <c r="U55" i="6"/>
  <c r="V54" i="6"/>
  <c r="U54" i="6"/>
  <c r="V53" i="6"/>
  <c r="U53" i="6"/>
  <c r="V52" i="6"/>
  <c r="U52" i="6"/>
  <c r="V51" i="6"/>
  <c r="U51" i="6"/>
  <c r="V50" i="6"/>
  <c r="U50" i="6"/>
  <c r="V49" i="6"/>
  <c r="U49" i="6"/>
  <c r="V48" i="6"/>
  <c r="U48" i="6"/>
  <c r="V47" i="6"/>
  <c r="U47" i="6"/>
  <c r="V46" i="6"/>
  <c r="U46" i="6"/>
  <c r="V45" i="6"/>
  <c r="U45" i="6"/>
  <c r="V44" i="6"/>
  <c r="U44" i="6"/>
  <c r="V43" i="6"/>
  <c r="U43" i="6"/>
  <c r="V42" i="6"/>
  <c r="U42" i="6"/>
  <c r="V41" i="6"/>
  <c r="U41" i="6"/>
  <c r="V40" i="6"/>
  <c r="U40" i="6"/>
  <c r="V39" i="6"/>
  <c r="U39" i="6"/>
  <c r="V38" i="6"/>
  <c r="U38" i="6"/>
  <c r="V37" i="6"/>
  <c r="U37" i="6"/>
  <c r="V36" i="6"/>
  <c r="U36" i="6"/>
  <c r="V35" i="6"/>
  <c r="U35" i="6"/>
  <c r="V34" i="6"/>
  <c r="U34" i="6"/>
  <c r="V33" i="6"/>
  <c r="Y24" i="6" a="1"/>
  <c r="Y24" i="6" s="1"/>
  <c r="Y23" i="6" a="1"/>
  <c r="Y23" i="6" s="1"/>
  <c r="X23" i="6"/>
  <c r="Y22" i="6" a="1"/>
  <c r="Y22" i="6" s="1"/>
  <c r="Y21" i="6" a="1"/>
  <c r="Y21" i="6" s="1"/>
  <c r="Y20" i="6" a="1"/>
  <c r="Y20" i="6" s="1"/>
  <c r="X25" i="6" s="1"/>
  <c r="P7" i="6"/>
  <c r="L7" i="6"/>
  <c r="O4" i="6"/>
  <c r="P4" i="6" s="1"/>
  <c r="M4" i="6"/>
  <c r="N4" i="6" s="1"/>
  <c r="K4" i="6"/>
  <c r="BV86" i="3"/>
  <c r="BV85" i="3"/>
  <c r="BV84" i="3"/>
  <c r="BY45" i="3"/>
  <c r="BW45" i="3"/>
  <c r="BR45" i="3"/>
  <c r="BQ45" i="3"/>
  <c r="BY73" i="3"/>
  <c r="BY74" i="3"/>
  <c r="AN5" i="3"/>
  <c r="AM5" i="3"/>
  <c r="AN4" i="3"/>
  <c r="AM4" i="3"/>
  <c r="BY9" i="3"/>
  <c r="BZ32" i="3" s="1"/>
  <c r="BY32" i="3" s="1"/>
  <c r="BW9" i="3"/>
  <c r="BX32" i="3" s="1"/>
  <c r="BY10" i="3"/>
  <c r="BW10" i="3"/>
  <c r="BQ9" i="3"/>
  <c r="BQ10" i="3"/>
  <c r="Q14" i="3"/>
  <c r="Q16" i="3" s="1"/>
  <c r="BV78" i="3"/>
  <c r="BQ79" i="3"/>
  <c r="BV80" i="3"/>
  <c r="BV79" i="3"/>
  <c r="BV75" i="3"/>
  <c r="BV76" i="3"/>
  <c r="BV77" i="3"/>
  <c r="BV74" i="3"/>
  <c r="BV73" i="3"/>
  <c r="BV72" i="3"/>
  <c r="BV10" i="3"/>
  <c r="BV11" i="3"/>
  <c r="BV36" i="3"/>
  <c r="BV35" i="3"/>
  <c r="BV34" i="3"/>
  <c r="BV33" i="3"/>
  <c r="BV32" i="3"/>
  <c r="BV31" i="3"/>
  <c r="BV25" i="3"/>
  <c r="BV24" i="3"/>
  <c r="BV23" i="3"/>
  <c r="BV22" i="3"/>
  <c r="BV21" i="3"/>
  <c r="BV20" i="3"/>
  <c r="BV19" i="3"/>
  <c r="BV18" i="3"/>
  <c r="BV17" i="3"/>
  <c r="BV16" i="3"/>
  <c r="BT3" i="3"/>
  <c r="BU3" i="3"/>
  <c r="BV3" i="3"/>
  <c r="BV6" i="3"/>
  <c r="BV7" i="3"/>
  <c r="BV8" i="3"/>
  <c r="BV9" i="3"/>
  <c r="BV59" i="3"/>
  <c r="BV55" i="3"/>
  <c r="BV57" i="3"/>
  <c r="BV54" i="3"/>
  <c r="BV52" i="3"/>
  <c r="BV53" i="3"/>
  <c r="BV50" i="3"/>
  <c r="BV48" i="3"/>
  <c r="BV47" i="3"/>
  <c r="BV46" i="3"/>
  <c r="BV44" i="3"/>
  <c r="BV39" i="3"/>
  <c r="BV41" i="3"/>
  <c r="BV42" i="3"/>
  <c r="BV43" i="3"/>
  <c r="BQ35" i="3"/>
  <c r="BZ35" i="3"/>
  <c r="BX35" i="3"/>
  <c r="CS26" i="3"/>
  <c r="CR26" i="3"/>
  <c r="CQ26" i="3"/>
  <c r="CP26" i="3"/>
  <c r="CO26" i="3"/>
  <c r="CP27" i="3"/>
  <c r="CQ27" i="3"/>
  <c r="CR27" i="3"/>
  <c r="CS27" i="3"/>
  <c r="CO27" i="3"/>
  <c r="CY45" i="3"/>
  <c r="CY38" i="3"/>
  <c r="CY31" i="3"/>
  <c r="CY24" i="3"/>
  <c r="CY17" i="3"/>
  <c r="CS24" i="3"/>
  <c r="CR24" i="3"/>
  <c r="CQ24" i="3"/>
  <c r="CP24" i="3"/>
  <c r="CO24" i="3"/>
  <c r="D72" i="4"/>
  <c r="D71" i="4"/>
  <c r="D70" i="4"/>
  <c r="D69" i="4"/>
  <c r="D68" i="4"/>
  <c r="D67" i="4"/>
  <c r="D66" i="4"/>
  <c r="D65" i="4"/>
  <c r="D64" i="4"/>
  <c r="D63" i="4"/>
  <c r="D62" i="4"/>
  <c r="D61" i="4"/>
  <c r="D60" i="4"/>
  <c r="D59" i="4"/>
  <c r="D58" i="4"/>
  <c r="D57" i="4"/>
  <c r="D56" i="4"/>
  <c r="D55" i="4"/>
  <c r="D54" i="4"/>
  <c r="D53" i="4"/>
  <c r="D52" i="4"/>
  <c r="E52" i="4" s="1"/>
  <c r="D51" i="4"/>
  <c r="D50" i="4"/>
  <c r="D49" i="4"/>
  <c r="D48" i="4"/>
  <c r="D47" i="4"/>
  <c r="D46" i="4"/>
  <c r="D45" i="4"/>
  <c r="D44" i="4"/>
  <c r="D43" i="4"/>
  <c r="D42" i="4"/>
  <c r="E42" i="4" s="1"/>
  <c r="D41" i="4"/>
  <c r="D40" i="4"/>
  <c r="D39" i="4"/>
  <c r="D38" i="4"/>
  <c r="D37" i="4"/>
  <c r="D36" i="4"/>
  <c r="D35" i="4"/>
  <c r="D34" i="4"/>
  <c r="D33" i="4"/>
  <c r="D32" i="4"/>
  <c r="D31" i="4"/>
  <c r="D30" i="4"/>
  <c r="D29" i="4"/>
  <c r="D28" i="4"/>
  <c r="D27" i="4"/>
  <c r="D26" i="4"/>
  <c r="D25" i="4"/>
  <c r="D24" i="4"/>
  <c r="D23" i="4"/>
  <c r="D22" i="4"/>
  <c r="E22" i="4" s="1"/>
  <c r="D21" i="4"/>
  <c r="D20" i="4"/>
  <c r="D19" i="4"/>
  <c r="D18" i="4"/>
  <c r="D17" i="4"/>
  <c r="D16" i="4"/>
  <c r="D15" i="4"/>
  <c r="D14" i="4"/>
  <c r="D13" i="4"/>
  <c r="D12" i="4"/>
  <c r="D11" i="4"/>
  <c r="D10" i="4"/>
  <c r="D9" i="4"/>
  <c r="D8" i="4"/>
  <c r="D7" i="4"/>
  <c r="D6" i="4"/>
  <c r="D5" i="4"/>
  <c r="D4" i="4"/>
  <c r="D3" i="4"/>
  <c r="D2" i="4"/>
  <c r="T43" i="6" l="1"/>
  <c r="Z43" i="6" s="1"/>
  <c r="Y43" i="6"/>
  <c r="AM21" i="3"/>
  <c r="BQ11" i="3"/>
  <c r="BQ72" i="3" s="1"/>
  <c r="BQ78" i="3" s="1"/>
  <c r="BW32" i="3"/>
  <c r="BW31" i="3" s="1"/>
  <c r="BX31" i="3"/>
  <c r="Q17" i="3"/>
  <c r="Y34" i="6"/>
  <c r="AA34" i="6"/>
  <c r="Y35" i="6"/>
  <c r="AA35" i="6"/>
  <c r="AA43" i="6"/>
  <c r="AA33" i="6"/>
  <c r="Y33" i="6"/>
  <c r="W35" i="6"/>
  <c r="X35" i="6" s="1"/>
  <c r="W51" i="6"/>
  <c r="X51" i="6" s="1"/>
  <c r="W59" i="6"/>
  <c r="X59" i="6" s="1"/>
  <c r="W38" i="6"/>
  <c r="X38" i="6" s="1"/>
  <c r="W46" i="6"/>
  <c r="X46" i="6" s="1"/>
  <c r="W54" i="6"/>
  <c r="X54" i="6" s="1"/>
  <c r="W62" i="6"/>
  <c r="X62" i="6" s="1"/>
  <c r="W70" i="6"/>
  <c r="X70" i="6" s="1"/>
  <c r="W67" i="6"/>
  <c r="X67" i="6" s="1"/>
  <c r="W33" i="6"/>
  <c r="X33" i="6" s="1"/>
  <c r="W41" i="6"/>
  <c r="X41" i="6" s="1"/>
  <c r="W49" i="6"/>
  <c r="X49" i="6" s="1"/>
  <c r="W57" i="6"/>
  <c r="X57" i="6" s="1"/>
  <c r="W65" i="6"/>
  <c r="X65" i="6" s="1"/>
  <c r="W73" i="6"/>
  <c r="X73" i="6" s="1"/>
  <c r="W36" i="6"/>
  <c r="X36" i="6" s="1"/>
  <c r="W44" i="6"/>
  <c r="X44" i="6" s="1"/>
  <c r="W52" i="6"/>
  <c r="X52" i="6" s="1"/>
  <c r="W60" i="6"/>
  <c r="X60" i="6" s="1"/>
  <c r="W68" i="6"/>
  <c r="X68" i="6" s="1"/>
  <c r="W43" i="6"/>
  <c r="X43" i="6" s="1"/>
  <c r="W39" i="6"/>
  <c r="X39" i="6" s="1"/>
  <c r="W47" i="6"/>
  <c r="X47" i="6" s="1"/>
  <c r="W55" i="6"/>
  <c r="X55" i="6" s="1"/>
  <c r="W63" i="6"/>
  <c r="X63" i="6" s="1"/>
  <c r="W71" i="6"/>
  <c r="X71" i="6" s="1"/>
  <c r="W34" i="6"/>
  <c r="X34" i="6" s="1"/>
  <c r="W42" i="6"/>
  <c r="X42" i="6" s="1"/>
  <c r="W50" i="6"/>
  <c r="X50" i="6" s="1"/>
  <c r="W58" i="6"/>
  <c r="X58" i="6" s="1"/>
  <c r="W66" i="6"/>
  <c r="X66" i="6" s="1"/>
  <c r="W37" i="6"/>
  <c r="X37" i="6" s="1"/>
  <c r="W45" i="6"/>
  <c r="X45" i="6" s="1"/>
  <c r="W53" i="6"/>
  <c r="X53" i="6" s="1"/>
  <c r="W61" i="6"/>
  <c r="X61" i="6" s="1"/>
  <c r="W69" i="6"/>
  <c r="X69" i="6" s="1"/>
  <c r="W40" i="6"/>
  <c r="X40" i="6" s="1"/>
  <c r="W48" i="6"/>
  <c r="X48" i="6" s="1"/>
  <c r="W56" i="6"/>
  <c r="X56" i="6" s="1"/>
  <c r="W64" i="6"/>
  <c r="X64" i="6" s="1"/>
  <c r="W72" i="6"/>
  <c r="X72" i="6" s="1"/>
  <c r="U75" i="6"/>
  <c r="S44" i="6" s="1"/>
  <c r="L4" i="6"/>
  <c r="BW79" i="3"/>
  <c r="BY79" i="3"/>
  <c r="BW11" i="3"/>
  <c r="BW72" i="3" s="1"/>
  <c r="BW80" i="3" s="1"/>
  <c r="BQ32" i="3"/>
  <c r="BQ31" i="3" s="1"/>
  <c r="BY11" i="3"/>
  <c r="BY72" i="3" s="1"/>
  <c r="BY80" i="3" s="1"/>
  <c r="CU26" i="3" a="1"/>
  <c r="CV26" i="3" s="1"/>
  <c r="CS22" i="3"/>
  <c r="CO22" i="3"/>
  <c r="CR22" i="3"/>
  <c r="CP22" i="3"/>
  <c r="CQ22" i="3"/>
  <c r="BW78" i="3" l="1"/>
  <c r="BQ80" i="3"/>
  <c r="S68" i="6"/>
  <c r="S42" i="6"/>
  <c r="S43" i="6"/>
  <c r="S46" i="6"/>
  <c r="S49" i="6"/>
  <c r="S40" i="6"/>
  <c r="S62" i="6"/>
  <c r="S51" i="6"/>
  <c r="S66" i="6"/>
  <c r="S57" i="6"/>
  <c r="S72" i="6"/>
  <c r="S54" i="6"/>
  <c r="S47" i="6"/>
  <c r="S58" i="6"/>
  <c r="S53" i="6"/>
  <c r="S64" i="6"/>
  <c r="S71" i="6"/>
  <c r="S39" i="6"/>
  <c r="S34" i="6"/>
  <c r="S45" i="6"/>
  <c r="S60" i="6"/>
  <c r="S67" i="6"/>
  <c r="S35" i="6"/>
  <c r="S73" i="6"/>
  <c r="S41" i="6"/>
  <c r="S56" i="6"/>
  <c r="S63" i="6"/>
  <c r="S38" i="6"/>
  <c r="S69" i="6"/>
  <c r="S37" i="6"/>
  <c r="S52" i="6"/>
  <c r="S59" i="6"/>
  <c r="S36" i="6"/>
  <c r="S65" i="6"/>
  <c r="S33" i="6"/>
  <c r="S48" i="6"/>
  <c r="S70" i="6"/>
  <c r="S55" i="6"/>
  <c r="S50" i="6"/>
  <c r="S61" i="6"/>
  <c r="AF33" i="6"/>
  <c r="X75" i="6"/>
  <c r="AF43" i="6"/>
  <c r="BZ31" i="3"/>
  <c r="BY31" i="3"/>
  <c r="BY78" i="3"/>
  <c r="CU26" i="3"/>
  <c r="BQ33" i="3" s="1"/>
  <c r="BQ39" i="3" s="1"/>
  <c r="AF34" i="6" l="1"/>
  <c r="AF35" i="6"/>
  <c r="BR57" i="3"/>
  <c r="BQ50" i="3"/>
  <c r="BR50" i="3"/>
  <c r="BQ57" i="3"/>
  <c r="BR59" i="3" l="1"/>
  <c r="BQ59" i="3"/>
  <c r="BZ18" i="3" l="1"/>
  <c r="BY18" i="3"/>
  <c r="BZ16" i="3"/>
  <c r="BY16" i="3"/>
  <c r="BZ25" i="3"/>
  <c r="BY25" i="3"/>
  <c r="BX25" i="3"/>
  <c r="BW25" i="3"/>
  <c r="BW18" i="3"/>
  <c r="BW16" i="3"/>
  <c r="BZ7" i="3"/>
  <c r="BY34" i="3" s="1"/>
  <c r="BY7" i="3"/>
  <c r="BX18" i="3"/>
  <c r="BX16" i="3"/>
  <c r="BX7" i="3"/>
  <c r="BW34" i="3" s="1"/>
  <c r="BW7" i="3"/>
  <c r="BQ8" i="3"/>
  <c r="BQ13" i="3" s="1"/>
  <c r="BQ22" i="3"/>
  <c r="BQ18" i="3"/>
  <c r="BQ16" i="3"/>
  <c r="BR7" i="3"/>
  <c r="BQ7" i="3"/>
  <c r="BQ25" i="3" s="1"/>
  <c r="BZ34" i="3" l="1"/>
  <c r="BZ33" i="3" s="1"/>
  <c r="BZ37" i="3" s="1"/>
  <c r="BY33" i="3"/>
  <c r="BY37" i="3" s="1"/>
  <c r="BX34" i="3"/>
  <c r="BX33" i="3" s="1"/>
  <c r="BX37" i="3" s="1"/>
  <c r="BW33" i="3"/>
  <c r="BW37" i="3" s="1"/>
  <c r="BY8" i="3"/>
  <c r="BY13" i="3" s="1"/>
  <c r="BX23" i="3"/>
  <c r="BX22" i="3" s="1"/>
  <c r="BW23" i="3"/>
  <c r="BW22" i="3" s="1"/>
  <c r="BY23" i="3"/>
  <c r="BY22" i="3" s="1"/>
  <c r="BZ23" i="3"/>
  <c r="BZ22" i="3" s="1"/>
  <c r="BY20" i="3"/>
  <c r="BZ20" i="3"/>
  <c r="BW20" i="3"/>
  <c r="BW8" i="3"/>
  <c r="BW13" i="3" s="1"/>
  <c r="BX20" i="3"/>
  <c r="BQ20" i="3"/>
  <c r="BQ28" i="3" s="1"/>
  <c r="BR66" i="3" s="1"/>
  <c r="BY39" i="3" l="1"/>
  <c r="BY50" i="3" s="1"/>
  <c r="BW39" i="3"/>
  <c r="BW50" i="3" s="1"/>
  <c r="BY26" i="3"/>
  <c r="BX26" i="3"/>
  <c r="CA8" i="3"/>
  <c r="BQ66" i="3"/>
  <c r="BQ68" i="3" s="1"/>
  <c r="BQ86" i="3" s="1"/>
  <c r="BW86" i="3" s="1"/>
  <c r="BW26" i="3"/>
  <c r="BZ26" i="3"/>
  <c r="BY57" i="3" l="1"/>
  <c r="BY59" i="3" s="1"/>
  <c r="BW28" i="3"/>
  <c r="BY28" i="3"/>
  <c r="BW57" i="3"/>
  <c r="BW59" i="3" s="1"/>
  <c r="BQ69" i="3"/>
  <c r="BQ70" i="3" s="1"/>
  <c r="BQ84" i="3"/>
  <c r="BQ85" i="3" s="1"/>
  <c r="BY66" i="3" l="1"/>
  <c r="BY83" i="3" s="1"/>
  <c r="BW66" i="3"/>
  <c r="BW83" i="3" s="1"/>
  <c r="BW84" i="3" l="1"/>
  <c r="BW85" i="3" s="1"/>
  <c r="BW68" i="3"/>
  <c r="BW69" i="3" s="1"/>
  <c r="BW70" i="3" s="1"/>
  <c r="BH5" i="3"/>
  <c r="BH9" i="3"/>
  <c r="BH10" i="3" s="1"/>
  <c r="BH11" i="3" s="1"/>
  <c r="BA30" i="3"/>
  <c r="AY51" i="3"/>
  <c r="AX7" i="3"/>
  <c r="AX36" i="3" s="1"/>
  <c r="AX35" i="3" s="1"/>
  <c r="AX6" i="3"/>
  <c r="AX5" i="3"/>
  <c r="AX4" i="3"/>
  <c r="AX23" i="3" s="1"/>
  <c r="AV34" i="3"/>
  <c r="AV35" i="3"/>
  <c r="AV36" i="3"/>
  <c r="AV37" i="3"/>
  <c r="AV38" i="3"/>
  <c r="AV39" i="3"/>
  <c r="AV40" i="3"/>
  <c r="AV41" i="3"/>
  <c r="AV42" i="3"/>
  <c r="AV43" i="3"/>
  <c r="AV44" i="3"/>
  <c r="AV45" i="3"/>
  <c r="AV46" i="3"/>
  <c r="AV47" i="3"/>
  <c r="AV48" i="3"/>
  <c r="AV49" i="3"/>
  <c r="AV50" i="3"/>
  <c r="AV51" i="3"/>
  <c r="AV52" i="3"/>
  <c r="AV53" i="3"/>
  <c r="AV54" i="3"/>
  <c r="AV55" i="3"/>
  <c r="AV56" i="3"/>
  <c r="AY17" i="3"/>
  <c r="AY16" i="3"/>
  <c r="AX13" i="3"/>
  <c r="AX12" i="3"/>
  <c r="AX11" i="3"/>
  <c r="AX10" i="3"/>
  <c r="N33" i="3"/>
  <c r="N34" i="3"/>
  <c r="N35" i="3"/>
  <c r="N36" i="3"/>
  <c r="N37" i="3"/>
  <c r="N38" i="3"/>
  <c r="N39" i="3"/>
  <c r="N40" i="3"/>
  <c r="N41" i="3"/>
  <c r="N42" i="3"/>
  <c r="N43" i="3"/>
  <c r="N44" i="3"/>
  <c r="N45" i="3"/>
  <c r="N46" i="3"/>
  <c r="N47" i="3"/>
  <c r="N48" i="3"/>
  <c r="N49" i="3"/>
  <c r="N50" i="3"/>
  <c r="N51" i="3"/>
  <c r="N52" i="3"/>
  <c r="N53" i="3"/>
  <c r="N54" i="3"/>
  <c r="N55" i="3"/>
  <c r="N56" i="3"/>
  <c r="AJ34" i="3"/>
  <c r="AJ35" i="3"/>
  <c r="AK35" i="3" s="1"/>
  <c r="AJ36" i="3"/>
  <c r="AK36" i="3" s="1"/>
  <c r="AJ37" i="3"/>
  <c r="AK37" i="3" s="1"/>
  <c r="AJ38" i="3"/>
  <c r="AK38" i="3" s="1"/>
  <c r="AJ39" i="3"/>
  <c r="AJ40" i="3"/>
  <c r="AJ41" i="3"/>
  <c r="AK41" i="3" s="1"/>
  <c r="AJ42" i="3"/>
  <c r="AJ43" i="3"/>
  <c r="AJ44" i="3"/>
  <c r="AK44" i="3" s="1"/>
  <c r="AJ45" i="3"/>
  <c r="AK45" i="3" s="1"/>
  <c r="AJ46" i="3"/>
  <c r="AJ47" i="3"/>
  <c r="AK47" i="3" s="1"/>
  <c r="AJ48" i="3"/>
  <c r="AJ49" i="3"/>
  <c r="AK49" i="3" s="1"/>
  <c r="AJ50" i="3"/>
  <c r="AJ51" i="3"/>
  <c r="AJ52" i="3"/>
  <c r="AK52" i="3" s="1"/>
  <c r="AJ53" i="3"/>
  <c r="AO53" i="3" s="1"/>
  <c r="AJ54" i="3"/>
  <c r="AJ55" i="3"/>
  <c r="AK55" i="3" s="1"/>
  <c r="AJ56" i="3"/>
  <c r="Q21" i="3"/>
  <c r="AJ33" i="3"/>
  <c r="Q10" i="3"/>
  <c r="AB10" i="3"/>
  <c r="AM10" i="3"/>
  <c r="AN17" i="3"/>
  <c r="AN16" i="3"/>
  <c r="AM11" i="3"/>
  <c r="Y34" i="3"/>
  <c r="AC34" i="3" s="1"/>
  <c r="Y35" i="3"/>
  <c r="AC35" i="3" s="1"/>
  <c r="Y36" i="3"/>
  <c r="AC36" i="3" s="1"/>
  <c r="Y37" i="3"/>
  <c r="AC37" i="3" s="1"/>
  <c r="Y38" i="3"/>
  <c r="AC38" i="3" s="1"/>
  <c r="Y39" i="3"/>
  <c r="AC39" i="3" s="1"/>
  <c r="Y40" i="3"/>
  <c r="Y41" i="3"/>
  <c r="AC41" i="3" s="1"/>
  <c r="Y42" i="3"/>
  <c r="AC42" i="3" s="1"/>
  <c r="Y43" i="3"/>
  <c r="AC43" i="3" s="1"/>
  <c r="Y44" i="3"/>
  <c r="AC44" i="3" s="1"/>
  <c r="Y45" i="3"/>
  <c r="AC45" i="3" s="1"/>
  <c r="Y46" i="3"/>
  <c r="AC46" i="3" s="1"/>
  <c r="Y47" i="3"/>
  <c r="AC47" i="3" s="1"/>
  <c r="Y48" i="3"/>
  <c r="AC48" i="3" s="1"/>
  <c r="Y49" i="3"/>
  <c r="AC49" i="3" s="1"/>
  <c r="Y50" i="3"/>
  <c r="AC50" i="3" s="1"/>
  <c r="Y51" i="3"/>
  <c r="AC51" i="3" s="1"/>
  <c r="Y52" i="3"/>
  <c r="AC52" i="3" s="1"/>
  <c r="Y53" i="3"/>
  <c r="AC53" i="3" s="1"/>
  <c r="Y54" i="3"/>
  <c r="AC54" i="3" s="1"/>
  <c r="Y55" i="3"/>
  <c r="AC55" i="3" s="1"/>
  <c r="Y56" i="3"/>
  <c r="AC56" i="3" s="1"/>
  <c r="Y33" i="3"/>
  <c r="AC17" i="3"/>
  <c r="AC16" i="3"/>
  <c r="AB11" i="3"/>
  <c r="O40" i="3"/>
  <c r="P40" i="3" s="1"/>
  <c r="O41" i="3"/>
  <c r="P41" i="3" s="1"/>
  <c r="O42" i="3"/>
  <c r="P42" i="3" s="1"/>
  <c r="O43" i="3"/>
  <c r="P43" i="3" s="1"/>
  <c r="O44" i="3"/>
  <c r="P44" i="3" s="1"/>
  <c r="O45" i="3"/>
  <c r="P45" i="3" s="1"/>
  <c r="O46" i="3"/>
  <c r="P46" i="3" s="1"/>
  <c r="O47" i="3"/>
  <c r="P47" i="3" s="1"/>
  <c r="O48" i="3"/>
  <c r="P48" i="3" s="1"/>
  <c r="O49" i="3"/>
  <c r="P49" i="3" s="1"/>
  <c r="O50" i="3"/>
  <c r="P50" i="3" s="1"/>
  <c r="O51" i="3"/>
  <c r="P51" i="3" s="1"/>
  <c r="O52" i="3"/>
  <c r="P52" i="3" s="1"/>
  <c r="O53" i="3"/>
  <c r="P53" i="3" s="1"/>
  <c r="O54" i="3"/>
  <c r="P54" i="3" s="1"/>
  <c r="O55" i="3"/>
  <c r="P55" i="3" s="1"/>
  <c r="O56" i="3"/>
  <c r="P56" i="3" s="1"/>
  <c r="O39" i="3"/>
  <c r="P39" i="3" s="1"/>
  <c r="D39" i="3"/>
  <c r="R17" i="3"/>
  <c r="R16" i="3"/>
  <c r="Q40" i="3"/>
  <c r="R40" i="3" s="1"/>
  <c r="Q11" i="3"/>
  <c r="B57" i="3"/>
  <c r="F11" i="3"/>
  <c r="D56" i="3"/>
  <c r="E56" i="3" s="1"/>
  <c r="D49" i="3"/>
  <c r="C32" i="3"/>
  <c r="N32" i="3" s="1"/>
  <c r="C31" i="3"/>
  <c r="N31" i="3" s="1"/>
  <c r="G17" i="3"/>
  <c r="G16" i="3"/>
  <c r="AK39" i="3" l="1"/>
  <c r="AL39" i="3" s="1"/>
  <c r="AM39" i="3" s="1"/>
  <c r="AN39" i="3"/>
  <c r="AD33" i="3"/>
  <c r="AC33" i="3"/>
  <c r="AD40" i="3"/>
  <c r="AC40" i="3"/>
  <c r="AK33" i="3"/>
  <c r="AL33" i="3" s="1"/>
  <c r="AM33" i="3" s="1"/>
  <c r="AO33" i="3"/>
  <c r="AO54" i="3"/>
  <c r="AO46" i="3"/>
  <c r="AY5" i="3"/>
  <c r="AY46" i="3" s="1"/>
  <c r="BH6" i="3"/>
  <c r="BH7" i="3" s="1"/>
  <c r="AY7" i="3"/>
  <c r="AY36" i="3" s="1"/>
  <c r="AY33" i="3" s="1"/>
  <c r="AY6" i="3"/>
  <c r="AY41" i="3" s="1"/>
  <c r="AO50" i="3"/>
  <c r="AO42" i="3"/>
  <c r="AO56" i="3"/>
  <c r="AO48" i="3"/>
  <c r="AO51" i="3"/>
  <c r="AO43" i="3"/>
  <c r="AO45" i="3"/>
  <c r="AX34" i="3"/>
  <c r="AO40" i="3"/>
  <c r="AO52" i="3"/>
  <c r="AO44" i="3"/>
  <c r="AO36" i="3"/>
  <c r="AO35" i="3"/>
  <c r="AO37" i="3"/>
  <c r="AO34" i="3"/>
  <c r="AO49" i="3"/>
  <c r="AO41" i="3"/>
  <c r="AX20" i="3"/>
  <c r="AO55" i="3"/>
  <c r="AO47" i="3"/>
  <c r="AO39" i="3"/>
  <c r="AO38" i="3"/>
  <c r="AL37" i="3"/>
  <c r="AM37" i="3" s="1"/>
  <c r="AL52" i="3"/>
  <c r="AM52" i="3" s="1"/>
  <c r="AL44" i="3"/>
  <c r="AM44" i="3" s="1"/>
  <c r="AL36" i="3"/>
  <c r="AM36" i="3" s="1"/>
  <c r="AN51" i="3"/>
  <c r="AN43" i="3"/>
  <c r="AL35" i="3"/>
  <c r="AM35" i="3" s="1"/>
  <c r="AN53" i="3"/>
  <c r="AN50" i="3"/>
  <c r="AN42" i="3"/>
  <c r="AN34" i="3"/>
  <c r="AL49" i="3"/>
  <c r="AM49" i="3" s="1"/>
  <c r="AL41" i="3"/>
  <c r="AM41" i="3" s="1"/>
  <c r="AL45" i="3"/>
  <c r="AM45" i="3" s="1"/>
  <c r="AL55" i="3"/>
  <c r="AM55" i="3" s="1"/>
  <c r="AL47" i="3"/>
  <c r="AM47" i="3" s="1"/>
  <c r="AN54" i="3"/>
  <c r="AN46" i="3"/>
  <c r="AL38" i="3"/>
  <c r="AM38" i="3" s="1"/>
  <c r="AW55" i="3"/>
  <c r="AX37" i="3"/>
  <c r="AW53" i="3"/>
  <c r="AW45" i="3"/>
  <c r="AW51" i="3"/>
  <c r="AX56" i="3"/>
  <c r="AW43" i="3"/>
  <c r="AW35" i="3"/>
  <c r="AZ35" i="3" s="1"/>
  <c r="AW41" i="3"/>
  <c r="AW56" i="3"/>
  <c r="AX51" i="3"/>
  <c r="AW54" i="3"/>
  <c r="AW46" i="3"/>
  <c r="AY54" i="3"/>
  <c r="AY53" i="3"/>
  <c r="AW52" i="3"/>
  <c r="AW44" i="3"/>
  <c r="AW36" i="3"/>
  <c r="AZ36" i="3" s="1"/>
  <c r="AW50" i="3"/>
  <c r="AW42" i="3"/>
  <c r="AW34" i="3"/>
  <c r="AX44" i="3"/>
  <c r="AX33" i="3"/>
  <c r="AX54" i="3"/>
  <c r="AX43" i="3"/>
  <c r="AX40" i="3"/>
  <c r="AX50" i="3"/>
  <c r="AX39" i="3"/>
  <c r="AX49" i="3"/>
  <c r="AX55" i="3"/>
  <c r="AX38" i="3"/>
  <c r="AX48" i="3"/>
  <c r="AX41" i="3"/>
  <c r="AX42" i="3"/>
  <c r="AX52" i="3"/>
  <c r="AX46" i="3"/>
  <c r="AX45" i="3"/>
  <c r="AX53" i="3"/>
  <c r="AX47" i="3"/>
  <c r="AW33" i="3"/>
  <c r="AW49" i="3"/>
  <c r="AW47" i="3"/>
  <c r="AW39" i="3"/>
  <c r="AW48" i="3"/>
  <c r="AW40" i="3"/>
  <c r="AW38" i="3"/>
  <c r="AW37" i="3"/>
  <c r="AY52" i="3"/>
  <c r="AY56" i="3"/>
  <c r="AY55" i="3"/>
  <c r="AN37" i="3"/>
  <c r="AN47" i="3"/>
  <c r="AK43" i="3"/>
  <c r="AL43" i="3" s="1"/>
  <c r="AM43" i="3" s="1"/>
  <c r="AK46" i="3"/>
  <c r="AL46" i="3" s="1"/>
  <c r="AM46" i="3" s="1"/>
  <c r="AK54" i="3"/>
  <c r="AL54" i="3" s="1"/>
  <c r="AM54" i="3" s="1"/>
  <c r="AK53" i="3"/>
  <c r="AL53" i="3" s="1"/>
  <c r="AM53" i="3" s="1"/>
  <c r="AK56" i="3"/>
  <c r="AL56" i="3" s="1"/>
  <c r="AM56" i="3" s="1"/>
  <c r="AK51" i="3"/>
  <c r="AL51" i="3" s="1"/>
  <c r="AM51" i="3" s="1"/>
  <c r="AK50" i="3"/>
  <c r="AL50" i="3" s="1"/>
  <c r="AM50" i="3" s="1"/>
  <c r="AN56" i="3"/>
  <c r="AN48" i="3"/>
  <c r="AN45" i="3"/>
  <c r="AN55" i="3"/>
  <c r="AK48" i="3"/>
  <c r="AL48" i="3" s="1"/>
  <c r="AM48" i="3" s="1"/>
  <c r="AK42" i="3"/>
  <c r="AL42" i="3" s="1"/>
  <c r="AM42" i="3" s="1"/>
  <c r="AN33" i="3"/>
  <c r="AN38" i="3"/>
  <c r="AN40" i="3"/>
  <c r="AK40" i="3"/>
  <c r="AL40" i="3" s="1"/>
  <c r="AM40" i="3" s="1"/>
  <c r="AK34" i="3"/>
  <c r="AL34" i="3" s="1"/>
  <c r="AM34" i="3" s="1"/>
  <c r="AN52" i="3"/>
  <c r="AN44" i="3"/>
  <c r="AN36" i="3"/>
  <c r="AN35" i="3"/>
  <c r="AN49" i="3"/>
  <c r="AN41" i="3"/>
  <c r="Z38" i="3"/>
  <c r="AA38" i="3" s="1"/>
  <c r="AB38" i="3" s="1"/>
  <c r="Z40" i="3"/>
  <c r="Z46" i="3"/>
  <c r="AA46" i="3" s="1"/>
  <c r="AB46" i="3" s="1"/>
  <c r="Z48" i="3"/>
  <c r="Z54" i="3"/>
  <c r="AA54" i="3" s="1"/>
  <c r="AB54" i="3" s="1"/>
  <c r="Z56" i="3"/>
  <c r="Z39" i="3"/>
  <c r="Z47" i="3"/>
  <c r="Z55" i="3"/>
  <c r="Z33" i="3"/>
  <c r="AA33" i="3" s="1"/>
  <c r="AB33" i="3" s="1"/>
  <c r="Z41" i="3"/>
  <c r="Z49" i="3"/>
  <c r="Z34" i="3"/>
  <c r="AA34" i="3" s="1"/>
  <c r="AB34" i="3" s="1"/>
  <c r="Z42" i="3"/>
  <c r="Z50" i="3"/>
  <c r="AA50" i="3" s="1"/>
  <c r="AB50" i="3" s="1"/>
  <c r="Z35" i="3"/>
  <c r="AA35" i="3" s="1"/>
  <c r="AB35" i="3" s="1"/>
  <c r="Z43" i="3"/>
  <c r="Z51" i="3"/>
  <c r="AA51" i="3" s="1"/>
  <c r="AB51" i="3" s="1"/>
  <c r="Z36" i="3"/>
  <c r="Z44" i="3"/>
  <c r="AA44" i="3" s="1"/>
  <c r="AB44" i="3" s="1"/>
  <c r="Z52" i="3"/>
  <c r="Z37" i="3"/>
  <c r="AA37" i="3" s="1"/>
  <c r="AB37" i="3" s="1"/>
  <c r="Z45" i="3"/>
  <c r="AA45" i="3" s="1"/>
  <c r="AB45" i="3" s="1"/>
  <c r="Z53" i="3"/>
  <c r="AA53" i="3" s="1"/>
  <c r="AB53" i="3" s="1"/>
  <c r="AD50" i="3"/>
  <c r="AM20" i="3"/>
  <c r="AD42" i="3"/>
  <c r="F20" i="3"/>
  <c r="Q20" i="3"/>
  <c r="AD34" i="3"/>
  <c r="AD49" i="3"/>
  <c r="AD51" i="3"/>
  <c r="AD43" i="3"/>
  <c r="AD41" i="3"/>
  <c r="AD35" i="3"/>
  <c r="AB20" i="3"/>
  <c r="AD56" i="3"/>
  <c r="AD48" i="3"/>
  <c r="AD55" i="3"/>
  <c r="AD47" i="3"/>
  <c r="AD39" i="3"/>
  <c r="AD54" i="3"/>
  <c r="AD46" i="3"/>
  <c r="AD38" i="3"/>
  <c r="AD53" i="3"/>
  <c r="AD45" i="3"/>
  <c r="AD37" i="3"/>
  <c r="AD52" i="3"/>
  <c r="AD44" i="3"/>
  <c r="AD36" i="3"/>
  <c r="Q18" i="3"/>
  <c r="F17" i="3"/>
  <c r="F16" i="3"/>
  <c r="F18" i="3" s="1"/>
  <c r="Q53" i="3"/>
  <c r="R53" i="3" s="1"/>
  <c r="T53" i="3" s="1"/>
  <c r="Q45" i="3"/>
  <c r="R45" i="3" s="1"/>
  <c r="Q52" i="3"/>
  <c r="R52" i="3" s="1"/>
  <c r="Q51" i="3"/>
  <c r="R51" i="3" s="1"/>
  <c r="Q43" i="3"/>
  <c r="R43" i="3" s="1"/>
  <c r="Q44" i="3"/>
  <c r="R44" i="3" s="1"/>
  <c r="Q50" i="3"/>
  <c r="R50" i="3" s="1"/>
  <c r="Q42" i="3"/>
  <c r="R42" i="3" s="1"/>
  <c r="Q39" i="3"/>
  <c r="Q49" i="3"/>
  <c r="R49" i="3" s="1"/>
  <c r="Q41" i="3"/>
  <c r="R41" i="3" s="1"/>
  <c r="Q56" i="3"/>
  <c r="R56" i="3" s="1"/>
  <c r="T56" i="3" s="1"/>
  <c r="Q48" i="3"/>
  <c r="R48" i="3" s="1"/>
  <c r="Q55" i="3"/>
  <c r="R55" i="3" s="1"/>
  <c r="T55" i="3" s="1"/>
  <c r="Q47" i="3"/>
  <c r="R47" i="3" s="1"/>
  <c r="Q54" i="3"/>
  <c r="R54" i="3" s="1"/>
  <c r="T54" i="3" s="1"/>
  <c r="Q46" i="3"/>
  <c r="R46" i="3" s="1"/>
  <c r="F41" i="3"/>
  <c r="G41" i="3" s="1"/>
  <c r="F43" i="3"/>
  <c r="G43" i="3" s="1"/>
  <c r="F51" i="3"/>
  <c r="G51" i="3" s="1"/>
  <c r="F49" i="3"/>
  <c r="G49" i="3" s="1"/>
  <c r="F42" i="3"/>
  <c r="G42" i="3" s="1"/>
  <c r="F50" i="3"/>
  <c r="G50" i="3" s="1"/>
  <c r="F44" i="3"/>
  <c r="G44" i="3" s="1"/>
  <c r="F52" i="3"/>
  <c r="G52" i="3" s="1"/>
  <c r="F45" i="3"/>
  <c r="G45" i="3" s="1"/>
  <c r="F53" i="3"/>
  <c r="G53" i="3" s="1"/>
  <c r="I53" i="3" s="1"/>
  <c r="F46" i="3"/>
  <c r="G46" i="3" s="1"/>
  <c r="F54" i="3"/>
  <c r="G54" i="3" s="1"/>
  <c r="I54" i="3" s="1"/>
  <c r="F39" i="3"/>
  <c r="G39" i="3" s="1"/>
  <c r="F47" i="3"/>
  <c r="G47" i="3" s="1"/>
  <c r="F55" i="3"/>
  <c r="G55" i="3" s="1"/>
  <c r="I55" i="3" s="1"/>
  <c r="F40" i="3"/>
  <c r="G40" i="3" s="1"/>
  <c r="F48" i="3"/>
  <c r="G48" i="3" s="1"/>
  <c r="F56" i="3"/>
  <c r="G56" i="3" s="1"/>
  <c r="I56" i="3" s="1"/>
  <c r="D55" i="3"/>
  <c r="E55" i="3" s="1"/>
  <c r="D41" i="3"/>
  <c r="E44" i="3"/>
  <c r="D45" i="3"/>
  <c r="D47" i="3"/>
  <c r="E47" i="3" s="1"/>
  <c r="D48" i="3"/>
  <c r="E48" i="3" s="1"/>
  <c r="D51" i="3"/>
  <c r="D54" i="3"/>
  <c r="D52" i="3"/>
  <c r="E52" i="3" s="1"/>
  <c r="E39" i="3"/>
  <c r="D40" i="3"/>
  <c r="D43" i="3"/>
  <c r="E49" i="3"/>
  <c r="D50" i="3"/>
  <c r="D42" i="3"/>
  <c r="D46" i="3"/>
  <c r="D53" i="3"/>
  <c r="J39" i="3" l="1"/>
  <c r="F19" i="3"/>
  <c r="H44" i="3"/>
  <c r="I44" i="3" s="1"/>
  <c r="AY48" i="3"/>
  <c r="AY49" i="3"/>
  <c r="AY50" i="3"/>
  <c r="U40" i="3"/>
  <c r="S44" i="3"/>
  <c r="Q19" i="3"/>
  <c r="S54" i="3" s="1"/>
  <c r="S43" i="3"/>
  <c r="S42" i="3"/>
  <c r="S41" i="3"/>
  <c r="S40" i="3"/>
  <c r="S39" i="3"/>
  <c r="S45" i="3"/>
  <c r="S46" i="3"/>
  <c r="AY47" i="3"/>
  <c r="AY45" i="3"/>
  <c r="AY43" i="3"/>
  <c r="AY44" i="3"/>
  <c r="AY34" i="3"/>
  <c r="AY37" i="3"/>
  <c r="AY35" i="3"/>
  <c r="BA35" i="3" s="1"/>
  <c r="BB35" i="3" s="1"/>
  <c r="AY42" i="3"/>
  <c r="AY38" i="3"/>
  <c r="AY40" i="3"/>
  <c r="AY39" i="3"/>
  <c r="AZ45" i="3"/>
  <c r="AZ34" i="3"/>
  <c r="AP33" i="3"/>
  <c r="AQ33" i="3" s="1"/>
  <c r="BA53" i="3"/>
  <c r="BB53" i="3" s="1"/>
  <c r="BA36" i="3"/>
  <c r="BB36" i="3" s="1"/>
  <c r="AP34" i="3"/>
  <c r="AP46" i="3"/>
  <c r="AQ46" i="3" s="1"/>
  <c r="AR46" i="3" s="1"/>
  <c r="AP50" i="3"/>
  <c r="AQ50" i="3" s="1"/>
  <c r="AR50" i="3" s="1"/>
  <c r="AZ51" i="3"/>
  <c r="BA51" i="3" s="1"/>
  <c r="BA52" i="3"/>
  <c r="BB52" i="3" s="1"/>
  <c r="AZ56" i="3"/>
  <c r="BA56" i="3"/>
  <c r="BB56" i="3" s="1"/>
  <c r="BA54" i="3"/>
  <c r="BB54" i="3" s="1"/>
  <c r="AZ44" i="3"/>
  <c r="AZ55" i="3"/>
  <c r="BA55" i="3"/>
  <c r="BB55" i="3" s="1"/>
  <c r="AP43" i="3"/>
  <c r="AQ43" i="3" s="1"/>
  <c r="AR43" i="3" s="1"/>
  <c r="AP42" i="3"/>
  <c r="AQ42" i="3" s="1"/>
  <c r="AR42" i="3" s="1"/>
  <c r="AP51" i="3"/>
  <c r="AQ51" i="3" s="1"/>
  <c r="AR51" i="3" s="1"/>
  <c r="AP53" i="3"/>
  <c r="AQ53" i="3" s="1"/>
  <c r="AR53" i="3" s="1"/>
  <c r="AP54" i="3"/>
  <c r="AQ54" i="3" s="1"/>
  <c r="AR54" i="3" s="1"/>
  <c r="AZ41" i="3"/>
  <c r="BA41" i="3" s="1"/>
  <c r="AZ54" i="3"/>
  <c r="AZ50" i="3"/>
  <c r="AZ42" i="3"/>
  <c r="AZ46" i="3"/>
  <c r="BA46" i="3" s="1"/>
  <c r="AZ43" i="3"/>
  <c r="AZ53" i="3"/>
  <c r="AZ33" i="3"/>
  <c r="BA33" i="3" s="1"/>
  <c r="AZ52" i="3"/>
  <c r="AZ40" i="3"/>
  <c r="AZ48" i="3"/>
  <c r="AZ47" i="3"/>
  <c r="AZ37" i="3"/>
  <c r="AZ39" i="3"/>
  <c r="AZ38" i="3"/>
  <c r="AZ49" i="3"/>
  <c r="AP47" i="3"/>
  <c r="AQ47" i="3" s="1"/>
  <c r="AR47" i="3" s="1"/>
  <c r="U42" i="3"/>
  <c r="J45" i="3"/>
  <c r="J44" i="3"/>
  <c r="J43" i="3"/>
  <c r="J42" i="3"/>
  <c r="J41" i="3"/>
  <c r="J40" i="3"/>
  <c r="U41" i="3"/>
  <c r="U45" i="3"/>
  <c r="U43" i="3"/>
  <c r="U44" i="3"/>
  <c r="AP41" i="3"/>
  <c r="AQ41" i="3" s="1"/>
  <c r="AR41" i="3" s="1"/>
  <c r="AP37" i="3"/>
  <c r="AQ37" i="3" s="1"/>
  <c r="AR37" i="3" s="1"/>
  <c r="AP39" i="3"/>
  <c r="AQ39" i="3" s="1"/>
  <c r="AR39" i="3" s="1"/>
  <c r="AP56" i="3"/>
  <c r="AQ56" i="3" s="1"/>
  <c r="AR56" i="3" s="1"/>
  <c r="AP45" i="3"/>
  <c r="AQ45" i="3" s="1"/>
  <c r="AR45" i="3" s="1"/>
  <c r="AA41" i="3"/>
  <c r="AB41" i="3" s="1"/>
  <c r="AE41" i="3" s="1"/>
  <c r="AF41" i="3" s="1"/>
  <c r="AG41" i="3" s="1"/>
  <c r="AP48" i="3"/>
  <c r="AQ48" i="3" s="1"/>
  <c r="AR48" i="3" s="1"/>
  <c r="AA43" i="3"/>
  <c r="AB43" i="3" s="1"/>
  <c r="AE43" i="3" s="1"/>
  <c r="AF43" i="3" s="1"/>
  <c r="AG43" i="3" s="1"/>
  <c r="AA55" i="3"/>
  <c r="AB55" i="3" s="1"/>
  <c r="AA39" i="3"/>
  <c r="AB39" i="3" s="1"/>
  <c r="AE39" i="3" s="1"/>
  <c r="AF39" i="3" s="1"/>
  <c r="AG39" i="3" s="1"/>
  <c r="AP35" i="3"/>
  <c r="AQ35" i="3" s="1"/>
  <c r="AR35" i="3" s="1"/>
  <c r="AP55" i="3"/>
  <c r="AQ55" i="3" s="1"/>
  <c r="AR55" i="3" s="1"/>
  <c r="AP40" i="3"/>
  <c r="AQ40" i="3" s="1"/>
  <c r="AR40" i="3" s="1"/>
  <c r="AA47" i="3"/>
  <c r="AB47" i="3" s="1"/>
  <c r="AA40" i="3"/>
  <c r="AB40" i="3" s="1"/>
  <c r="AE40" i="3" s="1"/>
  <c r="AF40" i="3" s="1"/>
  <c r="AG40" i="3" s="1"/>
  <c r="AM23" i="3"/>
  <c r="AA56" i="3"/>
  <c r="AB56" i="3" s="1"/>
  <c r="AP38" i="3"/>
  <c r="AQ38" i="3" s="1"/>
  <c r="AR38" i="3" s="1"/>
  <c r="AP49" i="3"/>
  <c r="AQ49" i="3" s="1"/>
  <c r="AR49" i="3" s="1"/>
  <c r="AP52" i="3"/>
  <c r="AQ52" i="3" s="1"/>
  <c r="AR52" i="3" s="1"/>
  <c r="AP36" i="3"/>
  <c r="AQ36" i="3" s="1"/>
  <c r="AR36" i="3" s="1"/>
  <c r="AP44" i="3"/>
  <c r="AQ44" i="3" s="1"/>
  <c r="AR44" i="3" s="1"/>
  <c r="AA48" i="3"/>
  <c r="AB48" i="3" s="1"/>
  <c r="AA52" i="3"/>
  <c r="AB52" i="3" s="1"/>
  <c r="AA36" i="3"/>
  <c r="AB36" i="3" s="1"/>
  <c r="AE36" i="3" s="1"/>
  <c r="AF36" i="3" s="1"/>
  <c r="AG36" i="3" s="1"/>
  <c r="AA49" i="3"/>
  <c r="AB49" i="3" s="1"/>
  <c r="AA42" i="3"/>
  <c r="AB42" i="3" s="1"/>
  <c r="AE42" i="3" s="1"/>
  <c r="AF42" i="3" s="1"/>
  <c r="AG42" i="3" s="1"/>
  <c r="AB23" i="3"/>
  <c r="AE37" i="3"/>
  <c r="AF37" i="3" s="1"/>
  <c r="AG37" i="3" s="1"/>
  <c r="AE45" i="3"/>
  <c r="AF45" i="3" s="1"/>
  <c r="AG45" i="3" s="1"/>
  <c r="AE34" i="3"/>
  <c r="AF34" i="3" s="1"/>
  <c r="AG34" i="3" s="1"/>
  <c r="AE44" i="3"/>
  <c r="AF44" i="3" s="1"/>
  <c r="AG44" i="3" s="1"/>
  <c r="AE38" i="3"/>
  <c r="AF38" i="3" s="1"/>
  <c r="AG38" i="3" s="1"/>
  <c r="AE35" i="3"/>
  <c r="AF35" i="3" s="1"/>
  <c r="AG35" i="3" s="1"/>
  <c r="AE33" i="3"/>
  <c r="H50" i="3"/>
  <c r="I50" i="3" s="1"/>
  <c r="H39" i="3"/>
  <c r="E41" i="3"/>
  <c r="H41" i="3" s="1"/>
  <c r="I41" i="3" s="1"/>
  <c r="E45" i="3"/>
  <c r="H45" i="3" s="1"/>
  <c r="I45" i="3" s="1"/>
  <c r="E54" i="3"/>
  <c r="E51" i="3"/>
  <c r="E50" i="3"/>
  <c r="E40" i="3"/>
  <c r="H40" i="3" s="1"/>
  <c r="I40" i="3" s="1"/>
  <c r="E53" i="3"/>
  <c r="E43" i="3"/>
  <c r="H43" i="3" s="1"/>
  <c r="I43" i="3" s="1"/>
  <c r="E42" i="3"/>
  <c r="H42" i="3" s="1"/>
  <c r="I42" i="3" s="1"/>
  <c r="E46" i="3"/>
  <c r="H46" i="3" s="1"/>
  <c r="AQ34" i="3" l="1"/>
  <c r="AR34" i="3" s="1"/>
  <c r="BA34" i="3"/>
  <c r="BB34" i="3" s="1"/>
  <c r="BA48" i="3"/>
  <c r="BB48" i="3" s="1"/>
  <c r="BA40" i="3"/>
  <c r="BB40" i="3" s="1"/>
  <c r="BA47" i="3"/>
  <c r="BB47" i="3" s="1"/>
  <c r="BA49" i="3"/>
  <c r="BB49" i="3" s="1"/>
  <c r="S47" i="3"/>
  <c r="S55" i="3"/>
  <c r="S51" i="3"/>
  <c r="T51" i="3" s="1"/>
  <c r="U50" i="3"/>
  <c r="S50" i="3"/>
  <c r="T50" i="3" s="1"/>
  <c r="S49" i="3"/>
  <c r="S48" i="3"/>
  <c r="S53" i="3"/>
  <c r="S56" i="3"/>
  <c r="S52" i="3"/>
  <c r="T52" i="3" s="1"/>
  <c r="BA42" i="3"/>
  <c r="BB42" i="3" s="1"/>
  <c r="BA45" i="3"/>
  <c r="BB45" i="3" s="1"/>
  <c r="BA38" i="3"/>
  <c r="BB38" i="3" s="1"/>
  <c r="BA39" i="3"/>
  <c r="BB39" i="3" s="1"/>
  <c r="BA43" i="3"/>
  <c r="BB43" i="3" s="1"/>
  <c r="BA44" i="3"/>
  <c r="BB44" i="3" s="1"/>
  <c r="BA37" i="3"/>
  <c r="BB37" i="3" s="1"/>
  <c r="BB46" i="3"/>
  <c r="BB41" i="3"/>
  <c r="BB33" i="3"/>
  <c r="BA50" i="3"/>
  <c r="BB50" i="3" s="1"/>
  <c r="BB51" i="3"/>
  <c r="J55" i="3"/>
  <c r="K55" i="3" s="1"/>
  <c r="U52" i="3"/>
  <c r="U55" i="3"/>
  <c r="V55" i="3" s="1"/>
  <c r="K44" i="3"/>
  <c r="U56" i="3"/>
  <c r="V56" i="3" s="1"/>
  <c r="U53" i="3"/>
  <c r="V53" i="3" s="1"/>
  <c r="U47" i="3"/>
  <c r="K41" i="3"/>
  <c r="J52" i="3"/>
  <c r="U51" i="3"/>
  <c r="J49" i="3"/>
  <c r="K45" i="3"/>
  <c r="J47" i="3"/>
  <c r="J53" i="3"/>
  <c r="K53" i="3" s="1"/>
  <c r="K40" i="3"/>
  <c r="K42" i="3"/>
  <c r="J46" i="3"/>
  <c r="U48" i="3"/>
  <c r="J48" i="3"/>
  <c r="J50" i="3"/>
  <c r="K50" i="3" s="1"/>
  <c r="J54" i="3"/>
  <c r="K54" i="3" s="1"/>
  <c r="U46" i="3"/>
  <c r="U49" i="3"/>
  <c r="J56" i="3"/>
  <c r="K56" i="3" s="1"/>
  <c r="K43" i="3"/>
  <c r="U54" i="3"/>
  <c r="V54" i="3" s="1"/>
  <c r="J51" i="3"/>
  <c r="AF33" i="3"/>
  <c r="AG33" i="3" s="1"/>
  <c r="AR33" i="3"/>
  <c r="AE49" i="3"/>
  <c r="AF49" i="3" s="1"/>
  <c r="AG49" i="3" s="1"/>
  <c r="AE48" i="3"/>
  <c r="AF48" i="3" s="1"/>
  <c r="AG48" i="3" s="1"/>
  <c r="AE55" i="3"/>
  <c r="AF55" i="3" s="1"/>
  <c r="AG55" i="3" s="1"/>
  <c r="AE53" i="3"/>
  <c r="AF53" i="3" s="1"/>
  <c r="AG53" i="3" s="1"/>
  <c r="AE46" i="3"/>
  <c r="AF46" i="3" s="1"/>
  <c r="AG46" i="3" s="1"/>
  <c r="AE50" i="3"/>
  <c r="AF50" i="3" s="1"/>
  <c r="AG50" i="3" s="1"/>
  <c r="AE52" i="3"/>
  <c r="AF52" i="3" s="1"/>
  <c r="AG52" i="3" s="1"/>
  <c r="AE47" i="3"/>
  <c r="AF47" i="3" s="1"/>
  <c r="AG47" i="3" s="1"/>
  <c r="AE56" i="3"/>
  <c r="AF56" i="3" s="1"/>
  <c r="AG56" i="3" s="1"/>
  <c r="AE51" i="3"/>
  <c r="AF51" i="3" s="1"/>
  <c r="AG51" i="3" s="1"/>
  <c r="AE54" i="3"/>
  <c r="AF54" i="3" s="1"/>
  <c r="AG54" i="3" s="1"/>
  <c r="T43" i="3"/>
  <c r="V43" i="3" s="1"/>
  <c r="T41" i="3"/>
  <c r="V41" i="3" s="1"/>
  <c r="T45" i="3"/>
  <c r="V45" i="3" s="1"/>
  <c r="T40" i="3"/>
  <c r="V40" i="3" s="1"/>
  <c r="T44" i="3"/>
  <c r="V44" i="3" s="1"/>
  <c r="T42" i="3"/>
  <c r="V42" i="3" s="1"/>
  <c r="I39" i="3"/>
  <c r="K39" i="3" s="1"/>
  <c r="H53" i="3"/>
  <c r="H47" i="3"/>
  <c r="I47" i="3" s="1"/>
  <c r="H55" i="3"/>
  <c r="H49" i="3"/>
  <c r="I49" i="3" s="1"/>
  <c r="H51" i="3"/>
  <c r="I51" i="3" s="1"/>
  <c r="H48" i="3"/>
  <c r="I48" i="3" s="1"/>
  <c r="I46" i="3"/>
  <c r="H56" i="3"/>
  <c r="H54" i="3"/>
  <c r="H52" i="3"/>
  <c r="I52" i="3" s="1"/>
  <c r="V51" i="3" l="1"/>
  <c r="W51" i="3" s="1"/>
  <c r="V50" i="3"/>
  <c r="W50" i="3" s="1"/>
  <c r="V52" i="3"/>
  <c r="W52" i="3" s="1"/>
  <c r="K51" i="3"/>
  <c r="L51" i="3" s="1"/>
  <c r="K52" i="3"/>
  <c r="AX24" i="3"/>
  <c r="AX25" i="3" s="1"/>
  <c r="AM24" i="3"/>
  <c r="K48" i="3"/>
  <c r="L48" i="3" s="1"/>
  <c r="K49" i="3"/>
  <c r="K46" i="3"/>
  <c r="L46" i="3" s="1"/>
  <c r="K47" i="3"/>
  <c r="L47" i="3" s="1"/>
  <c r="AB24" i="3"/>
  <c r="AB25" i="3" s="1"/>
  <c r="AB26" i="3" s="1"/>
  <c r="W45" i="3"/>
  <c r="W41" i="3"/>
  <c r="W40" i="3"/>
  <c r="W55" i="3"/>
  <c r="W56" i="3"/>
  <c r="W43" i="3"/>
  <c r="W44" i="3"/>
  <c r="W53" i="3"/>
  <c r="W54" i="3"/>
  <c r="W42" i="3"/>
  <c r="Q23" i="3"/>
  <c r="T48" i="3"/>
  <c r="V48" i="3" s="1"/>
  <c r="T46" i="3"/>
  <c r="V46" i="3" s="1"/>
  <c r="T49" i="3"/>
  <c r="V49" i="3" s="1"/>
  <c r="T47" i="3"/>
  <c r="V47" i="3" s="1"/>
  <c r="F23" i="3"/>
  <c r="L41" i="3"/>
  <c r="L44" i="3"/>
  <c r="L42" i="3"/>
  <c r="L40" i="3"/>
  <c r="L43" i="3"/>
  <c r="AM25" i="3" l="1"/>
  <c r="AM26" i="3" s="1"/>
  <c r="AB27" i="3"/>
  <c r="AC26" i="3"/>
  <c r="W47" i="3"/>
  <c r="W49" i="3"/>
  <c r="W46" i="3"/>
  <c r="W48" i="3"/>
  <c r="L53" i="3"/>
  <c r="L45" i="3"/>
  <c r="L56" i="3"/>
  <c r="L54" i="3"/>
  <c r="L55" i="3"/>
  <c r="L49" i="3"/>
  <c r="L52" i="3"/>
  <c r="L50" i="3"/>
  <c r="L39" i="3"/>
  <c r="AM27" i="3" l="1"/>
  <c r="AN26" i="3"/>
  <c r="AX26" i="3"/>
  <c r="F24" i="3"/>
  <c r="F25" i="3" s="1"/>
  <c r="F26" i="3" s="1"/>
  <c r="F27" i="3" l="1"/>
  <c r="G26" i="3"/>
  <c r="AX27" i="3"/>
  <c r="AY26" i="3"/>
  <c r="R39" i="3"/>
  <c r="U39" i="3" s="1"/>
  <c r="T39" i="3" l="1"/>
  <c r="V39" i="3" s="1"/>
  <c r="W39" i="3" l="1"/>
  <c r="Q24" i="3" l="1"/>
  <c r="Q25" i="3" s="1"/>
  <c r="Q26" i="3" s="1"/>
  <c r="Q27" i="3" l="1"/>
  <c r="R26" i="3"/>
  <c r="AC34" i="6" l="1"/>
  <c r="AC33" i="6"/>
  <c r="AC43" i="6"/>
  <c r="AC35" i="6"/>
  <c r="T60" i="6"/>
  <c r="Y60" i="6" s="1"/>
  <c r="T40" i="6"/>
  <c r="Y40" i="6" s="1"/>
  <c r="AC40" i="6" s="1"/>
  <c r="T38" i="6"/>
  <c r="T52" i="6"/>
  <c r="Y52" i="6" s="1"/>
  <c r="T48" i="6"/>
  <c r="Y48" i="6" s="1"/>
  <c r="AC48" i="6" s="1"/>
  <c r="T59" i="6"/>
  <c r="T39" i="6"/>
  <c r="Y39" i="6" s="1"/>
  <c r="T33" i="6"/>
  <c r="T68" i="6"/>
  <c r="Y68" i="6" s="1"/>
  <c r="T66" i="6"/>
  <c r="T53" i="6"/>
  <c r="Z53" i="6" s="1"/>
  <c r="T45" i="6"/>
  <c r="Y45" i="6" s="1"/>
  <c r="T50" i="6"/>
  <c r="Y50" i="6" s="1"/>
  <c r="T70" i="6"/>
  <c r="Y70" i="6" s="1"/>
  <c r="T57" i="6"/>
  <c r="Z57" i="6" s="1"/>
  <c r="T51" i="6"/>
  <c r="T36" i="6"/>
  <c r="Z36" i="6" s="1"/>
  <c r="T65" i="6"/>
  <c r="Z35" i="6"/>
  <c r="Z39" i="6"/>
  <c r="Z33" i="6"/>
  <c r="Z34" i="6"/>
  <c r="T34" i="6"/>
  <c r="AD34" i="6" s="1"/>
  <c r="T63" i="6"/>
  <c r="T37" i="6"/>
  <c r="Y37" i="6" s="1"/>
  <c r="T73" i="6"/>
  <c r="Y73" i="6" s="1"/>
  <c r="T58" i="6"/>
  <c r="T47" i="6"/>
  <c r="Y47" i="6" s="1"/>
  <c r="T41" i="6"/>
  <c r="Y41" i="6" s="1"/>
  <c r="AC41" i="6" s="1"/>
  <c r="T72" i="6"/>
  <c r="T67" i="6"/>
  <c r="T56" i="6"/>
  <c r="Z56" i="6" s="1"/>
  <c r="T61" i="6"/>
  <c r="T49" i="6"/>
  <c r="T69" i="6"/>
  <c r="Y69" i="6" s="1"/>
  <c r="T62" i="6"/>
  <c r="T42" i="6"/>
  <c r="Z42" i="6" s="1"/>
  <c r="T44" i="6"/>
  <c r="Y44" i="6" s="1"/>
  <c r="AC44" i="6" s="1"/>
  <c r="T46" i="6"/>
  <c r="Z46" i="6" s="1"/>
  <c r="T54" i="6"/>
  <c r="Z54" i="6" s="1"/>
  <c r="T35" i="6"/>
  <c r="T55" i="6"/>
  <c r="Z55" i="6" s="1"/>
  <c r="T64" i="6"/>
  <c r="T71" i="6"/>
  <c r="Z48" i="6" l="1"/>
  <c r="AA48" i="6" s="1"/>
  <c r="AF48" i="6" s="1"/>
  <c r="Z52" i="6"/>
  <c r="Z40" i="6"/>
  <c r="Z41" i="6"/>
  <c r="Y36" i="6"/>
  <c r="Z44" i="6"/>
  <c r="AA44" i="6" s="1"/>
  <c r="AF44" i="6" s="1"/>
  <c r="AA39" i="6"/>
  <c r="AF39" i="6" s="1"/>
  <c r="Z37" i="6"/>
  <c r="AA37" i="6" s="1"/>
  <c r="AF37" i="6" s="1"/>
  <c r="AA41" i="6"/>
  <c r="AF41" i="6" s="1"/>
  <c r="Y42" i="6"/>
  <c r="Y46" i="6"/>
  <c r="Z45" i="6"/>
  <c r="AA45" i="6" s="1"/>
  <c r="AF45" i="6" s="1"/>
  <c r="Z47" i="6"/>
  <c r="AA47" i="6" s="1"/>
  <c r="AF47" i="6" s="1"/>
  <c r="Z38" i="6"/>
  <c r="Y38" i="6"/>
  <c r="AC47" i="6"/>
  <c r="AD47" i="6" s="1"/>
  <c r="AC39" i="6"/>
  <c r="AD39" i="6" s="1"/>
  <c r="AA40" i="6"/>
  <c r="AF40" i="6" s="1"/>
  <c r="AC45" i="6"/>
  <c r="AC37" i="6"/>
  <c r="AD37" i="6" s="1"/>
  <c r="Z50" i="6"/>
  <c r="AA50" i="6" s="1"/>
  <c r="AF50" i="6" s="1"/>
  <c r="Y51" i="6"/>
  <c r="Y57" i="6"/>
  <c r="Y55" i="6"/>
  <c r="AA52" i="6"/>
  <c r="AF52" i="6" s="1"/>
  <c r="AC50" i="6"/>
  <c r="AD50" i="6" s="1"/>
  <c r="Y54" i="6"/>
  <c r="Y56" i="6"/>
  <c r="Y53" i="6"/>
  <c r="Y49" i="6"/>
  <c r="Z49" i="6"/>
  <c r="Z51" i="6"/>
  <c r="AC52" i="6"/>
  <c r="AD52" i="6" s="1"/>
  <c r="AB43" i="6"/>
  <c r="AD43" i="6"/>
  <c r="AB35" i="6"/>
  <c r="AD35" i="6"/>
  <c r="AB50" i="6"/>
  <c r="Z59" i="6"/>
  <c r="AB33" i="6"/>
  <c r="AD33" i="6"/>
  <c r="AB45" i="6"/>
  <c r="AD45" i="6"/>
  <c r="AB48" i="6"/>
  <c r="AD48" i="6"/>
  <c r="AB39" i="6"/>
  <c r="AB37" i="6"/>
  <c r="AB44" i="6"/>
  <c r="AD44" i="6"/>
  <c r="AB52" i="6"/>
  <c r="AB41" i="6"/>
  <c r="AD41" i="6"/>
  <c r="AB38" i="6"/>
  <c r="AB47" i="6"/>
  <c r="AB40" i="6"/>
  <c r="AD40" i="6"/>
  <c r="AB58" i="6"/>
  <c r="Y58" i="6"/>
  <c r="Z58" i="6"/>
  <c r="AB59" i="6"/>
  <c r="Y59" i="6"/>
  <c r="Z60" i="6"/>
  <c r="Y61" i="6"/>
  <c r="Z63" i="6"/>
  <c r="Y63" i="6"/>
  <c r="AC63" i="6" s="1"/>
  <c r="AD63" i="6" s="1"/>
  <c r="Y64" i="6"/>
  <c r="Y66" i="6"/>
  <c r="Z67" i="6"/>
  <c r="Y67" i="6"/>
  <c r="AC67" i="6" s="1"/>
  <c r="AD67" i="6" s="1"/>
  <c r="AB60" i="6"/>
  <c r="Z65" i="6"/>
  <c r="Y65" i="6"/>
  <c r="AB72" i="6"/>
  <c r="Y72" i="6"/>
  <c r="AC72" i="6" s="1"/>
  <c r="AD72" i="6" s="1"/>
  <c r="Z71" i="6"/>
  <c r="Y71" i="6"/>
  <c r="Y62" i="6"/>
  <c r="Z66" i="6"/>
  <c r="AB49" i="6"/>
  <c r="Z68" i="6"/>
  <c r="AA68" i="6" s="1"/>
  <c r="AB42" i="6"/>
  <c r="AB51" i="6"/>
  <c r="AB55" i="6"/>
  <c r="AC70" i="6"/>
  <c r="AD70" i="6" s="1"/>
  <c r="AB46" i="6"/>
  <c r="Z70" i="6"/>
  <c r="AA70" i="6" s="1"/>
  <c r="AB70" i="6"/>
  <c r="AB54" i="6"/>
  <c r="AB66" i="6"/>
  <c r="AC69" i="6"/>
  <c r="AD69" i="6" s="1"/>
  <c r="AC68" i="6"/>
  <c r="AD68" i="6" s="1"/>
  <c r="AC73" i="6"/>
  <c r="AD73" i="6" s="1"/>
  <c r="Z69" i="6"/>
  <c r="AA69" i="6" s="1"/>
  <c r="X8" i="6"/>
  <c r="X7" i="6" s="1"/>
  <c r="AB53" i="6"/>
  <c r="AB57" i="6"/>
  <c r="AB56" i="6"/>
  <c r="Z72" i="6"/>
  <c r="Z62" i="6"/>
  <c r="Z61" i="6"/>
  <c r="AB65" i="6"/>
  <c r="AB68" i="6"/>
  <c r="AB63" i="6"/>
  <c r="AB71" i="6"/>
  <c r="Z64" i="6"/>
  <c r="AB36" i="6"/>
  <c r="AB67" i="6"/>
  <c r="Z73" i="6"/>
  <c r="AA73" i="6" s="1"/>
  <c r="AB61" i="6"/>
  <c r="AB34" i="6"/>
  <c r="AE34" i="6" s="1"/>
  <c r="AB73" i="6"/>
  <c r="AB69" i="6"/>
  <c r="AB62" i="6"/>
  <c r="AB64" i="6"/>
  <c r="AA46" i="6" l="1"/>
  <c r="AF46" i="6" s="1"/>
  <c r="AC46" i="6"/>
  <c r="AD46" i="6" s="1"/>
  <c r="AA36" i="6"/>
  <c r="AF36" i="6" s="1"/>
  <c r="AC36" i="6"/>
  <c r="AD36" i="6" s="1"/>
  <c r="AA38" i="6"/>
  <c r="AF38" i="6" s="1"/>
  <c r="AC38" i="6"/>
  <c r="AD38" i="6" s="1"/>
  <c r="AA42" i="6"/>
  <c r="AF42" i="6" s="1"/>
  <c r="AC42" i="6"/>
  <c r="AD42" i="6" s="1"/>
  <c r="AA53" i="6"/>
  <c r="AF53" i="6" s="1"/>
  <c r="AC53" i="6"/>
  <c r="AD53" i="6" s="1"/>
  <c r="AA55" i="6"/>
  <c r="AF55" i="6" s="1"/>
  <c r="AC55" i="6"/>
  <c r="AD55" i="6" s="1"/>
  <c r="AA56" i="6"/>
  <c r="AF56" i="6" s="1"/>
  <c r="AC56" i="6"/>
  <c r="AD56" i="6" s="1"/>
  <c r="AA57" i="6"/>
  <c r="AF57" i="6" s="1"/>
  <c r="AC57" i="6"/>
  <c r="AD57" i="6" s="1"/>
  <c r="AA54" i="6"/>
  <c r="AF54" i="6" s="1"/>
  <c r="AC54" i="6"/>
  <c r="AD54" i="6" s="1"/>
  <c r="AA51" i="6"/>
  <c r="AF51" i="6" s="1"/>
  <c r="AC51" i="6"/>
  <c r="AD51" i="6" s="1"/>
  <c r="AA49" i="6"/>
  <c r="AF49" i="6" s="1"/>
  <c r="AC49" i="6"/>
  <c r="AD49" i="6" s="1"/>
  <c r="AG34" i="6"/>
  <c r="AH34" i="6" s="1"/>
  <c r="AI34" i="6" s="1"/>
  <c r="AE41" i="6"/>
  <c r="AE44" i="6"/>
  <c r="AE35" i="6"/>
  <c r="AE47" i="6"/>
  <c r="AE45" i="6"/>
  <c r="AE40" i="6"/>
  <c r="AE52" i="6"/>
  <c r="AE48" i="6"/>
  <c r="AE50" i="6"/>
  <c r="AE37" i="6"/>
  <c r="AE33" i="6"/>
  <c r="AE43" i="6"/>
  <c r="AE39" i="6"/>
  <c r="AA59" i="6"/>
  <c r="AC59" i="6"/>
  <c r="AD59" i="6" s="1"/>
  <c r="AA58" i="6"/>
  <c r="AC58" i="6"/>
  <c r="AD58" i="6" s="1"/>
  <c r="AA71" i="6"/>
  <c r="AA67" i="6"/>
  <c r="AA64" i="6"/>
  <c r="AA62" i="6"/>
  <c r="AC64" i="6"/>
  <c r="AD64" i="6" s="1"/>
  <c r="AC62" i="6"/>
  <c r="AD62" i="6" s="1"/>
  <c r="AA60" i="6"/>
  <c r="AC60" i="6"/>
  <c r="AD60" i="6" s="1"/>
  <c r="AA63" i="6"/>
  <c r="AA61" i="6"/>
  <c r="AA72" i="6"/>
  <c r="AC61" i="6"/>
  <c r="AD61" i="6" s="1"/>
  <c r="AA66" i="6"/>
  <c r="AA65" i="6"/>
  <c r="AC66" i="6"/>
  <c r="AD66" i="6" s="1"/>
  <c r="AC71" i="6"/>
  <c r="AD71" i="6" s="1"/>
  <c r="AF70" i="6"/>
  <c r="AC65" i="6"/>
  <c r="AD65" i="6" s="1"/>
  <c r="AE70" i="6"/>
  <c r="AG70" i="6" s="1"/>
  <c r="AF73" i="6"/>
  <c r="AF68" i="6"/>
  <c r="R41" i="6"/>
  <c r="R57" i="6"/>
  <c r="R55" i="6"/>
  <c r="R44" i="6"/>
  <c r="R46" i="6"/>
  <c r="R37" i="6"/>
  <c r="R52" i="6"/>
  <c r="R65" i="6"/>
  <c r="R73" i="6"/>
  <c r="R71" i="6"/>
  <c r="R42" i="6"/>
  <c r="R54" i="6"/>
  <c r="R48" i="6"/>
  <c r="R69" i="6"/>
  <c r="R61" i="6"/>
  <c r="R50" i="6"/>
  <c r="R39" i="6"/>
  <c r="R62" i="6"/>
  <c r="R35" i="6"/>
  <c r="R63" i="6"/>
  <c r="R47" i="6"/>
  <c r="R49" i="6"/>
  <c r="R66" i="6"/>
  <c r="R33" i="6"/>
  <c r="R45" i="6"/>
  <c r="R38" i="6"/>
  <c r="R72" i="6"/>
  <c r="R68" i="6"/>
  <c r="R60" i="6"/>
  <c r="R70" i="6"/>
  <c r="R34" i="6"/>
  <c r="R43" i="6"/>
  <c r="R67" i="6"/>
  <c r="R58" i="6"/>
  <c r="R40" i="6"/>
  <c r="R64" i="6"/>
  <c r="R51" i="6"/>
  <c r="R56" i="6"/>
  <c r="R53" i="6"/>
  <c r="R36" i="6"/>
  <c r="R59" i="6"/>
  <c r="AE69" i="6"/>
  <c r="AG69" i="6" s="1"/>
  <c r="AE73" i="6"/>
  <c r="AG73" i="6" s="1"/>
  <c r="AF69" i="6"/>
  <c r="AE68" i="6"/>
  <c r="AG68" i="6" s="1"/>
  <c r="AE55" i="6" l="1"/>
  <c r="AG55" i="6" s="1"/>
  <c r="AH55" i="6" s="1"/>
  <c r="AI55" i="6" s="1"/>
  <c r="AE36" i="6"/>
  <c r="AG36" i="6" s="1"/>
  <c r="AH36" i="6" s="1"/>
  <c r="AI36" i="6" s="1"/>
  <c r="AE42" i="6"/>
  <c r="AG42" i="6" s="1"/>
  <c r="AH42" i="6" s="1"/>
  <c r="AI42" i="6" s="1"/>
  <c r="AE46" i="6"/>
  <c r="AG46" i="6" s="1"/>
  <c r="AH46" i="6" s="1"/>
  <c r="AI46" i="6" s="1"/>
  <c r="AE53" i="6"/>
  <c r="AG53" i="6" s="1"/>
  <c r="AH53" i="6" s="1"/>
  <c r="AI53" i="6" s="1"/>
  <c r="AE38" i="6"/>
  <c r="AG38" i="6" s="1"/>
  <c r="AH38" i="6" s="1"/>
  <c r="AI38" i="6" s="1"/>
  <c r="AE56" i="6"/>
  <c r="AG56" i="6" s="1"/>
  <c r="AH56" i="6" s="1"/>
  <c r="AI56" i="6" s="1"/>
  <c r="AE54" i="6"/>
  <c r="AG54" i="6" s="1"/>
  <c r="AH54" i="6" s="1"/>
  <c r="AI54" i="6" s="1"/>
  <c r="AE57" i="6"/>
  <c r="AG57" i="6" s="1"/>
  <c r="AH57" i="6" s="1"/>
  <c r="AI57" i="6" s="1"/>
  <c r="AE49" i="6"/>
  <c r="AG49" i="6" s="1"/>
  <c r="AH49" i="6" s="1"/>
  <c r="AI49" i="6" s="1"/>
  <c r="AE51" i="6"/>
  <c r="AG51" i="6" s="1"/>
  <c r="AH51" i="6" s="1"/>
  <c r="AI51" i="6" s="1"/>
  <c r="AF58" i="6"/>
  <c r="AF66" i="6"/>
  <c r="AG48" i="6"/>
  <c r="AH48" i="6" s="1"/>
  <c r="AI48" i="6" s="1"/>
  <c r="AF62" i="6"/>
  <c r="AF59" i="6"/>
  <c r="AG52" i="6"/>
  <c r="AH52" i="6" s="1"/>
  <c r="AI52" i="6" s="1"/>
  <c r="AG50" i="6"/>
  <c r="AH50" i="6" s="1"/>
  <c r="AI50" i="6" s="1"/>
  <c r="AF72" i="6"/>
  <c r="AG39" i="6"/>
  <c r="AH39" i="6" s="1"/>
  <c r="AI39" i="6" s="1"/>
  <c r="AG40" i="6"/>
  <c r="AH40" i="6" s="1"/>
  <c r="AI40" i="6" s="1"/>
  <c r="AG41" i="6"/>
  <c r="AH41" i="6" s="1"/>
  <c r="AI41" i="6" s="1"/>
  <c r="AF61" i="6"/>
  <c r="AE67" i="6"/>
  <c r="AG67" i="6" s="1"/>
  <c r="AG43" i="6"/>
  <c r="AH43" i="6" s="1"/>
  <c r="AI43" i="6" s="1"/>
  <c r="AG45" i="6"/>
  <c r="AH45" i="6" s="1"/>
  <c r="AI45" i="6" s="1"/>
  <c r="AF65" i="6"/>
  <c r="AF63" i="6"/>
  <c r="AF71" i="6"/>
  <c r="AG33" i="6"/>
  <c r="AH33" i="6" s="1"/>
  <c r="AI33" i="6" s="1"/>
  <c r="AG47" i="6"/>
  <c r="AH47" i="6" s="1"/>
  <c r="AI47" i="6" s="1"/>
  <c r="AG35" i="6"/>
  <c r="AH35" i="6" s="1"/>
  <c r="AI35" i="6" s="1"/>
  <c r="AF60" i="6"/>
  <c r="AG37" i="6"/>
  <c r="AH37" i="6" s="1"/>
  <c r="AI37" i="6" s="1"/>
  <c r="AG44" i="6"/>
  <c r="AH44" i="6" s="1"/>
  <c r="AI44" i="6" s="1"/>
  <c r="AE59" i="6"/>
  <c r="AE58" i="6"/>
  <c r="AE62" i="6"/>
  <c r="AG62" i="6" s="1"/>
  <c r="AE71" i="6"/>
  <c r="AG71" i="6" s="1"/>
  <c r="AH73" i="6"/>
  <c r="AI73" i="6" s="1"/>
  <c r="AE64" i="6"/>
  <c r="AG64" i="6" s="1"/>
  <c r="AF67" i="6"/>
  <c r="AF64" i="6"/>
  <c r="AE66" i="6"/>
  <c r="AG66" i="6" s="1"/>
  <c r="AE65" i="6"/>
  <c r="AG65" i="6" s="1"/>
  <c r="AE60" i="6"/>
  <c r="AG60" i="6" s="1"/>
  <c r="AE61" i="6"/>
  <c r="AG61" i="6" s="1"/>
  <c r="AE72" i="6"/>
  <c r="AG72" i="6" s="1"/>
  <c r="AH70" i="6"/>
  <c r="AI70" i="6" s="1"/>
  <c r="AE63" i="6"/>
  <c r="AG63" i="6" s="1"/>
  <c r="AH68" i="6"/>
  <c r="AI68" i="6" s="1"/>
  <c r="AH69" i="6"/>
  <c r="AI69" i="6" s="1"/>
  <c r="AH67" i="6" l="1"/>
  <c r="AI67" i="6" s="1"/>
  <c r="AG59" i="6"/>
  <c r="AH59" i="6" s="1"/>
  <c r="AI59" i="6" s="1"/>
  <c r="AG58" i="6"/>
  <c r="AH58" i="6" s="1"/>
  <c r="AI58" i="6" s="1"/>
  <c r="AF75" i="6"/>
  <c r="AH62" i="6"/>
  <c r="AI62" i="6" s="1"/>
  <c r="AH61" i="6"/>
  <c r="AI61" i="6" s="1"/>
  <c r="AH60" i="6"/>
  <c r="AI60" i="6" s="1"/>
  <c r="AH65" i="6"/>
  <c r="AI65" i="6" s="1"/>
  <c r="AH66" i="6"/>
  <c r="AI66" i="6" s="1"/>
  <c r="AH72" i="6"/>
  <c r="AI72" i="6" s="1"/>
  <c r="AH71" i="6"/>
  <c r="AI71" i="6" s="1"/>
  <c r="AH63" i="6"/>
  <c r="AI63" i="6" s="1"/>
  <c r="AD26" i="6"/>
  <c r="AH64" i="6"/>
  <c r="AI64" i="6" s="1"/>
  <c r="AD20" i="6" l="1"/>
  <c r="AG75" i="6"/>
  <c r="AH75" i="6"/>
  <c r="AD21" i="6" s="1"/>
  <c r="AI75" i="6"/>
  <c r="AI76" i="6" s="1"/>
  <c r="AJ76" i="6" s="1"/>
  <c r="AD22" i="6" l="1"/>
  <c r="AD24" i="6" s="1"/>
  <c r="AB20" i="6"/>
  <c r="G9" i="6" a="1"/>
  <c r="G9" i="6" s="1"/>
  <c r="G20" i="6" a="1"/>
  <c r="G20" i="6" s="1"/>
  <c r="F53" i="6"/>
  <c r="G21" i="6" a="1"/>
  <c r="G21" i="6" s="1"/>
  <c r="F40" i="6"/>
  <c r="F48" i="6"/>
  <c r="F56" i="6"/>
  <c r="F64" i="6"/>
  <c r="F72" i="6"/>
  <c r="F37" i="6"/>
  <c r="F69" i="6"/>
  <c r="F35" i="6"/>
  <c r="F43" i="6"/>
  <c r="F51" i="6"/>
  <c r="F59" i="6"/>
  <c r="F67" i="6"/>
  <c r="G22" i="6" a="1"/>
  <c r="G22" i="6" s="1"/>
  <c r="F30" i="6"/>
  <c r="F38" i="6"/>
  <c r="F46" i="6"/>
  <c r="F54" i="6"/>
  <c r="F62" i="6"/>
  <c r="F70" i="6"/>
  <c r="F61" i="6"/>
  <c r="F33" i="6"/>
  <c r="F41" i="6"/>
  <c r="F49" i="6"/>
  <c r="F57" i="6"/>
  <c r="F65" i="6"/>
  <c r="F73" i="6"/>
  <c r="G23" i="6" a="1"/>
  <c r="G23" i="6" s="1"/>
  <c r="F36" i="6"/>
  <c r="F44" i="6"/>
  <c r="F52" i="6"/>
  <c r="F60" i="6"/>
  <c r="F68" i="6"/>
  <c r="F45" i="6"/>
  <c r="F39" i="6"/>
  <c r="F47" i="6"/>
  <c r="F55" i="6"/>
  <c r="F63" i="6"/>
  <c r="F71" i="6"/>
  <c r="G4" i="6"/>
  <c r="G24" i="6" a="1"/>
  <c r="G24" i="6" s="1"/>
  <c r="F34" i="6"/>
  <c r="F42" i="6"/>
  <c r="F50" i="6"/>
  <c r="F58" i="6"/>
  <c r="F66" i="6"/>
  <c r="F11" i="6"/>
  <c r="F74" i="6"/>
  <c r="G67" i="6" l="1"/>
  <c r="F25" i="6"/>
  <c r="H10" i="6" a="1"/>
  <c r="H10" i="6" s="1"/>
  <c r="G7" i="6" a="1"/>
  <c r="G7" i="6" s="1"/>
  <c r="F16" i="6"/>
  <c r="G35" i="6"/>
  <c r="G41" i="6"/>
  <c r="G48" i="6"/>
  <c r="G38" i="6"/>
  <c r="G58" i="6"/>
  <c r="G6" i="6" a="1"/>
  <c r="G6" i="6" s="1"/>
  <c r="G74" i="6"/>
  <c r="G64" i="6"/>
  <c r="G69" i="6"/>
  <c r="G59" i="6"/>
  <c r="G63" i="6"/>
  <c r="G45" i="6"/>
  <c r="H7" i="6" a="1"/>
  <c r="H7" i="6" s="1"/>
  <c r="G10" i="6" a="1"/>
  <c r="G10" i="6" s="1"/>
  <c r="G34" i="6"/>
  <c r="G52" i="6"/>
  <c r="G37" i="6"/>
  <c r="G43" i="6"/>
  <c r="G56" i="6"/>
  <c r="G44" i="6"/>
  <c r="G68" i="6"/>
  <c r="G51" i="6"/>
  <c r="G36" i="6"/>
  <c r="G49" i="6"/>
  <c r="G46" i="6"/>
  <c r="G54" i="6"/>
  <c r="H9" i="6" a="1"/>
  <c r="H9" i="6" s="1"/>
  <c r="H8" i="6" a="1"/>
  <c r="H8" i="6" s="1"/>
  <c r="G8" i="6" a="1"/>
  <c r="G8" i="6" s="1"/>
  <c r="G60" i="6"/>
  <c r="G72" i="6"/>
  <c r="G61" i="6"/>
  <c r="G73" i="6"/>
  <c r="G42" i="6"/>
  <c r="G62" i="6"/>
  <c r="G33" i="6"/>
  <c r="G65" i="6"/>
  <c r="G50" i="6"/>
  <c r="G57" i="6"/>
  <c r="G71" i="6"/>
  <c r="G55" i="6"/>
  <c r="H6" i="6" a="1"/>
  <c r="H6" i="6" s="1"/>
  <c r="G70" i="6"/>
  <c r="G39" i="6"/>
  <c r="G53" i="6"/>
  <c r="G66" i="6"/>
  <c r="G40" i="6"/>
  <c r="G47" i="6"/>
  <c r="H63" i="6" l="1"/>
  <c r="J63" i="6" s="1"/>
  <c r="I72" i="6"/>
  <c r="I70" i="6"/>
  <c r="H68" i="6"/>
  <c r="J68" i="6" s="1"/>
  <c r="H48" i="6"/>
  <c r="J48" i="6" s="1"/>
  <c r="H44" i="6"/>
  <c r="J44" i="6" s="1"/>
  <c r="H61" i="6"/>
  <c r="J61" i="6" s="1"/>
  <c r="H47" i="6"/>
  <c r="J47" i="6" s="1"/>
  <c r="H55" i="6"/>
  <c r="J55" i="6" s="1"/>
  <c r="H39" i="6"/>
  <c r="J39" i="6" s="1"/>
  <c r="H36" i="6"/>
  <c r="J36" i="6" s="1"/>
  <c r="H50" i="6"/>
  <c r="J50" i="6" s="1"/>
  <c r="H37" i="6"/>
  <c r="J37" i="6" s="1"/>
  <c r="H40" i="6"/>
  <c r="J40" i="6" s="1"/>
  <c r="H59" i="6"/>
  <c r="J59" i="6" s="1"/>
  <c r="H57" i="6"/>
  <c r="J57" i="6" s="1"/>
  <c r="H38" i="6"/>
  <c r="J38" i="6" s="1"/>
  <c r="H34" i="6"/>
  <c r="J34" i="6" s="1"/>
  <c r="H65" i="6"/>
  <c r="J65" i="6" s="1"/>
  <c r="I66" i="6"/>
  <c r="I34" i="6"/>
  <c r="H72" i="6"/>
  <c r="J72" i="6" s="1"/>
  <c r="H70" i="6"/>
  <c r="J70" i="6" s="1"/>
  <c r="I48" i="6"/>
  <c r="I44" i="6"/>
  <c r="I61" i="6"/>
  <c r="I47" i="6"/>
  <c r="I55" i="6"/>
  <c r="I39" i="6"/>
  <c r="I36" i="6"/>
  <c r="I50" i="6"/>
  <c r="I37" i="6"/>
  <c r="I40" i="6"/>
  <c r="I59" i="6"/>
  <c r="I57" i="6"/>
  <c r="I38" i="6"/>
  <c r="H43" i="6"/>
  <c r="J43" i="6" s="1"/>
  <c r="H66" i="6"/>
  <c r="J66" i="6" s="1"/>
  <c r="I69" i="6"/>
  <c r="I73" i="6"/>
  <c r="H67" i="6"/>
  <c r="I64" i="6"/>
  <c r="I74" i="6"/>
  <c r="I71" i="6"/>
  <c r="I33" i="6"/>
  <c r="H46" i="6"/>
  <c r="J46" i="6" s="1"/>
  <c r="H60" i="6"/>
  <c r="J60" i="6" s="1"/>
  <c r="H49" i="6"/>
  <c r="J49" i="6" s="1"/>
  <c r="H58" i="6"/>
  <c r="J58" i="6" s="1"/>
  <c r="H42" i="6"/>
  <c r="J42" i="6" s="1"/>
  <c r="H54" i="6"/>
  <c r="J54" i="6" s="1"/>
  <c r="H53" i="6"/>
  <c r="J53" i="6" s="1"/>
  <c r="H56" i="6"/>
  <c r="J56" i="6" s="1"/>
  <c r="H41" i="6"/>
  <c r="J41" i="6" s="1"/>
  <c r="H52" i="6"/>
  <c r="J52" i="6" s="1"/>
  <c r="H45" i="6"/>
  <c r="J45" i="6" s="1"/>
  <c r="H51" i="6"/>
  <c r="J51" i="6" s="1"/>
  <c r="H33" i="6"/>
  <c r="J33" i="6" s="1"/>
  <c r="H62" i="6"/>
  <c r="J62" i="6" s="1"/>
  <c r="I67" i="6"/>
  <c r="H69" i="6"/>
  <c r="J69" i="6" s="1"/>
  <c r="H73" i="6"/>
  <c r="J73" i="6" s="1"/>
  <c r="I65" i="6"/>
  <c r="I43" i="6"/>
  <c r="H64" i="6"/>
  <c r="J64" i="6" s="1"/>
  <c r="I63" i="6"/>
  <c r="H74" i="6"/>
  <c r="J74" i="6" s="1"/>
  <c r="H71" i="6"/>
  <c r="J71" i="6" s="1"/>
  <c r="I68" i="6"/>
  <c r="I35" i="6"/>
  <c r="I46" i="6"/>
  <c r="I60" i="6"/>
  <c r="I49" i="6"/>
  <c r="I58" i="6"/>
  <c r="I42" i="6"/>
  <c r="I54" i="6"/>
  <c r="I53" i="6"/>
  <c r="I56" i="6"/>
  <c r="I41" i="6"/>
  <c r="I52" i="6"/>
  <c r="I45" i="6"/>
  <c r="I51" i="6"/>
  <c r="H35" i="6"/>
  <c r="J35" i="6" s="1"/>
  <c r="I62" i="6"/>
  <c r="G75" i="6"/>
  <c r="L65" i="6" l="1"/>
  <c r="L60" i="6"/>
  <c r="L56" i="6"/>
  <c r="K56" i="6"/>
  <c r="K50" i="6"/>
  <c r="L68" i="6"/>
  <c r="L38" i="6"/>
  <c r="K43" i="6"/>
  <c r="L37" i="6"/>
  <c r="K42" i="6"/>
  <c r="L42" i="6"/>
  <c r="L61" i="6"/>
  <c r="L48" i="6"/>
  <c r="L43" i="6"/>
  <c r="L33" i="6"/>
  <c r="L39" i="6"/>
  <c r="L71" i="6"/>
  <c r="K39" i="6"/>
  <c r="L63" i="6"/>
  <c r="L55" i="6"/>
  <c r="K63" i="6"/>
  <c r="K65" i="6"/>
  <c r="L58" i="6"/>
  <c r="K34" i="6"/>
  <c r="K62" i="6"/>
  <c r="K38" i="6"/>
  <c r="K55" i="6"/>
  <c r="K51" i="6"/>
  <c r="K58" i="6"/>
  <c r="L59" i="6"/>
  <c r="K36" i="6"/>
  <c r="K54" i="6"/>
  <c r="L70" i="6"/>
  <c r="L47" i="6"/>
  <c r="K35" i="6"/>
  <c r="L45" i="6"/>
  <c r="K57" i="6"/>
  <c r="K47" i="6"/>
  <c r="L49" i="6"/>
  <c r="K45" i="6"/>
  <c r="K49" i="6"/>
  <c r="L44" i="6"/>
  <c r="K64" i="6"/>
  <c r="L34" i="6"/>
  <c r="L36" i="6"/>
  <c r="K68" i="6"/>
  <c r="K59" i="6"/>
  <c r="K61" i="6"/>
  <c r="L41" i="6"/>
  <c r="K53" i="6"/>
  <c r="K33" i="6"/>
  <c r="L53" i="6"/>
  <c r="K71" i="6"/>
  <c r="K66" i="6"/>
  <c r="L51" i="6"/>
  <c r="L72" i="6"/>
  <c r="K74" i="6"/>
  <c r="K70" i="6"/>
  <c r="L35" i="6"/>
  <c r="L46" i="6"/>
  <c r="K72" i="6"/>
  <c r="L69" i="6"/>
  <c r="L57" i="6"/>
  <c r="L54" i="6"/>
  <c r="L74" i="6"/>
  <c r="L40" i="6"/>
  <c r="L73" i="6"/>
  <c r="J67" i="6"/>
  <c r="K67" i="6" s="1"/>
  <c r="L67" i="6"/>
  <c r="K40" i="6"/>
  <c r="K44" i="6"/>
  <c r="L62" i="6"/>
  <c r="K52" i="6"/>
  <c r="K60" i="6"/>
  <c r="K73" i="6"/>
  <c r="K37" i="6"/>
  <c r="K48" i="6"/>
  <c r="L64" i="6"/>
  <c r="L50" i="6"/>
  <c r="L52" i="6"/>
  <c r="K41" i="6"/>
  <c r="K46" i="6"/>
  <c r="K69" i="6"/>
  <c r="L66" i="6"/>
  <c r="M56" i="6" l="1"/>
  <c r="M68" i="6"/>
  <c r="M38" i="6"/>
  <c r="M43" i="6"/>
  <c r="M50" i="6"/>
  <c r="M37" i="6"/>
  <c r="M48" i="6"/>
  <c r="M33" i="6"/>
  <c r="M61" i="6"/>
  <c r="M71" i="6"/>
  <c r="M42" i="6"/>
  <c r="M55" i="6"/>
  <c r="M39" i="6"/>
  <c r="M74" i="6"/>
  <c r="M51" i="6"/>
  <c r="M34" i="6"/>
  <c r="M65" i="6"/>
  <c r="M36" i="6"/>
  <c r="M62" i="6"/>
  <c r="M57" i="6"/>
  <c r="M59" i="6"/>
  <c r="M63" i="6"/>
  <c r="M70" i="6"/>
  <c r="M54" i="6"/>
  <c r="M58" i="6"/>
  <c r="M64" i="6"/>
  <c r="M49" i="6"/>
  <c r="M35" i="6"/>
  <c r="M66" i="6"/>
  <c r="M44" i="6"/>
  <c r="M72" i="6"/>
  <c r="M45" i="6"/>
  <c r="M47" i="6"/>
  <c r="M46" i="6"/>
  <c r="M53" i="6"/>
  <c r="M69" i="6"/>
  <c r="M40" i="6"/>
  <c r="L75" i="6"/>
  <c r="M41" i="6"/>
  <c r="M67" i="6"/>
  <c r="M60" i="6"/>
  <c r="M52" i="6"/>
  <c r="M73" i="6"/>
  <c r="L20" i="6" l="1"/>
  <c r="M75" i="6"/>
  <c r="L21" i="6" l="1"/>
  <c r="L22" i="6" s="1"/>
  <c r="L2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tc={AE743D38-9EA3-4851-A65B-D208CDF22465}</author>
    <author>tc={8C73E26D-41FA-461C-A10B-BD9BBB53F53F}</author>
    <author>tc={7782ED0C-3C6D-4CAB-AFAD-C7BBBEB8B7B0}</author>
    <author>tc={F7E5F0A4-5599-46B0-A554-55FBC8D64459}</author>
    <author>tc={DCA003F9-E8D0-4172-839E-D678FC3C951C}</author>
    <author>tc={D4EA3A23-3BF2-4F61-8E6F-9B8D2568DC41}</author>
    <author>tc={C3BBC684-9AC2-479E-A99D-5FABDCEECC07}</author>
    <author>tc={CDD4C202-E79D-418C-91E7-57D007E4C3E8}</author>
    <author>tc={C44C81A2-AE88-4A3D-B714-389F4E9287B1}</author>
    <author>tc={45BC7AFE-8AEC-4D9C-8027-DDB3DD4A97F7}</author>
    <author>tc={FC202DBD-924A-4CB7-9F36-099AB5FAC31D}</author>
    <author>tc={B05466C8-15C7-45E1-8BD0-B00AA7C857E3}</author>
    <author>tc={37EED35F-595E-4527-A84A-95D59ABEC651}</author>
  </authors>
  <commentList>
    <comment ref="BQ8" authorId="0" shapeId="0" xr:uid="{AE743D38-9EA3-4851-A65B-D208CDF22465}">
      <text>
        <t>[Threaded comment]
Your version of Excel allows you to read this threaded comment; however, any edits to it will get removed if the file is opened in a newer version of Excel. Learn more: https://go.microsoft.com/fwlink/?linkid=870924
Comment:
    seems a tad low compared to average 11464 Btu for SD
Reply:
    https://ecocostsavings.com/portable-ac-wattage-most-efficient/</t>
      </text>
    </comment>
    <comment ref="G14" authorId="1" shapeId="0" xr:uid="{8C73E26D-41FA-461C-A10B-BD9BBB53F53F}">
      <text>
        <t>[Threaded comment]
Your version of Excel allows you to read this threaded comment; however, any edits to it will get removed if the file is opened in a newer version of Excel. Learn more: https://go.microsoft.com/fwlink/?linkid=870924
Comment:
    assumed 200 m3/h per kW cooling capacity</t>
      </text>
    </comment>
    <comment ref="K14" authorId="2" shapeId="0" xr:uid="{7782ED0C-3C6D-4CAB-AFAD-C7BBBEB8B7B0}">
      <text>
        <t>[Threaded comment]
Your version of Excel allows you to read this threaded comment; however, any edits to it will get removed if the file is opened in a newer version of Excel. Learn more: https://go.microsoft.com/fwlink/?linkid=870924
Comment:
    EN 14825:2016, Table A.2.1</t>
      </text>
    </comment>
    <comment ref="V14" authorId="3" shapeId="0" xr:uid="{F7E5F0A4-5599-46B0-A554-55FBC8D64459}">
      <text>
        <t>[Threaded comment]
Your version of Excel allows you to read this threaded comment; however, any edits to it will get removed if the file is opened in a newer version of Excel. Learn more: https://go.microsoft.com/fwlink/?linkid=870924
Comment:
    EN 14825:2016, Table A.2.1</t>
      </text>
    </comment>
    <comment ref="AG14" authorId="4" shapeId="0" xr:uid="{DCA003F9-E8D0-4172-839E-D678FC3C951C}">
      <text>
        <t>[Threaded comment]
Your version of Excel allows you to read this threaded comment; however, any edits to it will get removed if the file is opened in a newer version of Excel. Learn more: https://go.microsoft.com/fwlink/?linkid=870924
Comment:
    EN 14825:2016, Table A.2.1</t>
      </text>
    </comment>
    <comment ref="AR14" authorId="5" shapeId="0" xr:uid="{D4EA3A23-3BF2-4F61-8E6F-9B8D2568DC41}">
      <text>
        <t>[Threaded comment]
Your version of Excel allows you to read this threaded comment; however, any edits to it will get removed if the file is opened in a newer version of Excel. Learn more: https://go.microsoft.com/fwlink/?linkid=870924
Comment:
    EN 14825:2016, Table A.2.1</t>
      </text>
    </comment>
    <comment ref="BC14" authorId="6" shapeId="0" xr:uid="{C3BBC684-9AC2-479E-A99D-5FABDCEECC07}">
      <text>
        <t>[Threaded comment]
Your version of Excel allows you to read this threaded comment; however, any edits to it will get removed if the file is opened in a newer version of Excel. Learn more: https://go.microsoft.com/fwlink/?linkid=870924
Comment:
    EN 14825:2016, Table A.2.1</t>
      </text>
    </comment>
    <comment ref="CA16" authorId="7" shapeId="0" xr:uid="{CDD4C202-E79D-418C-91E7-57D007E4C3E8}">
      <text>
        <t>[Threaded comment]
Your version of Excel allows you to read this threaded comment; however, any edits to it will get removed if the file is opened in a newer version of Excel. Learn more: https://go.microsoft.com/fwlink/?linkid=870924
Comment:
    EN 14825:2016, Table A.2.1</t>
      </text>
    </comment>
    <comment ref="CY16" authorId="8" shapeId="0" xr:uid="{C44C81A2-AE88-4A3D-B714-389F4E9287B1}">
      <text>
        <t>[Threaded comment]
Your version of Excel allows you to read this threaded comment; however, any edits to it will get removed if the file is opened in a newer version of Excel. Learn more: https://go.microsoft.com/fwlink/?linkid=870924
Comment:
    EERbin(Tj) = EERd(Tj) × (1 - Cdc × (1 - CR(Tj));</t>
      </text>
    </comment>
    <comment ref="K31" authorId="9" shapeId="0" xr:uid="{45BC7AFE-8AEC-4D9C-8027-DDB3DD4A97F7}">
      <text>
        <t>[Threaded comment]
Your version of Excel allows you to read this threaded comment; however, any edits to it will get removed if the file is opened in a newer version of Excel. Learn more: https://go.microsoft.com/fwlink/?linkid=870924
Comment:
    EERbin(Tj) = EERd(Tj) × (1 - Cdc × (1 - CR(Tj));</t>
      </text>
    </comment>
    <comment ref="I39" authorId="10" shapeId="0" xr:uid="{FC202DBD-924A-4CB7-9F36-099AB5FAC31D}">
      <text>
        <t>[Threaded comment]
Your version of Excel allows you to read this threaded comment; however, any edits to it will get removed if the file is opened in a newer version of Excel. Learn more: https://go.microsoft.com/fwlink/?linkid=870924
Comment:
    actually #DIV0 error</t>
      </text>
    </comment>
    <comment ref="T39" authorId="11" shapeId="0" xr:uid="{B05466C8-15C7-45E1-8BD0-B00AA7C857E3}">
      <text>
        <t>[Threaded comment]
Your version of Excel allows you to read this threaded comment; however, any edits to it will get removed if the file is opened in a newer version of Excel. Learn more: https://go.microsoft.com/fwlink/?linkid=870924
Comment:
    actually #DIV0 error</t>
      </text>
    </comment>
    <comment ref="AE39" authorId="12" shapeId="0" xr:uid="{37EED35F-595E-4527-A84A-95D59ABEC651}">
      <text>
        <t>[Threaded comment]
Your version of Excel allows you to read this threaded comment; however, any edits to it will get removed if the file is opened in a newer version of Excel. Learn more: https://go.microsoft.com/fwlink/?linkid=870924
Comment:
    actually #DIV0 error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tc={790D17F3-5B78-4D30-89DA-6C4CD0B44014}</author>
    <author>tc={FF4C7EAC-8EEC-47A5-ADA9-AE2871B5FF59}</author>
    <author>tc={2E4F9A1A-695D-4FC6-B933-7BE4FE90C730}</author>
    <author>tc={EC2A4479-D94F-447C-A4BA-4FB6470F8A9A}</author>
    <author>Author</author>
  </authors>
  <commentList>
    <comment ref="K11" authorId="0" shapeId="0" xr:uid="{790D17F3-5B78-4D30-89DA-6C4CD0B44014}">
      <text>
        <t>[Threaded comment]
Your version of Excel allows you to read this threaded comment; however, any edits to it will get removed if the file is opened in a newer version of Excel. Learn more: https://go.microsoft.com/fwlink/?linkid=870924
Comment:
    Pdesign</t>
      </text>
    </comment>
    <comment ref="AC31" authorId="1" shapeId="0" xr:uid="{FF4C7EAC-8EEC-47A5-ADA9-AE2871B5FF59}">
      <text>
        <t>[Threaded comment]
Your version of Excel allows you to read this threaded comment; however, any edits to it will get removed if the file is opened in a newer version of Excel. Learn more: https://go.microsoft.com/fwlink/?linkid=870924
Comment:
    CRh(Tj)=(pl(Tj)*Pdesignh)/(Pdh(Tj))</t>
      </text>
    </comment>
    <comment ref="AD31" authorId="2" shapeId="0" xr:uid="{2E4F9A1A-695D-4FC6-B933-7BE4FE90C730}">
      <text>
        <t>[Threaded comment]
Your version of Excel allows you to read this threaded comment; however, any edits to it will get removed if the file is opened in a newer version of Excel. Learn more: https://go.microsoft.com/fwlink/?linkid=870924
Comment:
    (1-(Cdh*(1-(min⁡(CRh(Tj);1)))))</t>
      </text>
    </comment>
    <comment ref="AE31" authorId="3" shapeId="0" xr:uid="{EC2A4479-D94F-447C-A4BA-4FB6470F8A9A}">
      <text>
        <t>[Threaded comment]
Your version of Excel allows you to read this threaded comment; however, any edits to it will get removed if the file is opened in a newer version of Excel. Learn more: https://go.microsoft.com/fwlink/?linkid=870924
Comment:
    COPinf(Tj)=COPd(Tj)*Pinfh(Tj)/Pdh(Tj)   *(1-(Cdh*(1-(min⁡(CRh(Tj);1)))))</t>
      </text>
    </comment>
    <comment ref="B36" authorId="4" shapeId="0" xr:uid="{A14B49E4-AE38-4801-8038-165D4E38DB82}">
      <text>
        <r>
          <rPr>
            <b/>
            <sz val="9"/>
            <color indexed="81"/>
            <rFont val="Tahoma"/>
            <family val="2"/>
          </rPr>
          <t>Author:</t>
        </r>
        <r>
          <rPr>
            <sz val="9"/>
            <color indexed="81"/>
            <rFont val="Tahoma"/>
            <family val="2"/>
          </rPr>
          <t xml:space="preserve">
ref.design cold</t>
        </r>
      </text>
    </comment>
    <comment ref="B48" authorId="4" shapeId="0" xr:uid="{8C6D00F7-2A5F-4430-A955-0C9D95CFE912}">
      <text>
        <r>
          <rPr>
            <b/>
            <sz val="9"/>
            <color indexed="81"/>
            <rFont val="Tahoma"/>
            <family val="2"/>
          </rPr>
          <t>Author:</t>
        </r>
        <r>
          <rPr>
            <sz val="9"/>
            <color indexed="81"/>
            <rFont val="Tahoma"/>
            <family val="2"/>
          </rPr>
          <t xml:space="preserve">
ref.design avg.</t>
        </r>
      </text>
    </comment>
    <comment ref="B60" authorId="4" shapeId="0" xr:uid="{55E81D10-3EE0-4156-8361-3F10AD5677D7}">
      <text>
        <r>
          <rPr>
            <b/>
            <sz val="9"/>
            <color indexed="81"/>
            <rFont val="Tahoma"/>
            <family val="2"/>
          </rPr>
          <t>Author:</t>
        </r>
        <r>
          <rPr>
            <sz val="9"/>
            <color indexed="81"/>
            <rFont val="Tahoma"/>
            <family val="2"/>
          </rPr>
          <t xml:space="preserve">
ref.design warm</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<sst xmlns="http://schemas.openxmlformats.org/spreadsheetml/2006/main" count="1399" uniqueCount="490">
  <si>
    <t>C</t>
  </si>
  <si>
    <t>Average</t>
  </si>
  <si>
    <t>Warm</t>
  </si>
  <si>
    <t>Cold</t>
  </si>
  <si>
    <t>total hrs</t>
  </si>
  <si>
    <t>Outside air temp. ºC</t>
  </si>
  <si>
    <t>Climate condition</t>
  </si>
  <si>
    <t>E</t>
  </si>
  <si>
    <t>A</t>
  </si>
  <si>
    <t>B</t>
  </si>
  <si>
    <t>D</t>
  </si>
  <si>
    <t>Test reference</t>
  </si>
  <si>
    <t>Measured data</t>
  </si>
  <si>
    <t>A(-7)</t>
  </si>
  <si>
    <t>B(+2)</t>
  </si>
  <si>
    <t>C(+7)</t>
  </si>
  <si>
    <t>D(+12)</t>
  </si>
  <si>
    <t>E(-15)</t>
  </si>
  <si>
    <t>COPd (-/-)</t>
  </si>
  <si>
    <t>plr</t>
  </si>
  <si>
    <t>Tdesign</t>
  </si>
  <si>
    <t>CR</t>
  </si>
  <si>
    <t>Cd,h</t>
  </si>
  <si>
    <t>COPd &amp; COPbin</t>
  </si>
  <si>
    <t>Psb</t>
  </si>
  <si>
    <t>Pto</t>
  </si>
  <si>
    <t>Pck</t>
  </si>
  <si>
    <t>Poff</t>
  </si>
  <si>
    <t>kW</t>
  </si>
  <si>
    <t>SCOPon</t>
  </si>
  <si>
    <t>SCOP</t>
  </si>
  <si>
    <t>Hhe</t>
  </si>
  <si>
    <t>Hto</t>
  </si>
  <si>
    <t>Hsb</t>
  </si>
  <si>
    <t>Hck</t>
  </si>
  <si>
    <t>heating only</t>
  </si>
  <si>
    <t>Hoff</t>
  </si>
  <si>
    <t>reversible</t>
  </si>
  <si>
    <t>Qh</t>
  </si>
  <si>
    <t>Ph (kW)</t>
  </si>
  <si>
    <t>Pd,h &amp; Pbin (kW)</t>
  </si>
  <si>
    <t>Pd,h (kW)</t>
  </si>
  <si>
    <t>Qhe</t>
  </si>
  <si>
    <t>Fcorr</t>
  </si>
  <si>
    <t>eta_r,h</t>
  </si>
  <si>
    <t>pef</t>
  </si>
  <si>
    <t>Selected:</t>
  </si>
  <si>
    <t>n.a.</t>
  </si>
  <si>
    <t>Conditions</t>
  </si>
  <si>
    <t>ºC</t>
  </si>
  <si>
    <t>Pelectric</t>
  </si>
  <si>
    <t>m3/s</t>
  </si>
  <si>
    <t>part load</t>
  </si>
  <si>
    <t>-/-</t>
  </si>
  <si>
    <t>Infiltr. flow rate (m3/s)</t>
  </si>
  <si>
    <t>SD_on/off</t>
  </si>
  <si>
    <t>SD_heat only</t>
  </si>
  <si>
    <t>SD_rev</t>
  </si>
  <si>
    <t>plr (-)</t>
  </si>
  <si>
    <t>Pinf</t>
  </si>
  <si>
    <t>CRh(Tj)</t>
  </si>
  <si>
    <t>Tj</t>
  </si>
  <si>
    <t>COPbin_2(Tj)</t>
  </si>
  <si>
    <t>elbu(Tj)</t>
  </si>
  <si>
    <t>hrs</t>
  </si>
  <si>
    <t>eta_heat</t>
  </si>
  <si>
    <t>play with Thp,off</t>
  </si>
  <si>
    <t>cooling only</t>
  </si>
  <si>
    <t>Pdc</t>
  </si>
  <si>
    <t>EERd</t>
  </si>
  <si>
    <t>Qc</t>
  </si>
  <si>
    <t>Teq_SD</t>
  </si>
  <si>
    <t>PLc</t>
  </si>
  <si>
    <t>air flow (m3/s)</t>
  </si>
  <si>
    <t>Cdc</t>
  </si>
  <si>
    <t>INF35-27</t>
  </si>
  <si>
    <t>INF27-20</t>
  </si>
  <si>
    <t>bin hours</t>
  </si>
  <si>
    <t>Pc_corr(Tj)</t>
  </si>
  <si>
    <t>Pdc_corr</t>
  </si>
  <si>
    <t>Pc_corr</t>
  </si>
  <si>
    <t>j</t>
  </si>
  <si>
    <t>hj</t>
  </si>
  <si>
    <t>Pc</t>
  </si>
  <si>
    <t>EERbin</t>
  </si>
  <si>
    <t>Pc_corr/EERbin</t>
  </si>
  <si>
    <t>#</t>
  </si>
  <si>
    <t>°C</t>
  </si>
  <si>
    <t>h/a</t>
  </si>
  <si>
    <t>Pelec</t>
  </si>
  <si>
    <t>SEERon</t>
  </si>
  <si>
    <t>'on' (10/24)</t>
  </si>
  <si>
    <t>'sb' (10/24)</t>
  </si>
  <si>
    <t>SEER</t>
  </si>
  <si>
    <t>EERbin(Tj)</t>
  </si>
  <si>
    <t>kWh/y</t>
  </si>
  <si>
    <t>Aux, all</t>
  </si>
  <si>
    <t>elbu</t>
  </si>
  <si>
    <t>Lookup table for hours</t>
  </si>
  <si>
    <t>SEER portable</t>
  </si>
  <si>
    <t>Qc/Qce</t>
  </si>
  <si>
    <t>Qce</t>
  </si>
  <si>
    <t>if Tj &gt; Teq</t>
  </si>
  <si>
    <t>Pc_corr=Pdc_corr@Teq</t>
  </si>
  <si>
    <t>Pdc_corr=Pdc + Pinf</t>
  </si>
  <si>
    <t>Pdc=Prated</t>
  </si>
  <si>
    <t>Pinf, Tj&gt;27</t>
  </si>
  <si>
    <t>Pinf = (27-Tj)/(27-20) * AF*(rho27*h27 - rho20*h20)</t>
  </si>
  <si>
    <t>Pinf=(27-Tj)/(35-27)*AF*(rho35-h35 - rho27*h27)</t>
  </si>
  <si>
    <t>Pdc_corr=Pdc</t>
  </si>
  <si>
    <t>Pdc=Prated+(Pdc35-Prated)/8 * (Tj-27)</t>
  </si>
  <si>
    <t>SEERon = SUM_nj=1 (hj × Pc_corr(Tj))  /  SUM_nj=1 hj × (Pc_corr(Tj)/ EERbin(Tj)</t>
  </si>
  <si>
    <t>if on/off</t>
  </si>
  <si>
    <t>EERbin(Tj) = EERd(Tj) × (1 - Cdc × (1 - CR(Tj)))</t>
  </si>
  <si>
    <t>EERbin(Tj) = EERd(Tj) × (1 + PLc × (1 - CR(Tj)))</t>
  </si>
  <si>
    <t>EERbin(Tj) = EERd(Tj) × (1 + PLc × (1 – 0,33) × (1 - 0,25 × (1 – CR(Tj)/0,33))</t>
  </si>
  <si>
    <t>if DDport</t>
  </si>
  <si>
    <t>EERd(Tj) = EERrated + (EERd(35°C) - EERrated) / 8 × (Tj – 27 °C)</t>
  </si>
  <si>
    <t>Qc=10/24 * SUM hj*Pc_corr</t>
  </si>
  <si>
    <t>CRc=Pc_corr / Pdc_corr</t>
  </si>
  <si>
    <t>CRc</t>
  </si>
  <si>
    <t>Qce = Qc/SEERon + HTO × PTO + HSB × PSB</t>
  </si>
  <si>
    <t>Tstart</t>
  </si>
  <si>
    <t>Prated</t>
  </si>
  <si>
    <t>Pdc@Teq</t>
  </si>
  <si>
    <t>rho20</t>
  </si>
  <si>
    <t>rho27</t>
  </si>
  <si>
    <t>rho35</t>
  </si>
  <si>
    <t>h20</t>
  </si>
  <si>
    <t>h27</t>
  </si>
  <si>
    <t>h35</t>
  </si>
  <si>
    <t>kJ/kgda</t>
  </si>
  <si>
    <t>kg/m3</t>
  </si>
  <si>
    <t>Pdc_corr(Tj)</t>
  </si>
  <si>
    <t>measured</t>
  </si>
  <si>
    <t>lookup data</t>
  </si>
  <si>
    <t>calc.</t>
  </si>
  <si>
    <t>Hce</t>
  </si>
  <si>
    <t>aux.el.</t>
  </si>
  <si>
    <t>Hours/a</t>
  </si>
  <si>
    <t>eta_rh</t>
  </si>
  <si>
    <t>declared (calculated)</t>
  </si>
  <si>
    <t>P_35;100</t>
  </si>
  <si>
    <t>P_27;33</t>
  </si>
  <si>
    <t>Single duct ON/OFF</t>
  </si>
  <si>
    <t>Single duct / INVERTER</t>
  </si>
  <si>
    <t>portable DOUBLE DUCT ON/OFF</t>
  </si>
  <si>
    <t>kg/m4</t>
  </si>
  <si>
    <t>kg/m5</t>
  </si>
  <si>
    <t>Pc/EERbin</t>
  </si>
  <si>
    <t>fixed RAC (split, DD, other)</t>
  </si>
  <si>
    <t>PLc=((EERd(27°C;33%) – EERrated)/ EERrated / (Prated - Pdc(27°C;33%) / Prated</t>
  </si>
  <si>
    <r>
      <t>Pinf, Tj</t>
    </r>
    <r>
      <rPr>
        <b/>
        <u/>
        <sz val="11"/>
        <color theme="1"/>
        <rFont val="Calibri"/>
        <family val="2"/>
        <scheme val="minor"/>
      </rPr>
      <t>&lt;</t>
    </r>
    <r>
      <rPr>
        <b/>
        <sz val="11"/>
        <color theme="1"/>
        <rFont val="Calibri"/>
        <family val="2"/>
        <scheme val="minor"/>
      </rPr>
      <t>27</t>
    </r>
  </si>
  <si>
    <t>plr=(Tj-Thp,on)/(Tdesign,c-Thp,on)</t>
  </si>
  <si>
    <t>Pc=Prated*(Tj-23)/(35-23)</t>
  </si>
  <si>
    <t>Pc_corr=Pc</t>
  </si>
  <si>
    <t>Pc=BLc</t>
  </si>
  <si>
    <t>Pc=BLc=Prated*(Tj-23)/(35-23)</t>
  </si>
  <si>
    <t>Pelec=Pc/EERbin</t>
  </si>
  <si>
    <t>portable DOUBLE DUCT INVERTER</t>
  </si>
  <si>
    <t>lookup</t>
  </si>
  <si>
    <t>full load@27ºC</t>
  </si>
  <si>
    <t>full load@35ºC</t>
  </si>
  <si>
    <t>demand</t>
  </si>
  <si>
    <t>delivered</t>
  </si>
  <si>
    <t>'=IF(CR&gt;=0.33;EERd*(1+PLc*(1-CR));EERd*(1+PLc*(1-0.33))*(1-Cdc*(1-CR/0.33)))</t>
  </si>
  <si>
    <t>measured or default</t>
  </si>
  <si>
    <t>part load@27ºC</t>
  </si>
  <si>
    <t>SEER/pef * Fcorr</t>
  </si>
  <si>
    <t>Pc(Tj)=BLc</t>
  </si>
  <si>
    <r>
      <rPr>
        <b/>
        <sz val="11"/>
        <color theme="1"/>
        <rFont val="Calibri"/>
        <family val="2"/>
      </rPr>
      <t>Pdc_corr@Teq</t>
    </r>
    <r>
      <rPr>
        <sz val="11"/>
        <color theme="1"/>
        <rFont val="Calibri"/>
        <family val="2"/>
      </rPr>
      <t xml:space="preserve"> = lookup in array</t>
    </r>
  </si>
  <si>
    <r>
      <t xml:space="preserve">if Tj </t>
    </r>
    <r>
      <rPr>
        <b/>
        <u/>
        <sz val="11"/>
        <color theme="1"/>
        <rFont val="Calibri"/>
        <family val="2"/>
        <scheme val="minor"/>
      </rPr>
      <t>&lt;</t>
    </r>
    <r>
      <rPr>
        <b/>
        <sz val="11"/>
        <color theme="1"/>
        <rFont val="Calibri"/>
        <family val="2"/>
        <scheme val="minor"/>
      </rPr>
      <t xml:space="preserve"> Teq</t>
    </r>
  </si>
  <si>
    <r>
      <t>if inverter, CR</t>
    </r>
    <r>
      <rPr>
        <b/>
        <u/>
        <sz val="11"/>
        <color theme="1"/>
        <rFont val="Calibri"/>
        <family val="2"/>
        <scheme val="minor"/>
      </rPr>
      <t>&gt;</t>
    </r>
    <r>
      <rPr>
        <b/>
        <sz val="11"/>
        <color theme="1"/>
        <rFont val="Calibri"/>
        <family val="2"/>
        <scheme val="minor"/>
      </rPr>
      <t>0.33</t>
    </r>
  </si>
  <si>
    <r>
      <t>if inverter, CR</t>
    </r>
    <r>
      <rPr>
        <b/>
        <u/>
        <sz val="11"/>
        <color theme="1"/>
        <rFont val="Calibri"/>
        <family val="2"/>
        <scheme val="minor"/>
      </rPr>
      <t>&lt;</t>
    </r>
    <r>
      <rPr>
        <b/>
        <sz val="11"/>
        <color theme="1"/>
        <rFont val="Calibri"/>
        <family val="2"/>
        <scheme val="minor"/>
      </rPr>
      <t>0.33</t>
    </r>
  </si>
  <si>
    <t>Pc_corr=Pc=BLc</t>
  </si>
  <si>
    <r>
      <t>if T</t>
    </r>
    <r>
      <rPr>
        <b/>
        <vertAlign val="subscript"/>
        <sz val="12"/>
        <color theme="1"/>
        <rFont val="Times New Roman"/>
        <family val="1"/>
      </rPr>
      <t>j</t>
    </r>
    <r>
      <rPr>
        <b/>
        <sz val="12"/>
        <color theme="1"/>
        <rFont val="Times New Roman"/>
        <family val="1"/>
      </rPr>
      <t xml:space="preserve"> ≤ T</t>
    </r>
    <r>
      <rPr>
        <b/>
        <vertAlign val="subscript"/>
        <sz val="12"/>
        <color theme="1"/>
        <rFont val="Times New Roman"/>
        <family val="1"/>
      </rPr>
      <t>eq</t>
    </r>
  </si>
  <si>
    <r>
      <t>if T</t>
    </r>
    <r>
      <rPr>
        <b/>
        <vertAlign val="subscript"/>
        <sz val="12"/>
        <color theme="1"/>
        <rFont val="Times New Roman"/>
        <family val="1"/>
      </rPr>
      <t>j</t>
    </r>
    <r>
      <rPr>
        <b/>
        <sz val="12"/>
        <color theme="1"/>
        <rFont val="Times New Roman"/>
        <family val="1"/>
      </rPr>
      <t xml:space="preserve"> &gt; T</t>
    </r>
    <r>
      <rPr>
        <b/>
        <vertAlign val="subscript"/>
        <sz val="12"/>
        <color theme="1"/>
        <rFont val="Times New Roman"/>
        <family val="1"/>
      </rPr>
      <t>eq</t>
    </r>
  </si>
  <si>
    <r>
      <t>EER</t>
    </r>
    <r>
      <rPr>
        <vertAlign val="subscript"/>
        <sz val="12"/>
        <color theme="1"/>
        <rFont val="Times New Roman"/>
        <family val="1"/>
      </rPr>
      <t>d</t>
    </r>
    <r>
      <rPr>
        <sz val="12"/>
        <color theme="1"/>
        <rFont val="Times New Roman"/>
        <family val="1"/>
      </rPr>
      <t>(T</t>
    </r>
    <r>
      <rPr>
        <vertAlign val="subscript"/>
        <sz val="12"/>
        <color theme="1"/>
        <rFont val="Times New Roman"/>
        <family val="1"/>
      </rPr>
      <t>j</t>
    </r>
    <r>
      <rPr>
        <sz val="12"/>
        <color theme="1"/>
        <rFont val="Times New Roman"/>
        <family val="1"/>
      </rPr>
      <t>)</t>
    </r>
    <r>
      <rPr>
        <vertAlign val="subscript"/>
        <sz val="12"/>
        <color theme="1"/>
        <rFont val="Times New Roman"/>
        <family val="1"/>
      </rPr>
      <t xml:space="preserve"> </t>
    </r>
    <r>
      <rPr>
        <sz val="12"/>
        <color theme="1"/>
        <rFont val="Times New Roman"/>
        <family val="1"/>
      </rPr>
      <t>= P</t>
    </r>
    <r>
      <rPr>
        <vertAlign val="subscript"/>
        <sz val="12"/>
        <color theme="1"/>
        <rFont val="Times New Roman"/>
        <family val="1"/>
      </rPr>
      <t>dc_corr</t>
    </r>
    <r>
      <rPr>
        <sz val="12"/>
        <color theme="1"/>
        <rFont val="Times New Roman"/>
        <family val="1"/>
      </rPr>
      <t>(T</t>
    </r>
    <r>
      <rPr>
        <vertAlign val="subscript"/>
        <sz val="12"/>
        <color theme="1"/>
        <rFont val="Times New Roman"/>
        <family val="1"/>
      </rPr>
      <t>j</t>
    </r>
    <r>
      <rPr>
        <sz val="12"/>
        <color theme="1"/>
        <rFont val="Times New Roman"/>
        <family val="1"/>
      </rPr>
      <t>) / P</t>
    </r>
    <r>
      <rPr>
        <vertAlign val="subscript"/>
        <sz val="12"/>
        <color theme="1"/>
        <rFont val="Times New Roman"/>
        <family val="1"/>
      </rPr>
      <t>EER</t>
    </r>
  </si>
  <si>
    <r>
      <t>EER</t>
    </r>
    <r>
      <rPr>
        <vertAlign val="subscript"/>
        <sz val="12"/>
        <color theme="1"/>
        <rFont val="Times New Roman"/>
        <family val="1"/>
      </rPr>
      <t>d</t>
    </r>
    <r>
      <rPr>
        <sz val="12"/>
        <color theme="1"/>
        <rFont val="Times New Roman"/>
        <family val="1"/>
      </rPr>
      <t>(T</t>
    </r>
    <r>
      <rPr>
        <vertAlign val="subscript"/>
        <sz val="12"/>
        <color theme="1"/>
        <rFont val="Times New Roman"/>
        <family val="1"/>
      </rPr>
      <t>j</t>
    </r>
    <r>
      <rPr>
        <sz val="12"/>
        <color theme="1"/>
        <rFont val="Times New Roman"/>
        <family val="1"/>
      </rPr>
      <t>) = P</t>
    </r>
    <r>
      <rPr>
        <vertAlign val="subscript"/>
        <sz val="12"/>
        <color theme="1"/>
        <rFont val="Times New Roman"/>
        <family val="1"/>
      </rPr>
      <t>dc_corr</t>
    </r>
    <r>
      <rPr>
        <sz val="12"/>
        <color theme="1"/>
        <rFont val="Times New Roman"/>
        <family val="1"/>
      </rPr>
      <t>(T</t>
    </r>
    <r>
      <rPr>
        <vertAlign val="subscript"/>
        <sz val="12"/>
        <color theme="1"/>
        <rFont val="Times New Roman"/>
        <family val="1"/>
      </rPr>
      <t>eq</t>
    </r>
    <r>
      <rPr>
        <sz val="12"/>
        <color theme="1"/>
        <rFont val="Times New Roman"/>
        <family val="1"/>
      </rPr>
      <t>) / P</t>
    </r>
    <r>
      <rPr>
        <vertAlign val="subscript"/>
        <sz val="12"/>
        <color theme="1"/>
        <rFont val="Times New Roman"/>
        <family val="1"/>
      </rPr>
      <t>EER</t>
    </r>
  </si>
  <si>
    <r>
      <t>EER</t>
    </r>
    <r>
      <rPr>
        <vertAlign val="subscript"/>
        <sz val="12"/>
        <color theme="1"/>
        <rFont val="Times New Roman"/>
        <family val="1"/>
      </rPr>
      <t>d</t>
    </r>
    <r>
      <rPr>
        <sz val="12"/>
        <color theme="1"/>
        <rFont val="Times New Roman"/>
        <family val="1"/>
      </rPr>
      <t>(T</t>
    </r>
    <r>
      <rPr>
        <vertAlign val="subscript"/>
        <sz val="12"/>
        <color theme="1"/>
        <rFont val="Times New Roman"/>
        <family val="1"/>
      </rPr>
      <t>j</t>
    </r>
    <r>
      <rPr>
        <sz val="12"/>
        <color theme="1"/>
        <rFont val="Times New Roman"/>
        <family val="1"/>
      </rPr>
      <t>)</t>
    </r>
    <r>
      <rPr>
        <vertAlign val="subscript"/>
        <sz val="12"/>
        <color theme="1"/>
        <rFont val="Times New Roman"/>
        <family val="1"/>
      </rPr>
      <t xml:space="preserve"> </t>
    </r>
    <r>
      <rPr>
        <sz val="12"/>
        <color theme="1"/>
        <rFont val="Times New Roman"/>
        <family val="1"/>
      </rPr>
      <t>= P</t>
    </r>
    <r>
      <rPr>
        <vertAlign val="subscript"/>
        <sz val="12"/>
        <color theme="1"/>
        <rFont val="Times New Roman"/>
        <family val="1"/>
      </rPr>
      <t>dc_corr</t>
    </r>
    <r>
      <rPr>
        <sz val="12"/>
        <color theme="1"/>
        <rFont val="Times New Roman"/>
        <family val="1"/>
      </rPr>
      <t>(T</t>
    </r>
    <r>
      <rPr>
        <vertAlign val="subscript"/>
        <sz val="12"/>
        <color theme="1"/>
        <rFont val="Times New Roman"/>
        <family val="1"/>
      </rPr>
      <t>j</t>
    </r>
    <r>
      <rPr>
        <sz val="12"/>
        <color theme="1"/>
        <rFont val="Times New Roman"/>
        <family val="1"/>
      </rPr>
      <t>) / (Prated/EERrated)</t>
    </r>
  </si>
  <si>
    <r>
      <t>EER</t>
    </r>
    <r>
      <rPr>
        <vertAlign val="subscript"/>
        <sz val="12"/>
        <color theme="1"/>
        <rFont val="Times New Roman"/>
        <family val="1"/>
      </rPr>
      <t>d</t>
    </r>
    <r>
      <rPr>
        <sz val="12"/>
        <color theme="1"/>
        <rFont val="Times New Roman"/>
        <family val="1"/>
      </rPr>
      <t>(T</t>
    </r>
    <r>
      <rPr>
        <vertAlign val="subscript"/>
        <sz val="12"/>
        <color theme="1"/>
        <rFont val="Times New Roman"/>
        <family val="1"/>
      </rPr>
      <t>j</t>
    </r>
    <r>
      <rPr>
        <sz val="12"/>
        <color theme="1"/>
        <rFont val="Times New Roman"/>
        <family val="1"/>
      </rPr>
      <t>) = P</t>
    </r>
    <r>
      <rPr>
        <vertAlign val="subscript"/>
        <sz val="12"/>
        <color theme="1"/>
        <rFont val="Times New Roman"/>
        <family val="1"/>
      </rPr>
      <t>dc_corr</t>
    </r>
    <r>
      <rPr>
        <sz val="12"/>
        <color theme="1"/>
        <rFont val="Times New Roman"/>
        <family val="1"/>
      </rPr>
      <t>(T</t>
    </r>
    <r>
      <rPr>
        <vertAlign val="subscript"/>
        <sz val="12"/>
        <color theme="1"/>
        <rFont val="Times New Roman"/>
        <family val="1"/>
      </rPr>
      <t>eq</t>
    </r>
    <r>
      <rPr>
        <sz val="12"/>
        <color theme="1"/>
        <rFont val="Times New Roman"/>
        <family val="1"/>
      </rPr>
      <t>) / (Prated/EERrated)</t>
    </r>
  </si>
  <si>
    <t>(n.a.)</t>
  </si>
  <si>
    <t>EER</t>
  </si>
  <si>
    <t>P</t>
  </si>
  <si>
    <t>@Tj</t>
  </si>
  <si>
    <t>Pdesign</t>
  </si>
  <si>
    <t>A_Pdesign</t>
  </si>
  <si>
    <t>B_</t>
  </si>
  <si>
    <t>C_</t>
  </si>
  <si>
    <t>D_</t>
  </si>
  <si>
    <t>condition</t>
  </si>
  <si>
    <t>Qc=Pdesign*Hce</t>
  </si>
  <si>
    <t>on/off</t>
  </si>
  <si>
    <t>variable</t>
  </si>
  <si>
    <t>select</t>
  </si>
  <si>
    <t>&lt;---</t>
  </si>
  <si>
    <t>Measured values for on/off or inverter</t>
  </si>
  <si>
    <t>inter- and extrapolations</t>
  </si>
  <si>
    <t>inter- and extrapolations (beyond A or D the EER value is fixed to closest)</t>
  </si>
  <si>
    <t>actually, if EERd is within 10%, EERd may be used.</t>
  </si>
  <si>
    <t>Qce = Qc/SEERon + HTO × PTO + HSB × PSB + Pck*Hck + Poff*Hoff</t>
  </si>
  <si>
    <t>P_27;100</t>
  </si>
  <si>
    <t>conditions</t>
  </si>
  <si>
    <t>(-)</t>
  </si>
  <si>
    <t>hrs/y</t>
  </si>
  <si>
    <t>Phe</t>
  </si>
  <si>
    <t>(_)</t>
  </si>
  <si>
    <t>selected</t>
  </si>
  <si>
    <t>{(Ph-Pbu)/ COPbin} + Pbu</t>
  </si>
  <si>
    <t>check INF</t>
  </si>
  <si>
    <t>Demand</t>
  </si>
  <si>
    <t>Delivered</t>
  </si>
  <si>
    <t>Heat demand</t>
  </si>
  <si>
    <t>cycling loss</t>
  </si>
  <si>
    <t>Evap. inlet</t>
  </si>
  <si>
    <t>F</t>
  </si>
  <si>
    <t>ºF</t>
  </si>
  <si>
    <t>Capacity</t>
  </si>
  <si>
    <t>ft</t>
  </si>
  <si>
    <t>m</t>
  </si>
  <si>
    <t xml:space="preserve">Outer diameter duct </t>
  </si>
  <si>
    <t>Area</t>
  </si>
  <si>
    <t>ft2</t>
  </si>
  <si>
    <t>Btu/h per ft2</t>
  </si>
  <si>
    <t>conv.coeff.</t>
  </si>
  <si>
    <t>Avg surface temp</t>
  </si>
  <si>
    <t>W</t>
  </si>
  <si>
    <t>BTUh</t>
  </si>
  <si>
    <t>"outdoor" side</t>
  </si>
  <si>
    <t>Cond. inlet</t>
  </si>
  <si>
    <t>"indoor" side</t>
  </si>
  <si>
    <t>Appendix CC to Subpart B of Part 430 - Uniform Test Method for Measuring the Energy Consumption of Portable Air Conditioners</t>
  </si>
  <si>
    <t>Avg. evap inlet temp Tei</t>
  </si>
  <si>
    <t>Qduct_SD</t>
  </si>
  <si>
    <t>Condition_SD</t>
  </si>
  <si>
    <t>Qduct_83</t>
  </si>
  <si>
    <t>Qduct_95</t>
  </si>
  <si>
    <t>Condition_B/83</t>
  </si>
  <si>
    <t>Condition_A/95</t>
  </si>
  <si>
    <t>Inlet duct</t>
  </si>
  <si>
    <t>Outlet duct</t>
  </si>
  <si>
    <t>Length duct</t>
  </si>
  <si>
    <t>single outlet duct</t>
  </si>
  <si>
    <t>Section 4.1.1 Duct Heat Transfer</t>
  </si>
  <si>
    <t>Section 4.1.2 Infiltration Air Heat Transfer</t>
  </si>
  <si>
    <t>lb/m</t>
  </si>
  <si>
    <t>dry air mass flow rate m_xx</t>
  </si>
  <si>
    <t>Vco_SD</t>
  </si>
  <si>
    <t>pco_SD</t>
  </si>
  <si>
    <t>wco_SD</t>
  </si>
  <si>
    <t>cfm</t>
  </si>
  <si>
    <t>lbm/ft3</t>
  </si>
  <si>
    <t>lbw/lbda</t>
  </si>
  <si>
    <t>m3/h</t>
  </si>
  <si>
    <t>Bin</t>
  </si>
  <si>
    <t>rho dry air 1 atm (kg/m3)</t>
  </si>
  <si>
    <t>=-0.004957*B2+1.296174</t>
  </si>
  <si>
    <t>Air density at 80 F and 14.7 psia:</t>
  </si>
  <si>
    <t>0.009825       lbm/gal(US liq)</t>
  </si>
  <si>
    <t>2.284x10-3 sl/ ft3</t>
  </si>
  <si>
    <t>Air density at 70 F and 14.7 psia:</t>
  </si>
  <si>
    <t>0.010009       lbm/gal(US liq)</t>
  </si>
  <si>
    <t>2.327x10-3 sl/ ft3</t>
  </si>
  <si>
    <t>Air density at 60 F and 14.7 psia:</t>
  </si>
  <si>
    <t>0.010201       lbm/gal(US liq)</t>
  </si>
  <si>
    <t>2.372x10-3 sl/ ft3</t>
  </si>
  <si>
    <t>Air density at 90 F and 14.7 psia:</t>
  </si>
  <si>
    <t>0.009647       lbm/gal(US liq)</t>
  </si>
  <si>
    <t>2.243x10-3 sl/ ft3</t>
  </si>
  <si>
    <t>Air density at 100 F and 14.7 psia:</t>
  </si>
  <si>
    <t>0.009476       lbm/gal(US liq)</t>
  </si>
  <si>
    <t>2.203x10-3 sl/ ft3</t>
  </si>
  <si>
    <t>Air density (lbm/ft3)</t>
  </si>
  <si>
    <t>Air density (kg/m3)</t>
  </si>
  <si>
    <t>kg/m3 to lbm/ft3</t>
  </si>
  <si>
    <t>LINEST (ºC to lbm/ft3)</t>
  </si>
  <si>
    <t>kgW/kgDA</t>
  </si>
  <si>
    <t>_ci_95</t>
  </si>
  <si>
    <t>_co_95</t>
  </si>
  <si>
    <t>_ci_83</t>
  </si>
  <si>
    <t>_co_83</t>
  </si>
  <si>
    <t>per in/outlet</t>
  </si>
  <si>
    <t>mSD</t>
  </si>
  <si>
    <t>m83</t>
  </si>
  <si>
    <t>m95</t>
  </si>
  <si>
    <t>sensible component of infiltration air heat contribution</t>
  </si>
  <si>
    <t>Cp_da</t>
  </si>
  <si>
    <t>Btu/lbm-ºF</t>
  </si>
  <si>
    <t>Cp_wv</t>
  </si>
  <si>
    <t>Specific heat of dry air</t>
  </si>
  <si>
    <t>Specific heat of water vapor</t>
  </si>
  <si>
    <t>Tindoor</t>
  </si>
  <si>
    <t>Infiltration air temperature</t>
  </si>
  <si>
    <t>Tia_xx</t>
  </si>
  <si>
    <t>humidity ratio indoor air</t>
  </si>
  <si>
    <t>conversion min to hr</t>
  </si>
  <si>
    <t>Btu/h</t>
  </si>
  <si>
    <t>Hfg</t>
  </si>
  <si>
    <t>latent heat of evaporation</t>
  </si>
  <si>
    <t>Btu/lb</t>
  </si>
  <si>
    <t>humidity ratio db infiltration air</t>
  </si>
  <si>
    <t>wia_xx</t>
  </si>
  <si>
    <t>windoor</t>
  </si>
  <si>
    <t>[conv.]</t>
  </si>
  <si>
    <t>Ql_xx</t>
  </si>
  <si>
    <t>latent heat contribution</t>
  </si>
  <si>
    <t>total heat contribution</t>
  </si>
  <si>
    <t>Qinfiltration_xx</t>
  </si>
  <si>
    <t>Qs_xx</t>
  </si>
  <si>
    <t>Qs_95</t>
  </si>
  <si>
    <t>Qs_83</t>
  </si>
  <si>
    <t>Vxx_xx</t>
  </si>
  <si>
    <t>pxx_xx</t>
  </si>
  <si>
    <t>wxx_xx</t>
  </si>
  <si>
    <t>Qduct_xx</t>
  </si>
  <si>
    <t>Avg surface temp Tduct_xx_j</t>
  </si>
  <si>
    <t>dry air mass flow rate</t>
  </si>
  <si>
    <t>unit</t>
  </si>
  <si>
    <t>parameter</t>
  </si>
  <si>
    <t>description</t>
  </si>
  <si>
    <t>inlet air temperature</t>
  </si>
  <si>
    <t>air temperature</t>
  </si>
  <si>
    <t xml:space="preserve">DOUBLE DUCT USA DOE </t>
  </si>
  <si>
    <t>negative means some air is 'lost' (stayed inside)</t>
  </si>
  <si>
    <t>m_xx</t>
  </si>
  <si>
    <t>--&gt;</t>
  </si>
  <si>
    <t>Calculation of infiltration losses for 2 conditions 95 and 83</t>
  </si>
  <si>
    <t>Ql_95</t>
  </si>
  <si>
    <t>Ql_83</t>
  </si>
  <si>
    <t>Qinfiltration_95</t>
  </si>
  <si>
    <t>Qinfiltration_83</t>
  </si>
  <si>
    <t>adjusted cooling capacity</t>
  </si>
  <si>
    <t>ACC_xx</t>
  </si>
  <si>
    <t>ACC_95</t>
  </si>
  <si>
    <t>ACC_83</t>
  </si>
  <si>
    <t>seasonally adjusted cooling capacity</t>
  </si>
  <si>
    <t>SACC_xx</t>
  </si>
  <si>
    <t>SACC</t>
  </si>
  <si>
    <t>difference to uncorrected</t>
  </si>
  <si>
    <t>weighted 20/80</t>
  </si>
  <si>
    <t>Power consumption cooling mode</t>
  </si>
  <si>
    <t>Cooling mode_xx_xx</t>
  </si>
  <si>
    <t>Cooling capacity</t>
  </si>
  <si>
    <t>Efficiency</t>
  </si>
  <si>
    <t>Power input</t>
  </si>
  <si>
    <t>W_elec</t>
  </si>
  <si>
    <t>Power consumption off cycle</t>
  </si>
  <si>
    <t>Power consumption inactive or off</t>
  </si>
  <si>
    <t>off cycle</t>
  </si>
  <si>
    <t>inactive/off</t>
  </si>
  <si>
    <t>Annual operating hours</t>
  </si>
  <si>
    <t>Cooling</t>
  </si>
  <si>
    <t>Annual energy consumption</t>
  </si>
  <si>
    <t>kWh/a</t>
  </si>
  <si>
    <t>AECt (excl. cooling)</t>
  </si>
  <si>
    <t>AECm (each mode)</t>
  </si>
  <si>
    <t>CEER_SD</t>
  </si>
  <si>
    <t>CEER_95</t>
  </si>
  <si>
    <t>CEER_83</t>
  </si>
  <si>
    <t>CEER_xx</t>
  </si>
  <si>
    <t>combined energy efficiency ratio</t>
  </si>
  <si>
    <t>Btu/Wh</t>
  </si>
  <si>
    <t>Section 5. Calculation of derived results from test measurements</t>
  </si>
  <si>
    <t>5.1 Adjusted cooling capacity</t>
  </si>
  <si>
    <t>5.2 Seasonally adjusted cooling capacity</t>
  </si>
  <si>
    <t>5.3 Annual energy consumption</t>
  </si>
  <si>
    <t>5.3 Combined energy efficiency ratio</t>
  </si>
  <si>
    <t>AEC_cooling</t>
  </si>
  <si>
    <t>Btu/W</t>
  </si>
  <si>
    <t>unadjusted efficiency</t>
  </si>
  <si>
    <t>COOLING of FIXED RAC (split, DD's, other)</t>
  </si>
  <si>
    <t xml:space="preserve">COOLING of SINGLE DUCT USA DOE </t>
  </si>
  <si>
    <t>COOLING of SINGLE DUCT ON/OFF</t>
  </si>
  <si>
    <t>COOLING of SINGLE DUCT INVERTER</t>
  </si>
  <si>
    <t>Note: values copied from SD on/off</t>
  </si>
  <si>
    <t>Section 4.1 Cooling mode</t>
  </si>
  <si>
    <t>4.2 Off cycle mode</t>
  </si>
  <si>
    <t>4.3 Standby and off mode</t>
  </si>
  <si>
    <t>[describes measurement method - calculation follows in Section 5.2]</t>
  </si>
  <si>
    <t>California CEER criteria</t>
  </si>
  <si>
    <t>CEERlimit</t>
  </si>
  <si>
    <t>https://energycodeace.com/download/33997/file_path/fieldList/T20%20Portable%20ACs%20Fact%20Sheet</t>
  </si>
  <si>
    <t>Tduct_xx</t>
  </si>
  <si>
    <t>Tei</t>
  </si>
  <si>
    <t>Avg. evap inlet temp</t>
  </si>
  <si>
    <t>h</t>
  </si>
  <si>
    <t>cond. inlet</t>
  </si>
  <si>
    <t>cond. outlet</t>
  </si>
  <si>
    <t>Air density</t>
  </si>
  <si>
    <t>Air flow</t>
  </si>
  <si>
    <t>Air humidity</t>
  </si>
  <si>
    <t>https://ecocostsavings.com/portable-ac-wattage-most-efficient/</t>
  </si>
  <si>
    <t>[Note: close to average EER of SD of 9.0 (most common 9.7, highest 12.2, lowest 1.58 #??)</t>
  </si>
  <si>
    <t>Note: average is 7.5</t>
  </si>
  <si>
    <t>Output</t>
  </si>
  <si>
    <t>convert to SI</t>
  </si>
  <si>
    <t>Note: Estimates - Changing factor above makes a big difference in CEER</t>
  </si>
  <si>
    <t>Use 0.97 for CEER 7.5 (average)</t>
  </si>
  <si>
    <t>EER_USA</t>
  </si>
  <si>
    <t>EER_EU</t>
  </si>
  <si>
    <t>CEER/EER ratio</t>
  </si>
  <si>
    <t>ratio</t>
  </si>
  <si>
    <t>Cooling capacity in SI</t>
  </si>
  <si>
    <t>Figure below:  calculation Teq. for SD</t>
  </si>
  <si>
    <t>SD_inv</t>
  </si>
  <si>
    <t>DD_on/off</t>
  </si>
  <si>
    <t>DD_inv</t>
  </si>
  <si>
    <t>fixed</t>
  </si>
  <si>
    <t>USA_SD</t>
  </si>
  <si>
    <t>USA_DD</t>
  </si>
  <si>
    <t>ratio SEER/EER:</t>
  </si>
  <si>
    <t>@Tj ºC</t>
  </si>
  <si>
    <t>Pd,h_corr (kW)</t>
  </si>
  <si>
    <t>Pd,h_corr</t>
  </si>
  <si>
    <t>Pinf_loss</t>
  </si>
  <si>
    <t>Pinf_loss = flow rate*1.006*((-0.005*Tj +1.3)*Tj - 24))</t>
  </si>
  <si>
    <t>for Tj&gt; Thp,off, else '0'</t>
  </si>
  <si>
    <t>Max(Thp,off;Tdesign)</t>
  </si>
  <si>
    <t>inverter</t>
  </si>
  <si>
    <t>Pinf_loss (kW)</t>
  </si>
  <si>
    <t>COPbin</t>
  </si>
  <si>
    <t>COPd(Tj)</t>
  </si>
  <si>
    <t>Note: Outlet air assumed +5K higher than inlet (from outdoor)</t>
  </si>
  <si>
    <t>Note: assumed inlet air (from outdoor) has higher rel.humidity than outlet air (to outdoor) because inlet is lower temperature</t>
  </si>
  <si>
    <t>Note: estimated</t>
  </si>
  <si>
    <t>other</t>
  </si>
  <si>
    <t>climate</t>
  </si>
  <si>
    <t>Param.</t>
  </si>
  <si>
    <t>DD</t>
  </si>
  <si>
    <t>load at 7ºC</t>
  </si>
  <si>
    <t>(hj*{(Ph-elbu)/COPinf + elbu} = Pelec (HP+BU)</t>
  </si>
  <si>
    <t>on/off or reversible values</t>
  </si>
  <si>
    <t>virtual COP</t>
  </si>
  <si>
    <t>Pel_HP</t>
  </si>
  <si>
    <t>Perf. ratio</t>
  </si>
  <si>
    <t>Performance ratio</t>
  </si>
  <si>
    <t>CRh</t>
  </si>
  <si>
    <t>FIXED RAC (Splits, Double Ducts, other non-SD)</t>
  </si>
  <si>
    <t>Info: Temperature for COP&lt;1</t>
  </si>
  <si>
    <t>Share bin in total demand</t>
  </si>
  <si>
    <t xml:space="preserve">PR(Tj) </t>
  </si>
  <si>
    <t>for Tj&gt;</t>
  </si>
  <si>
    <t>PR(max)</t>
  </si>
  <si>
    <t>PR(max) = max (Thp,off or Tdesign)</t>
  </si>
  <si>
    <t>h(Tj)</t>
  </si>
  <si>
    <t>plr=(16-Tj)/(16-Tdesign))</t>
  </si>
  <si>
    <t>Ph</t>
  </si>
  <si>
    <t>Ph=Pdesign*plt(Tj)</t>
  </si>
  <si>
    <t>part load ratio</t>
  </si>
  <si>
    <t>Pd,h &amp; Pbin (inter/extrapolation)</t>
  </si>
  <si>
    <t>Pd,h = Prated = Pfull load</t>
  </si>
  <si>
    <t>if inverter</t>
  </si>
  <si>
    <t>Tfull load=MAX Thp,off or Tdesign</t>
  </si>
  <si>
    <t>(only for Tj&lt;Tmax)</t>
  </si>
  <si>
    <t>Pdh= interpolation between Pfull and Ppartload, with Ppartload as minimum (MAX-interpolate or Ppartload)</t>
  </si>
  <si>
    <t>Pd,h(Tj) + Pinf_loss(Tj)</t>
  </si>
  <si>
    <t xml:space="preserve">COPd(Tj) </t>
  </si>
  <si>
    <t>COPd= interpolation between COPfull and COPpartload, with COPpartload as minimum (MAX-interpolate or Ppartload)</t>
  </si>
  <si>
    <t>COPd=COPfull</t>
  </si>
  <si>
    <t>CR_Tj) = Pd,h(Tj)  / Ph(Tj)</t>
  </si>
  <si>
    <t>cylingc correction</t>
  </si>
  <si>
    <t>1-(CDh*(1-CR(tj))</t>
  </si>
  <si>
    <t>COPbin(Tj) = COPd(Tj)*cycling*(Pd,h_corr/Pd,h)</t>
  </si>
  <si>
    <t>elbu(Tj)=Ph-Pd,h_corr</t>
  </si>
  <si>
    <t>Pel_hp</t>
  </si>
  <si>
    <t>Pel_hp(Tj) = Pd,h_corr/COPbin(Tj)</t>
  </si>
  <si>
    <r>
      <t>PR(Tj) = (Tj-16)/(</t>
    </r>
    <r>
      <rPr>
        <b/>
        <sz val="11"/>
        <color theme="1"/>
        <rFont val="Calibri"/>
        <family val="2"/>
      </rPr>
      <t>PR(max)</t>
    </r>
    <r>
      <rPr>
        <sz val="11"/>
        <color theme="1"/>
        <rFont val="Calibri"/>
        <family val="2"/>
      </rPr>
      <t>-16)</t>
    </r>
  </si>
  <si>
    <t>Check DeLonghi</t>
  </si>
  <si>
    <t>w_indoor</t>
  </si>
  <si>
    <t>w_ia_xx</t>
  </si>
  <si>
    <t>Bin hours for Hhe</t>
  </si>
  <si>
    <t xml:space="preserve">California Criteria </t>
  </si>
  <si>
    <t>SINGLE DUCT RAC</t>
  </si>
  <si>
    <t>Type of RAC:</t>
  </si>
  <si>
    <t>Input area:</t>
  </si>
  <si>
    <t>Output area</t>
  </si>
  <si>
    <t>calculated results</t>
  </si>
  <si>
    <t>inputs from test / measurement</t>
  </si>
  <si>
    <t>intermediate calculations</t>
  </si>
  <si>
    <t>cooling only (h/a)</t>
  </si>
  <si>
    <t>Throughput area (bins)</t>
  </si>
  <si>
    <r>
      <rPr>
        <b/>
        <sz val="11"/>
        <color rgb="FFFF0000"/>
        <rFont val="Calibri"/>
        <family val="2"/>
      </rPr>
      <t xml:space="preserve">SELECT-&gt; </t>
    </r>
    <r>
      <rPr>
        <b/>
        <sz val="11"/>
        <color theme="1"/>
        <rFont val="Calibri"/>
        <family val="2"/>
      </rPr>
      <t>On/off or inverter?</t>
    </r>
  </si>
  <si>
    <r>
      <rPr>
        <b/>
        <sz val="11"/>
        <color rgb="FFFF0000"/>
        <rFont val="Calibri"/>
        <family val="2"/>
      </rPr>
      <t>SELECT -&gt;</t>
    </r>
    <r>
      <rPr>
        <b/>
        <sz val="11"/>
        <color theme="1"/>
        <rFont val="Calibri"/>
        <family val="2"/>
      </rPr>
      <t xml:space="preserve"> reversible or heat only?</t>
    </r>
  </si>
  <si>
    <r>
      <rPr>
        <b/>
        <sz val="11"/>
        <color rgb="FFFF0000"/>
        <rFont val="Calibri"/>
        <family val="2"/>
      </rPr>
      <t>SELECT -&gt;</t>
    </r>
    <r>
      <rPr>
        <b/>
        <sz val="11"/>
        <color theme="1"/>
        <rFont val="Calibri"/>
        <family val="2"/>
      </rPr>
      <t xml:space="preserve"> Climate</t>
    </r>
  </si>
  <si>
    <t>Lookup values</t>
  </si>
  <si>
    <t>toggle for Thp,off</t>
  </si>
  <si>
    <t>for testing various settings</t>
  </si>
  <si>
    <t>SELECT option</t>
  </si>
  <si>
    <t>If eta_heat is &lt; 47.6% it is less efficient than an electric LSH</t>
  </si>
  <si>
    <r>
      <rPr>
        <sz val="20"/>
        <color theme="1"/>
        <rFont val="Wingdings"/>
        <charset val="2"/>
      </rPr>
      <t>â</t>
    </r>
    <r>
      <rPr>
        <sz val="12"/>
        <color theme="1"/>
        <rFont val="Calibri"/>
        <family val="2"/>
      </rPr>
      <t xml:space="preserve"> </t>
    </r>
    <r>
      <rPr>
        <sz val="20"/>
        <color theme="1"/>
        <rFont val="Calibri"/>
        <family val="2"/>
        <scheme val="minor"/>
      </rPr>
      <t>GENERAL INSTRUCTIONS FOR USE</t>
    </r>
    <r>
      <rPr>
        <sz val="20"/>
        <color theme="1"/>
        <rFont val="Calibri"/>
        <family val="2"/>
        <charset val="2"/>
        <scheme val="minor"/>
      </rPr>
      <t xml:space="preserve">. 
</t>
    </r>
    <r>
      <rPr>
        <sz val="20"/>
        <color rgb="FFFF0000"/>
        <rFont val="Calibri"/>
        <family val="2"/>
        <scheme val="minor"/>
      </rPr>
      <t xml:space="preserve">NOTE: this workbook was not intended as official EC deliverable. Names of parameters and methods used may diverge from the Working Document distributed for presentation on 24 June 2022. </t>
    </r>
    <r>
      <rPr>
        <sz val="20"/>
        <color theme="1"/>
        <rFont val="Calibri"/>
        <family val="2"/>
        <charset val="2"/>
        <scheme val="minor"/>
      </rPr>
      <t xml:space="preserve">
</t>
    </r>
    <r>
      <rPr>
        <sz val="20"/>
        <color theme="0"/>
        <rFont val="Calibri"/>
        <family val="2"/>
        <scheme val="minor"/>
      </rPr>
      <t>***</t>
    </r>
    <r>
      <rPr>
        <sz val="20"/>
        <color theme="1"/>
        <rFont val="Calibri"/>
        <family val="2"/>
        <charset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</si>
</sst>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00"/>
    <numFmt numFmtId="166" formatCode="0.0%"/>
    <numFmt numFmtId="167" formatCode="0.0000"/>
  </numFmts>
  <fonts count="70">
    <font>
      <sz val="11"/>
      <color theme="1"/>
      <name val="Calibri"/>
      <family val="2"/>
    </font>
    <font>
      <sz val="11"/>
      <color theme="1"/>
      <name val="Calibri"/>
      <family val="2"/>
    </font>
    <font>
      <b/>
      <sz val="11"/>
      <color theme="1"/>
      <name val="Calibri"/>
      <family val="2"/>
    </font>
    <font>
      <sz val="10"/>
      <name val="Arial"/>
      <family val="2"/>
    </font>
    <font>
      <sz val="11"/>
      <name val="Calibri"/>
      <family val="2"/>
    </font>
    <font>
      <b/>
      <sz val="9"/>
      <color indexed="81"/>
      <name val="Tahoma"/>
      <family val="2"/>
    </font>
    <font>
      <sz val="9"/>
      <color indexed="81"/>
      <name val="Tahoma"/>
      <family val="2"/>
    </font>
    <font>
      <b/>
      <sz val="11"/>
      <name val="Calibri"/>
      <family val="2"/>
    </font>
    <font>
      <sz val="9"/>
      <name val="Calibri"/>
      <family val="2"/>
    </font>
    <font>
      <b/>
      <sz val="9"/>
      <color theme="1"/>
      <name val="Calibri"/>
      <family val="2"/>
    </font>
    <font>
      <b/>
      <sz val="9"/>
      <name val="Calibri"/>
      <family val="2"/>
    </font>
    <font>
      <sz val="11"/>
      <color theme="1" tint="0.499984740745262"/>
      <name val="Calibri"/>
      <family val="2"/>
    </font>
    <font>
      <b/>
      <sz val="10"/>
      <color theme="1"/>
      <name val="Calibri"/>
      <family val="2"/>
    </font>
    <font>
      <b/>
      <sz val="20"/>
      <color theme="1"/>
      <name val="Calibri"/>
      <family val="2"/>
    </font>
    <font>
      <sz val="11"/>
      <color rgb="FFFF0000"/>
      <name val="Calibri"/>
      <family val="2"/>
    </font>
    <font>
      <sz val="9"/>
      <color theme="0" tint="-0.499984740745262"/>
      <name val="Calibri"/>
      <family val="2"/>
    </font>
    <font>
      <sz val="11"/>
      <color theme="0" tint="-0.499984740745262"/>
      <name val="Calibri"/>
      <family val="2"/>
    </font>
    <font>
      <sz val="11"/>
      <color theme="1"/>
      <name val="Calibri"/>
      <family val="2"/>
      <scheme val="minor"/>
    </font>
    <font>
      <b/>
      <sz val="11"/>
      <color theme="1"/>
      <name val="Calibri"/>
      <family val="2"/>
      <scheme val="minor"/>
    </font>
    <font>
      <sz val="11"/>
      <name val="Calibri"/>
      <family val="2"/>
      <scheme val="minor"/>
    </font>
    <font>
      <sz val="11"/>
      <color theme="0" tint="-0.249977111117893"/>
      <name val="Calibri"/>
      <family val="2"/>
      <scheme val="minor"/>
    </font>
    <font>
      <sz val="11"/>
      <color theme="0" tint="-0.499984740745262"/>
      <name val="Calibri"/>
      <family val="2"/>
      <scheme val="minor"/>
    </font>
    <font>
      <b/>
      <sz val="11"/>
      <color theme="0" tint="-0.499984740745262"/>
      <name val="Calibri"/>
      <family val="2"/>
      <scheme val="minor"/>
    </font>
    <font>
      <sz val="9"/>
      <color theme="0" tint="-0.499984740745262"/>
      <name val="Calibri"/>
      <family val="2"/>
      <scheme val="minor"/>
    </font>
    <font>
      <sz val="11"/>
      <color rgb="FF0070C0"/>
      <name val="Calibri"/>
      <family val="2"/>
      <scheme val="minor"/>
    </font>
    <font>
      <b/>
      <sz val="20"/>
      <color theme="1"/>
      <name val="Calibri"/>
      <family val="2"/>
      <scheme val="minor"/>
    </font>
    <font>
      <sz val="11"/>
      <color theme="1" tint="0.499984740745262"/>
      <name val="Calibri"/>
      <family val="2"/>
      <scheme val="minor"/>
    </font>
    <font>
      <b/>
      <sz val="11"/>
      <color theme="0" tint="-0.34998626667073579"/>
      <name val="Calibri"/>
      <family val="2"/>
      <scheme val="minor"/>
    </font>
    <font>
      <sz val="11"/>
      <color theme="0" tint="-0.34998626667073579"/>
      <name val="Calibri"/>
      <family val="2"/>
      <scheme val="minor"/>
    </font>
    <font>
      <sz val="11"/>
      <color rgb="FFFF0000"/>
      <name val="Calibri"/>
      <family val="2"/>
      <scheme val="minor"/>
    </font>
    <font>
      <b/>
      <sz val="16"/>
      <color theme="1"/>
      <name val="Calibri"/>
      <family val="2"/>
    </font>
    <font>
      <sz val="8"/>
      <name val="Calibri"/>
      <family val="2"/>
    </font>
    <font>
      <b/>
      <sz val="11"/>
      <name val="Calibri"/>
      <family val="2"/>
      <scheme val="minor"/>
    </font>
    <font>
      <sz val="11"/>
      <color theme="8" tint="-0.249977111117893"/>
      <name val="Calibri"/>
      <family val="2"/>
    </font>
    <font>
      <sz val="11"/>
      <color theme="0" tint="-0.14999847407452621"/>
      <name val="Calibri"/>
      <family val="2"/>
      <scheme val="minor"/>
    </font>
    <font>
      <b/>
      <u/>
      <sz val="11"/>
      <color theme="1"/>
      <name val="Calibri"/>
      <family val="2"/>
      <scheme val="minor"/>
    </font>
    <font>
      <b/>
      <sz val="11"/>
      <color theme="0" tint="-0.249977111117893"/>
      <name val="Calibri"/>
      <family val="2"/>
      <scheme val="minor"/>
    </font>
    <font>
      <u/>
      <sz val="11"/>
      <color theme="10"/>
      <name val="Calibri"/>
      <family val="2"/>
    </font>
    <font>
      <sz val="12"/>
      <color theme="1"/>
      <name val="Times New Roman"/>
      <family val="1"/>
    </font>
    <font>
      <vertAlign val="subscript"/>
      <sz val="12"/>
      <color theme="1"/>
      <name val="Times New Roman"/>
      <family val="1"/>
    </font>
    <font>
      <b/>
      <sz val="12"/>
      <color theme="1"/>
      <name val="Times New Roman"/>
      <family val="1"/>
    </font>
    <font>
      <b/>
      <vertAlign val="subscript"/>
      <sz val="12"/>
      <color theme="1"/>
      <name val="Times New Roman"/>
      <family val="1"/>
    </font>
    <font>
      <b/>
      <sz val="10"/>
      <name val="Calibri"/>
      <family val="2"/>
      <scheme val="minor"/>
    </font>
    <font>
      <b/>
      <sz val="14"/>
      <color theme="1"/>
      <name val="Calibri"/>
      <family val="2"/>
      <scheme val="minor"/>
    </font>
    <font>
      <sz val="11"/>
      <color theme="0"/>
      <name val="Calibri"/>
      <family val="2"/>
      <scheme val="minor"/>
    </font>
    <font>
      <b/>
      <sz val="14"/>
      <color theme="1"/>
      <name val="Calibri"/>
      <family val="2"/>
    </font>
    <font>
      <sz val="11"/>
      <color rgb="FF002060"/>
      <name val="Calibri"/>
      <family val="2"/>
      <scheme val="minor"/>
    </font>
    <font>
      <b/>
      <sz val="11"/>
      <color theme="1" tint="0.499984740745262"/>
      <name val="Calibri"/>
      <family val="2"/>
    </font>
    <font>
      <sz val="9"/>
      <color theme="1"/>
      <name val="Calibri"/>
      <family val="2"/>
      <scheme val="minor"/>
    </font>
    <font>
      <sz val="9"/>
      <color theme="0" tint="-0.34998626667073579"/>
      <name val="Calibri"/>
      <family val="2"/>
      <scheme val="minor"/>
    </font>
    <font>
      <b/>
      <sz val="9"/>
      <color theme="1"/>
      <name val="Calibri"/>
      <family val="2"/>
      <scheme val="minor"/>
    </font>
    <font>
      <sz val="20"/>
      <color theme="1"/>
      <name val="Calibri"/>
      <family val="2"/>
      <scheme val="minor"/>
    </font>
    <font>
      <b/>
      <sz val="9"/>
      <color theme="0" tint="-0.499984740745262"/>
      <name val="Calibri"/>
      <family val="2"/>
      <scheme val="minor"/>
    </font>
    <font>
      <b/>
      <sz val="14"/>
      <color rgb="FF0070C0"/>
      <name val="Calibri"/>
      <family val="2"/>
      <scheme val="minor"/>
    </font>
    <font>
      <u/>
      <sz val="11"/>
      <color rgb="FFFF00FF"/>
      <name val="Calibri"/>
      <family val="2"/>
    </font>
    <font>
      <b/>
      <sz val="18"/>
      <color theme="1"/>
      <name val="Calibri"/>
      <family val="2"/>
    </font>
    <font>
      <b/>
      <sz val="11"/>
      <color rgb="FFFF0000"/>
      <name val="Calibri"/>
      <family val="2"/>
    </font>
    <font>
      <sz val="9"/>
      <color theme="1" tint="0.499984740745262"/>
      <name val="Calibri"/>
      <family val="2"/>
    </font>
    <font>
      <sz val="9"/>
      <color theme="1"/>
      <name val="Calibri"/>
      <family val="2"/>
    </font>
    <font>
      <b/>
      <sz val="9"/>
      <color rgb="FF0070C0"/>
      <name val="Calibri"/>
      <family val="2"/>
    </font>
    <font>
      <sz val="11"/>
      <color rgb="FF0070C0"/>
      <name val="Calibri"/>
      <family val="2"/>
    </font>
    <font>
      <sz val="9"/>
      <color rgb="FF0070C0"/>
      <name val="Calibri"/>
      <family val="2"/>
    </font>
    <font>
      <sz val="10"/>
      <color theme="1"/>
      <name val="Calibri"/>
      <family val="2"/>
    </font>
    <font>
      <b/>
      <sz val="11"/>
      <color theme="0"/>
      <name val="Calibri"/>
      <family val="2"/>
    </font>
    <font>
      <sz val="20"/>
      <color theme="1"/>
      <name val="Wingdings"/>
      <charset val="2"/>
    </font>
    <font>
      <sz val="12"/>
      <color theme="1"/>
      <name val="Calibri"/>
      <family val="2"/>
    </font>
    <font>
      <sz val="20"/>
      <color theme="1"/>
      <name val="Calibri"/>
      <family val="2"/>
      <charset val="2"/>
      <scheme val="minor"/>
    </font>
    <font>
      <sz val="20"/>
      <color rgb="FFFF0000"/>
      <name val="Calibri"/>
      <family val="2"/>
      <scheme val="minor"/>
    </font>
    <font>
      <b/>
      <sz val="11"/>
      <color rgb="FFFF0000"/>
      <name val="Calibri"/>
      <family val="2"/>
      <scheme val="minor"/>
    </font>
    <font>
      <sz val="20"/>
      <color theme="0"/>
      <name val="Calibri"/>
      <family val="2"/>
      <scheme val="minor"/>
    </font>
  </fonts>
  <fills count="2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A3"/>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66FF"/>
        <bgColor indexed="64"/>
      </patternFill>
    </fill>
    <fill>
      <patternFill patternType="solid">
        <fgColor rgb="FF00B0F0"/>
        <bgColor indexed="64"/>
      </patternFill>
    </fill>
    <fill>
      <patternFill patternType="solid">
        <fgColor theme="0"/>
        <bgColor indexed="64"/>
      </patternFill>
    </fill>
    <fill>
      <patternFill patternType="solid">
        <fgColor theme="8" tint="-0.249977111117893"/>
        <bgColor indexed="64"/>
      </patternFill>
    </fill>
    <fill>
      <patternFill patternType="solid">
        <fgColor rgb="FFFFD1FF"/>
        <bgColor indexed="64"/>
      </patternFill>
    </fill>
    <fill>
      <patternFill patternType="solid">
        <fgColor rgb="FFFF00FF"/>
        <bgColor indexed="64"/>
      </patternFill>
    </fill>
    <fill>
      <patternFill patternType="solid">
        <fgColor rgb="FFFFFFCC"/>
        <bgColor indexed="64"/>
      </patternFill>
    </fill>
    <fill>
      <patternFill patternType="solid">
        <fgColor rgb="FFFF0000"/>
        <bgColor indexed="64"/>
      </patternFill>
    </fill>
    <fill>
      <patternFill patternType="solid">
        <fgColor rgb="FFFF9B9B"/>
        <bgColor indexed="64"/>
      </patternFill>
    </fill>
    <fill>
      <patternFill patternType="solid">
        <fgColor theme="7" tint="0.59999389629810485"/>
        <bgColor indexed="64"/>
      </patternFill>
    </fill>
    <fill>
      <patternFill patternType="solid">
        <fgColor rgb="FFFFC000"/>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37" fillId="0" borderId="0" applyNumberFormat="0" applyFill="0" applyBorder="0" applyAlignment="0" applyProtection="0"/>
  </cellStyleXfs>
  <cellXfs count="585">
    <xf numFmtId="0" fontId="0" fillId="0" borderId="0" xfId="0"/>
    <xf numFmtId="0" fontId="2" fillId="0" borderId="0" xfId="0" applyFont="1"/>
    <xf numFmtId="9" fontId="0" fillId="0" borderId="0" xfId="2" applyFont="1"/>
    <xf numFmtId="0" fontId="0" fillId="0" borderId="0" xfId="0" applyFill="1"/>
    <xf numFmtId="0" fontId="0" fillId="0" borderId="0" xfId="0" applyAlignment="1">
      <alignment horizontal="right"/>
    </xf>
    <xf numFmtId="49" fontId="0" fillId="0" borderId="0" xfId="0" applyNumberFormat="1"/>
    <xf numFmtId="49" fontId="4" fillId="0" borderId="0" xfId="4" applyNumberFormat="1" applyFont="1" applyAlignment="1">
      <alignment horizontal="left"/>
    </xf>
    <xf numFmtId="0" fontId="17" fillId="0" borderId="0" xfId="5"/>
    <xf numFmtId="0" fontId="17" fillId="0" borderId="0" xfId="5" applyAlignment="1">
      <alignment horizontal="center"/>
    </xf>
    <xf numFmtId="0" fontId="17" fillId="6" borderId="0" xfId="5" applyFill="1" applyAlignment="1">
      <alignment horizontal="center"/>
    </xf>
    <xf numFmtId="2" fontId="17" fillId="6" borderId="0" xfId="5" applyNumberFormat="1" applyFill="1" applyAlignment="1">
      <alignment horizontal="center"/>
    </xf>
    <xf numFmtId="0" fontId="17" fillId="0" borderId="0" xfId="5" quotePrefix="1"/>
    <xf numFmtId="0" fontId="18" fillId="0" borderId="0" xfId="5" applyFont="1" applyAlignment="1">
      <alignment horizontal="center"/>
    </xf>
    <xf numFmtId="1" fontId="17" fillId="0" borderId="0" xfId="5" applyNumberFormat="1"/>
    <xf numFmtId="43" fontId="0" fillId="0" borderId="0" xfId="7" applyFont="1" applyAlignment="1">
      <alignment horizontal="center"/>
    </xf>
    <xf numFmtId="43" fontId="0" fillId="0" borderId="0" xfId="7" applyFont="1" applyFill="1" applyAlignment="1">
      <alignment horizontal="center"/>
    </xf>
    <xf numFmtId="2" fontId="0" fillId="8" borderId="0" xfId="7" applyNumberFormat="1" applyFont="1" applyFill="1" applyAlignment="1">
      <alignment horizontal="center"/>
    </xf>
    <xf numFmtId="0" fontId="17" fillId="0" borderId="2" xfId="5" applyBorder="1"/>
    <xf numFmtId="0" fontId="17" fillId="0" borderId="0" xfId="5" applyAlignment="1">
      <alignment horizontal="right"/>
    </xf>
    <xf numFmtId="2" fontId="19" fillId="6" borderId="0" xfId="5" applyNumberFormat="1" applyFont="1" applyFill="1" applyAlignment="1">
      <alignment horizontal="center"/>
    </xf>
    <xf numFmtId="2" fontId="17" fillId="7" borderId="0" xfId="5" applyNumberFormat="1" applyFill="1" applyAlignment="1">
      <alignment horizontal="center"/>
    </xf>
    <xf numFmtId="165" fontId="17" fillId="6" borderId="0" xfId="5" applyNumberFormat="1" applyFill="1" applyAlignment="1">
      <alignment horizontal="center"/>
    </xf>
    <xf numFmtId="2" fontId="17" fillId="10" borderId="0" xfId="5" applyNumberFormat="1" applyFill="1" applyAlignment="1">
      <alignment horizontal="center"/>
    </xf>
    <xf numFmtId="1" fontId="0" fillId="10" borderId="0" xfId="7" applyNumberFormat="1" applyFont="1" applyFill="1" applyAlignment="1">
      <alignment horizontal="center"/>
    </xf>
    <xf numFmtId="1" fontId="17" fillId="10" borderId="0" xfId="5" applyNumberFormat="1" applyFill="1" applyAlignment="1">
      <alignment horizontal="center"/>
    </xf>
    <xf numFmtId="0" fontId="26" fillId="3" borderId="0" xfId="5" applyFont="1" applyFill="1" applyAlignment="1">
      <alignment horizontal="center"/>
    </xf>
    <xf numFmtId="2" fontId="11" fillId="8" borderId="0" xfId="7" applyNumberFormat="1" applyFont="1" applyFill="1" applyAlignment="1">
      <alignment horizontal="center"/>
    </xf>
    <xf numFmtId="9" fontId="17" fillId="10" borderId="0" xfId="2" applyFont="1" applyFill="1" applyAlignment="1">
      <alignment horizontal="center"/>
    </xf>
    <xf numFmtId="0" fontId="17" fillId="2" borderId="0" xfId="5" applyFill="1"/>
    <xf numFmtId="0" fontId="18" fillId="0" borderId="4" xfId="5" applyFont="1" applyBorder="1"/>
    <xf numFmtId="0" fontId="17" fillId="0" borderId="5" xfId="5" applyBorder="1"/>
    <xf numFmtId="0" fontId="25" fillId="11" borderId="1" xfId="5" applyFont="1" applyFill="1" applyBorder="1"/>
    <xf numFmtId="0" fontId="17" fillId="11" borderId="2" xfId="5" applyFill="1" applyBorder="1"/>
    <xf numFmtId="0" fontId="25" fillId="11" borderId="0" xfId="5" applyFont="1" applyFill="1"/>
    <xf numFmtId="0" fontId="17" fillId="11" borderId="0" xfId="5" applyFill="1"/>
    <xf numFmtId="0" fontId="34" fillId="9" borderId="0" xfId="5" applyFont="1" applyFill="1"/>
    <xf numFmtId="0" fontId="17" fillId="12" borderId="0" xfId="5" applyFill="1"/>
    <xf numFmtId="0" fontId="20" fillId="9" borderId="0" xfId="5" applyFont="1" applyFill="1"/>
    <xf numFmtId="0" fontId="32" fillId="3" borderId="0" xfId="5" applyFont="1" applyFill="1" applyAlignment="1">
      <alignment horizontal="center"/>
    </xf>
    <xf numFmtId="0" fontId="36" fillId="9" borderId="0" xfId="5" applyFont="1" applyFill="1"/>
    <xf numFmtId="0" fontId="20" fillId="9" borderId="0" xfId="5" applyFont="1" applyFill="1" applyAlignment="1">
      <alignment horizontal="center"/>
    </xf>
    <xf numFmtId="2" fontId="32" fillId="3" borderId="0" xfId="5" applyNumberFormat="1" applyFont="1" applyFill="1" applyAlignment="1">
      <alignment horizontal="center"/>
    </xf>
    <xf numFmtId="164" fontId="32" fillId="3" borderId="0" xfId="5" applyNumberFormat="1" applyFont="1" applyFill="1" applyAlignment="1">
      <alignment horizontal="center"/>
    </xf>
    <xf numFmtId="0" fontId="25" fillId="4" borderId="0" xfId="5" applyFont="1" applyFill="1"/>
    <xf numFmtId="0" fontId="17" fillId="4" borderId="0" xfId="5" applyFill="1"/>
    <xf numFmtId="0" fontId="25" fillId="12" borderId="4" xfId="5" applyFont="1" applyFill="1" applyBorder="1"/>
    <xf numFmtId="0" fontId="18" fillId="0" borderId="4" xfId="5" applyFont="1" applyBorder="1" applyAlignment="1">
      <alignment horizontal="center"/>
    </xf>
    <xf numFmtId="0" fontId="32" fillId="13" borderId="0" xfId="5" applyFont="1" applyFill="1" applyAlignment="1">
      <alignment horizontal="center"/>
    </xf>
    <xf numFmtId="167" fontId="17" fillId="0" borderId="0" xfId="5" applyNumberFormat="1"/>
    <xf numFmtId="164" fontId="42" fillId="3" borderId="0" xfId="5" applyNumberFormat="1" applyFont="1" applyFill="1" applyAlignment="1">
      <alignment horizontal="center"/>
    </xf>
    <xf numFmtId="164" fontId="42" fillId="8" borderId="0" xfId="5" applyNumberFormat="1" applyFont="1" applyFill="1" applyAlignment="1">
      <alignment horizontal="center"/>
    </xf>
    <xf numFmtId="164" fontId="17" fillId="7" borderId="16" xfId="5" applyNumberFormat="1" applyFill="1" applyBorder="1" applyAlignment="1">
      <alignment horizontal="center"/>
    </xf>
    <xf numFmtId="164" fontId="20" fillId="9" borderId="16" xfId="5" applyNumberFormat="1" applyFont="1" applyFill="1" applyBorder="1" applyAlignment="1">
      <alignment horizontal="center"/>
    </xf>
    <xf numFmtId="164" fontId="17" fillId="7" borderId="0" xfId="5" applyNumberFormat="1" applyFill="1" applyBorder="1" applyAlignment="1">
      <alignment horizontal="center"/>
    </xf>
    <xf numFmtId="164" fontId="17" fillId="7" borderId="21" xfId="5" applyNumberFormat="1" applyFill="1" applyBorder="1" applyAlignment="1">
      <alignment horizontal="center"/>
    </xf>
    <xf numFmtId="0" fontId="43" fillId="4" borderId="0" xfId="5" applyFont="1" applyFill="1"/>
    <xf numFmtId="0" fontId="2" fillId="0" borderId="0" xfId="0" applyFont="1" applyFill="1"/>
    <xf numFmtId="2" fontId="45" fillId="10" borderId="16" xfId="7" applyNumberFormat="1" applyFont="1" applyFill="1" applyBorder="1" applyAlignment="1">
      <alignment horizontal="center"/>
    </xf>
    <xf numFmtId="0" fontId="11" fillId="3" borderId="0" xfId="0" applyFont="1" applyFill="1" applyBorder="1" applyAlignment="1">
      <alignment horizontal="center"/>
    </xf>
    <xf numFmtId="0" fontId="25" fillId="16" borderId="0" xfId="5" applyFont="1" applyFill="1"/>
    <xf numFmtId="0" fontId="17" fillId="16" borderId="0" xfId="5" applyFill="1"/>
    <xf numFmtId="0" fontId="17" fillId="0" borderId="4" xfId="5" applyBorder="1" applyAlignment="1">
      <alignment horizontal="center"/>
    </xf>
    <xf numFmtId="0" fontId="17" fillId="17" borderId="0" xfId="5" applyFill="1"/>
    <xf numFmtId="0" fontId="17" fillId="0" borderId="9" xfId="5" applyBorder="1"/>
    <xf numFmtId="0" fontId="17" fillId="6" borderId="9" xfId="5" applyFont="1" applyFill="1" applyBorder="1"/>
    <xf numFmtId="0" fontId="21" fillId="3" borderId="4" xfId="5" applyFont="1" applyFill="1" applyBorder="1" applyAlignment="1">
      <alignment horizontal="center"/>
    </xf>
    <xf numFmtId="164" fontId="21" fillId="3" borderId="4" xfId="5" applyNumberFormat="1" applyFont="1" applyFill="1" applyBorder="1" applyAlignment="1">
      <alignment horizontal="center"/>
    </xf>
    <xf numFmtId="0" fontId="54" fillId="0" borderId="0" xfId="8" applyFont="1"/>
    <xf numFmtId="164" fontId="17" fillId="15" borderId="4" xfId="5" applyNumberFormat="1" applyFill="1" applyBorder="1" applyAlignment="1"/>
    <xf numFmtId="1" fontId="17" fillId="11" borderId="0" xfId="5" applyNumberFormat="1" applyFill="1" applyAlignment="1">
      <alignment horizontal="center"/>
    </xf>
    <xf numFmtId="0" fontId="17" fillId="9" borderId="11" xfId="5" applyFill="1" applyBorder="1" applyAlignment="1">
      <alignment horizontal="center"/>
    </xf>
    <xf numFmtId="0" fontId="17" fillId="9" borderId="4" xfId="5" applyFill="1" applyBorder="1" applyAlignment="1">
      <alignment horizontal="center"/>
    </xf>
    <xf numFmtId="164" fontId="17" fillId="9" borderId="4" xfId="5" applyNumberFormat="1" applyFill="1" applyBorder="1" applyAlignment="1"/>
    <xf numFmtId="164" fontId="17" fillId="9" borderId="4" xfId="5" applyNumberFormat="1" applyFill="1" applyBorder="1" applyAlignment="1">
      <alignment horizontal="center"/>
    </xf>
    <xf numFmtId="1" fontId="17" fillId="5" borderId="9" xfId="5" applyNumberFormat="1" applyFill="1" applyBorder="1" applyAlignment="1">
      <alignment horizontal="center"/>
    </xf>
    <xf numFmtId="164" fontId="28" fillId="5" borderId="9" xfId="5" applyNumberFormat="1" applyFont="1" applyFill="1" applyBorder="1"/>
    <xf numFmtId="164" fontId="19" fillId="5" borderId="9" xfId="5" applyNumberFormat="1" applyFont="1" applyFill="1" applyBorder="1"/>
    <xf numFmtId="0" fontId="29" fillId="0" borderId="4" xfId="5" applyFont="1" applyBorder="1"/>
    <xf numFmtId="0" fontId="44" fillId="18" borderId="4" xfId="5" applyFont="1" applyFill="1" applyBorder="1" applyAlignment="1">
      <alignment horizontal="center"/>
    </xf>
    <xf numFmtId="164" fontId="28" fillId="0" borderId="4" xfId="5" applyNumberFormat="1" applyFont="1" applyFill="1" applyBorder="1" applyAlignment="1">
      <alignment horizontal="center"/>
    </xf>
    <xf numFmtId="0" fontId="18" fillId="0" borderId="11" xfId="5" applyFont="1" applyBorder="1" applyAlignment="1">
      <alignment horizontal="center"/>
    </xf>
    <xf numFmtId="0" fontId="28" fillId="5" borderId="9" xfId="5" applyFont="1" applyFill="1" applyBorder="1" applyAlignment="1">
      <alignment horizontal="center"/>
    </xf>
    <xf numFmtId="165" fontId="17" fillId="0" borderId="4" xfId="5" applyNumberFormat="1" applyBorder="1" applyAlignment="1">
      <alignment horizontal="center"/>
    </xf>
    <xf numFmtId="0" fontId="17" fillId="19" borderId="0" xfId="5" applyFill="1"/>
    <xf numFmtId="0" fontId="17" fillId="19" borderId="0" xfId="5" applyFill="1" applyAlignment="1">
      <alignment horizontal="right"/>
    </xf>
    <xf numFmtId="0" fontId="18" fillId="19" borderId="0" xfId="5" applyFont="1" applyFill="1"/>
    <xf numFmtId="0" fontId="48" fillId="19" borderId="0" xfId="5" applyFont="1" applyFill="1" applyAlignment="1">
      <alignment horizontal="center"/>
    </xf>
    <xf numFmtId="0" fontId="53" fillId="13" borderId="4" xfId="5" applyFont="1" applyFill="1" applyBorder="1"/>
    <xf numFmtId="0" fontId="17" fillId="13" borderId="0" xfId="5" applyFill="1"/>
    <xf numFmtId="0" fontId="17" fillId="13" borderId="0" xfId="5" applyFill="1" applyAlignment="1">
      <alignment horizontal="right"/>
    </xf>
    <xf numFmtId="0" fontId="48" fillId="13" borderId="0" xfId="5" applyFont="1" applyFill="1" applyAlignment="1">
      <alignment horizontal="center"/>
    </xf>
    <xf numFmtId="0" fontId="17" fillId="13" borderId="4" xfId="5" applyFill="1" applyBorder="1"/>
    <xf numFmtId="0" fontId="18" fillId="13" borderId="0" xfId="5" applyFont="1" applyFill="1"/>
    <xf numFmtId="0" fontId="18" fillId="13" borderId="0" xfId="5" applyFont="1" applyFill="1" applyAlignment="1">
      <alignment horizontal="right"/>
    </xf>
    <xf numFmtId="0" fontId="49" fillId="13" borderId="0" xfId="5" applyFont="1" applyFill="1" applyAlignment="1">
      <alignment horizontal="center"/>
    </xf>
    <xf numFmtId="0" fontId="17" fillId="13" borderId="0" xfId="5" applyFont="1" applyFill="1"/>
    <xf numFmtId="0" fontId="21" fillId="13" borderId="0" xfId="5" applyFont="1" applyFill="1"/>
    <xf numFmtId="0" fontId="22" fillId="13" borderId="0" xfId="5" applyFont="1" applyFill="1" applyAlignment="1">
      <alignment horizontal="right"/>
    </xf>
    <xf numFmtId="0" fontId="23" fillId="13" borderId="0" xfId="5" applyFont="1" applyFill="1" applyAlignment="1">
      <alignment horizontal="center"/>
    </xf>
    <xf numFmtId="0" fontId="52" fillId="13" borderId="0" xfId="5" applyFont="1" applyFill="1" applyAlignment="1">
      <alignment horizontal="center"/>
    </xf>
    <xf numFmtId="0" fontId="50" fillId="13" borderId="0" xfId="5" applyFont="1" applyFill="1" applyAlignment="1">
      <alignment horizontal="center"/>
    </xf>
    <xf numFmtId="0" fontId="18" fillId="13" borderId="0" xfId="5" applyFont="1" applyFill="1" applyAlignment="1">
      <alignment horizontal="center"/>
    </xf>
    <xf numFmtId="0" fontId="24" fillId="13" borderId="4" xfId="5" applyFont="1" applyFill="1" applyBorder="1"/>
    <xf numFmtId="0" fontId="17" fillId="13" borderId="7" xfId="5" applyFill="1" applyBorder="1"/>
    <xf numFmtId="0" fontId="18" fillId="13" borderId="7" xfId="5" applyFont="1" applyFill="1" applyBorder="1" applyAlignment="1">
      <alignment horizontal="right"/>
    </xf>
    <xf numFmtId="0" fontId="48" fillId="13" borderId="7" xfId="5" applyFont="1" applyFill="1" applyBorder="1" applyAlignment="1">
      <alignment horizontal="center"/>
    </xf>
    <xf numFmtId="0" fontId="24" fillId="13" borderId="1" xfId="5" applyFont="1" applyFill="1" applyBorder="1"/>
    <xf numFmtId="0" fontId="17" fillId="13" borderId="2" xfId="5" applyFill="1" applyBorder="1"/>
    <xf numFmtId="0" fontId="17" fillId="13" borderId="0" xfId="5" applyFill="1" applyBorder="1"/>
    <xf numFmtId="0" fontId="18" fillId="13" borderId="0" xfId="5" applyFont="1" applyFill="1" applyBorder="1" applyAlignment="1">
      <alignment horizontal="right"/>
    </xf>
    <xf numFmtId="0" fontId="48" fillId="13" borderId="0" xfId="5" applyFont="1" applyFill="1" applyBorder="1" applyAlignment="1">
      <alignment horizontal="center"/>
    </xf>
    <xf numFmtId="0" fontId="49" fillId="13" borderId="0" xfId="5" applyFont="1" applyFill="1" applyBorder="1" applyAlignment="1">
      <alignment horizontal="center"/>
    </xf>
    <xf numFmtId="0" fontId="18" fillId="13" borderId="0" xfId="5" applyFont="1" applyFill="1" applyBorder="1"/>
    <xf numFmtId="0" fontId="53" fillId="13" borderId="4" xfId="5" applyFont="1" applyFill="1" applyBorder="1" applyAlignment="1">
      <alignment horizontal="left"/>
    </xf>
    <xf numFmtId="0" fontId="17" fillId="13" borderId="0" xfId="5" applyFill="1" applyAlignment="1"/>
    <xf numFmtId="0" fontId="18" fillId="13" borderId="0" xfId="5" applyFont="1" applyFill="1" applyAlignment="1"/>
    <xf numFmtId="0" fontId="22" fillId="13" borderId="0" xfId="5" applyFont="1" applyFill="1"/>
    <xf numFmtId="0" fontId="29" fillId="13" borderId="4" xfId="5" applyFont="1" applyFill="1" applyBorder="1"/>
    <xf numFmtId="0" fontId="18" fillId="13" borderId="4" xfId="5" applyFont="1" applyFill="1" applyBorder="1"/>
    <xf numFmtId="0" fontId="17" fillId="13" borderId="6" xfId="5" applyFill="1" applyBorder="1"/>
    <xf numFmtId="0" fontId="28" fillId="13" borderId="4" xfId="5" applyFont="1" applyFill="1" applyBorder="1"/>
    <xf numFmtId="0" fontId="17" fillId="13" borderId="4" xfId="5" applyFont="1" applyFill="1" applyBorder="1"/>
    <xf numFmtId="0" fontId="29" fillId="13" borderId="0" xfId="5" applyFont="1" applyFill="1"/>
    <xf numFmtId="164" fontId="17" fillId="13" borderId="0" xfId="5" applyNumberFormat="1" applyFill="1"/>
    <xf numFmtId="0" fontId="51" fillId="13" borderId="0" xfId="5" quotePrefix="1" applyFont="1" applyFill="1" applyAlignment="1">
      <alignment horizontal="center"/>
    </xf>
    <xf numFmtId="0" fontId="28" fillId="13" borderId="0" xfId="5" applyFont="1" applyFill="1"/>
    <xf numFmtId="0" fontId="27" fillId="13" borderId="0" xfId="5" applyFont="1" applyFill="1" applyAlignment="1">
      <alignment horizontal="right"/>
    </xf>
    <xf numFmtId="0" fontId="28" fillId="13" borderId="0" xfId="5" applyFont="1" applyFill="1" applyBorder="1"/>
    <xf numFmtId="0" fontId="27" fillId="13" borderId="0" xfId="5" applyFont="1" applyFill="1" applyBorder="1" applyAlignment="1">
      <alignment horizontal="right"/>
    </xf>
    <xf numFmtId="0" fontId="48" fillId="13" borderId="5" xfId="5" applyFont="1" applyFill="1" applyBorder="1" applyAlignment="1">
      <alignment horizontal="center"/>
    </xf>
    <xf numFmtId="0" fontId="17" fillId="13" borderId="5" xfId="5" applyFill="1" applyBorder="1"/>
    <xf numFmtId="0" fontId="17" fillId="13" borderId="5" xfId="5" applyFill="1" applyBorder="1" applyAlignment="1"/>
    <xf numFmtId="164" fontId="19" fillId="5" borderId="15" xfId="5" applyNumberFormat="1" applyFont="1" applyFill="1" applyBorder="1"/>
    <xf numFmtId="164" fontId="28" fillId="5" borderId="15" xfId="5" applyNumberFormat="1" applyFont="1" applyFill="1" applyBorder="1"/>
    <xf numFmtId="0" fontId="17" fillId="13" borderId="4" xfId="5" applyFill="1" applyBorder="1" applyAlignment="1">
      <alignment horizontal="right"/>
    </xf>
    <xf numFmtId="0" fontId="17" fillId="13" borderId="4" xfId="5" applyFill="1" applyBorder="1" applyAlignment="1"/>
    <xf numFmtId="1" fontId="17" fillId="13" borderId="0" xfId="5" applyNumberFormat="1" applyFill="1" applyAlignment="1"/>
    <xf numFmtId="1" fontId="17" fillId="13" borderId="0" xfId="5" applyNumberFormat="1" applyFill="1" applyAlignment="1">
      <alignment horizontal="center"/>
    </xf>
    <xf numFmtId="164" fontId="17" fillId="9" borderId="11" xfId="5" applyNumberFormat="1" applyFill="1" applyBorder="1" applyAlignment="1"/>
    <xf numFmtId="0" fontId="18" fillId="0" borderId="11" xfId="5" applyFont="1" applyBorder="1"/>
    <xf numFmtId="164" fontId="28" fillId="0" borderId="10" xfId="5" applyNumberFormat="1" applyFont="1" applyFill="1" applyBorder="1" applyAlignment="1">
      <alignment horizontal="center"/>
    </xf>
    <xf numFmtId="167" fontId="17" fillId="13" borderId="4" xfId="5" applyNumberFormat="1" applyFill="1" applyBorder="1" applyAlignment="1">
      <alignment horizontal="center"/>
    </xf>
    <xf numFmtId="0" fontId="17" fillId="13" borderId="4" xfId="5" applyFill="1" applyBorder="1" applyAlignment="1">
      <alignment horizontal="center"/>
    </xf>
    <xf numFmtId="1" fontId="17" fillId="13" borderId="0" xfId="5" applyNumberFormat="1" applyFill="1"/>
    <xf numFmtId="1" fontId="17" fillId="13" borderId="4" xfId="5" applyNumberFormat="1" applyFill="1" applyBorder="1" applyAlignment="1">
      <alignment horizontal="center"/>
    </xf>
    <xf numFmtId="164" fontId="17" fillId="13" borderId="4" xfId="5" applyNumberFormat="1" applyFill="1" applyBorder="1" applyAlignment="1">
      <alignment horizontal="center"/>
    </xf>
    <xf numFmtId="0" fontId="28" fillId="13" borderId="4" xfId="5" applyFont="1" applyFill="1" applyBorder="1" applyAlignment="1">
      <alignment horizontal="center"/>
    </xf>
    <xf numFmtId="0" fontId="17" fillId="13" borderId="0" xfId="5" applyFill="1" applyAlignment="1">
      <alignment horizontal="center"/>
    </xf>
    <xf numFmtId="164" fontId="28" fillId="13" borderId="4" xfId="5" applyNumberFormat="1" applyFont="1" applyFill="1" applyBorder="1" applyAlignment="1">
      <alignment horizontal="center"/>
    </xf>
    <xf numFmtId="164" fontId="28" fillId="13" borderId="0" xfId="5" applyNumberFormat="1" applyFont="1" applyFill="1" applyAlignment="1">
      <alignment horizontal="center"/>
    </xf>
    <xf numFmtId="164" fontId="28" fillId="5" borderId="9" xfId="5" applyNumberFormat="1" applyFont="1" applyFill="1" applyBorder="1" applyAlignment="1">
      <alignment horizontal="center"/>
    </xf>
    <xf numFmtId="164" fontId="17" fillId="13" borderId="0" xfId="5" applyNumberFormat="1" applyFill="1" applyAlignment="1">
      <alignment horizontal="center"/>
    </xf>
    <xf numFmtId="0" fontId="18" fillId="13" borderId="4" xfId="5" applyFont="1" applyFill="1" applyBorder="1" applyAlignment="1">
      <alignment horizontal="center"/>
    </xf>
    <xf numFmtId="2" fontId="28" fillId="13" borderId="4" xfId="5" applyNumberFormat="1" applyFont="1" applyFill="1" applyBorder="1" applyAlignment="1">
      <alignment horizontal="center"/>
    </xf>
    <xf numFmtId="0" fontId="28" fillId="13" borderId="0" xfId="5" applyFont="1" applyFill="1" applyAlignment="1">
      <alignment horizontal="center"/>
    </xf>
    <xf numFmtId="0" fontId="18" fillId="13" borderId="6" xfId="5" applyFont="1" applyFill="1" applyBorder="1" applyAlignment="1">
      <alignment horizontal="center"/>
    </xf>
    <xf numFmtId="0" fontId="17" fillId="13" borderId="0" xfId="5" applyFill="1" applyBorder="1" applyAlignment="1">
      <alignment horizontal="center"/>
    </xf>
    <xf numFmtId="164" fontId="17" fillId="13" borderId="12" xfId="5" applyNumberFormat="1" applyFill="1" applyBorder="1" applyAlignment="1">
      <alignment horizontal="center"/>
    </xf>
    <xf numFmtId="164" fontId="17" fillId="13" borderId="6" xfId="5" applyNumberFormat="1" applyFill="1" applyBorder="1" applyAlignment="1">
      <alignment horizontal="center"/>
    </xf>
    <xf numFmtId="164" fontId="28" fillId="3" borderId="0" xfId="5" applyNumberFormat="1" applyFont="1" applyFill="1" applyBorder="1" applyAlignment="1">
      <alignment horizontal="center"/>
    </xf>
    <xf numFmtId="0" fontId="28" fillId="5" borderId="10" xfId="5" applyFont="1" applyFill="1" applyBorder="1" applyAlignment="1">
      <alignment horizontal="center"/>
    </xf>
    <xf numFmtId="165" fontId="28" fillId="5" borderId="10" xfId="5" applyNumberFormat="1" applyFont="1" applyFill="1" applyBorder="1" applyAlignment="1">
      <alignment horizontal="center"/>
    </xf>
    <xf numFmtId="165" fontId="28" fillId="5" borderId="1" xfId="5" applyNumberFormat="1" applyFont="1" applyFill="1" applyBorder="1" applyAlignment="1">
      <alignment horizontal="center"/>
    </xf>
    <xf numFmtId="0" fontId="17" fillId="13" borderId="0" xfId="5" applyFont="1" applyFill="1" applyAlignment="1">
      <alignment horizontal="right"/>
    </xf>
    <xf numFmtId="0" fontId="18" fillId="13" borderId="0" xfId="5" applyFont="1" applyFill="1" applyAlignment="1">
      <alignment wrapText="1"/>
    </xf>
    <xf numFmtId="0" fontId="18" fillId="13" borderId="6" xfId="5" quotePrefix="1" applyFont="1" applyFill="1" applyBorder="1" applyAlignment="1">
      <alignment horizontal="center"/>
    </xf>
    <xf numFmtId="0" fontId="18" fillId="13" borderId="7" xfId="5" quotePrefix="1" applyFont="1" applyFill="1" applyBorder="1" applyAlignment="1">
      <alignment horizontal="center"/>
    </xf>
    <xf numFmtId="9" fontId="20" fillId="13" borderId="4" xfId="6" applyFont="1" applyFill="1" applyBorder="1" applyAlignment="1">
      <alignment horizontal="center"/>
    </xf>
    <xf numFmtId="2" fontId="20" fillId="13" borderId="0" xfId="6" applyNumberFormat="1" applyFont="1" applyFill="1" applyAlignment="1">
      <alignment horizontal="center"/>
    </xf>
    <xf numFmtId="2" fontId="26" fillId="13" borderId="0" xfId="6" applyNumberFormat="1" applyFont="1" applyFill="1" applyAlignment="1">
      <alignment horizontal="center"/>
    </xf>
    <xf numFmtId="2" fontId="20" fillId="13" borderId="0" xfId="7" applyNumberFormat="1" applyFont="1" applyFill="1" applyAlignment="1">
      <alignment horizontal="center"/>
    </xf>
    <xf numFmtId="164" fontId="20" fillId="13" borderId="0" xfId="7" applyNumberFormat="1" applyFont="1" applyFill="1" applyBorder="1" applyAlignment="1">
      <alignment horizontal="center"/>
    </xf>
    <xf numFmtId="43" fontId="20" fillId="13" borderId="0" xfId="7" applyFont="1" applyFill="1" applyBorder="1" applyAlignment="1">
      <alignment horizontal="center"/>
    </xf>
    <xf numFmtId="43" fontId="20" fillId="13" borderId="0" xfId="7" applyFont="1" applyFill="1" applyAlignment="1">
      <alignment horizontal="center"/>
    </xf>
    <xf numFmtId="2" fontId="26" fillId="13" borderId="0" xfId="7" applyNumberFormat="1" applyFont="1" applyFill="1" applyAlignment="1">
      <alignment horizontal="center"/>
    </xf>
    <xf numFmtId="9" fontId="0" fillId="13" borderId="4" xfId="6" applyFont="1" applyFill="1" applyBorder="1" applyAlignment="1">
      <alignment horizontal="center"/>
    </xf>
    <xf numFmtId="2" fontId="33" fillId="13" borderId="0" xfId="7" applyNumberFormat="1" applyFont="1" applyFill="1" applyAlignment="1">
      <alignment horizontal="center"/>
    </xf>
    <xf numFmtId="2" fontId="11" fillId="13" borderId="0" xfId="7" applyNumberFormat="1" applyFont="1" applyFill="1" applyAlignment="1">
      <alignment horizontal="center"/>
    </xf>
    <xf numFmtId="2" fontId="0" fillId="13" borderId="0" xfId="7" applyNumberFormat="1" applyFont="1" applyFill="1" applyAlignment="1">
      <alignment horizontal="center"/>
    </xf>
    <xf numFmtId="2" fontId="0" fillId="13" borderId="0" xfId="7" applyNumberFormat="1" applyFont="1" applyFill="1" applyBorder="1" applyAlignment="1">
      <alignment horizontal="center"/>
    </xf>
    <xf numFmtId="2" fontId="17" fillId="13" borderId="0" xfId="5" applyNumberFormat="1" applyFill="1" applyBorder="1"/>
    <xf numFmtId="43" fontId="0" fillId="13" borderId="0" xfId="7" applyFont="1" applyFill="1" applyBorder="1" applyAlignment="1">
      <alignment horizontal="center"/>
    </xf>
    <xf numFmtId="2" fontId="0" fillId="13" borderId="7" xfId="7" applyNumberFormat="1" applyFont="1" applyFill="1" applyBorder="1" applyAlignment="1">
      <alignment horizontal="center"/>
    </xf>
    <xf numFmtId="2" fontId="17" fillId="13" borderId="7" xfId="5" applyNumberFormat="1" applyFill="1" applyBorder="1"/>
    <xf numFmtId="43" fontId="0" fillId="13" borderId="7" xfId="7" applyFont="1" applyFill="1" applyBorder="1" applyAlignment="1">
      <alignment horizontal="center"/>
    </xf>
    <xf numFmtId="0" fontId="21" fillId="13" borderId="4" xfId="5" applyFont="1" applyFill="1" applyBorder="1"/>
    <xf numFmtId="0" fontId="18" fillId="13" borderId="5" xfId="5" applyFont="1" applyFill="1" applyBorder="1" applyAlignment="1">
      <alignment wrapText="1"/>
    </xf>
    <xf numFmtId="0" fontId="17" fillId="13" borderId="8" xfId="5" applyFill="1" applyBorder="1"/>
    <xf numFmtId="43" fontId="21" fillId="13" borderId="0" xfId="7" applyFont="1" applyFill="1" applyAlignment="1">
      <alignment horizontal="center"/>
    </xf>
    <xf numFmtId="43" fontId="20" fillId="13" borderId="5" xfId="7" applyFont="1" applyFill="1" applyBorder="1" applyAlignment="1">
      <alignment horizontal="center"/>
    </xf>
    <xf numFmtId="43" fontId="21" fillId="13" borderId="4" xfId="7" applyFont="1" applyFill="1" applyBorder="1" applyAlignment="1">
      <alignment horizontal="center"/>
    </xf>
    <xf numFmtId="43" fontId="24" fillId="13" borderId="5" xfId="7" applyFont="1" applyFill="1" applyBorder="1" applyAlignment="1">
      <alignment horizontal="center"/>
    </xf>
    <xf numFmtId="2" fontId="0" fillId="13" borderId="5" xfId="7" applyNumberFormat="1" applyFont="1" applyFill="1" applyBorder="1" applyAlignment="1">
      <alignment horizontal="center"/>
    </xf>
    <xf numFmtId="0" fontId="17" fillId="13" borderId="4" xfId="5" applyFont="1" applyFill="1" applyBorder="1" applyAlignment="1">
      <alignment horizontal="right"/>
    </xf>
    <xf numFmtId="0" fontId="32" fillId="13" borderId="0" xfId="5" applyFont="1" applyFill="1"/>
    <xf numFmtId="0" fontId="0" fillId="13" borderId="0" xfId="0" applyFont="1" applyFill="1"/>
    <xf numFmtId="0" fontId="26" fillId="13" borderId="0" xfId="5" applyFont="1" applyFill="1" applyAlignment="1">
      <alignment horizontal="center"/>
    </xf>
    <xf numFmtId="0" fontId="17" fillId="13" borderId="0" xfId="5" quotePrefix="1" applyFont="1" applyFill="1"/>
    <xf numFmtId="0" fontId="34" fillId="13" borderId="0" xfId="5" applyFont="1" applyFill="1"/>
    <xf numFmtId="0" fontId="21" fillId="13" borderId="0" xfId="5" quotePrefix="1" applyFont="1" applyFill="1"/>
    <xf numFmtId="0" fontId="46" fillId="13" borderId="0" xfId="5" applyFont="1" applyFill="1"/>
    <xf numFmtId="0" fontId="29" fillId="13" borderId="0" xfId="5" applyFont="1" applyFill="1" applyAlignment="1">
      <alignment horizontal="center"/>
    </xf>
    <xf numFmtId="0" fontId="19" fillId="13" borderId="0" xfId="5" applyFont="1" applyFill="1"/>
    <xf numFmtId="0" fontId="0" fillId="13" borderId="0" xfId="0" applyFill="1"/>
    <xf numFmtId="0" fontId="18" fillId="13" borderId="7" xfId="5" applyFont="1" applyFill="1" applyBorder="1" applyAlignment="1">
      <alignment horizontal="center"/>
    </xf>
    <xf numFmtId="0" fontId="27" fillId="13" borderId="0" xfId="5" applyFont="1" applyFill="1" applyAlignment="1">
      <alignment horizontal="center"/>
    </xf>
    <xf numFmtId="0" fontId="27" fillId="13" borderId="7" xfId="5" applyFont="1" applyFill="1" applyBorder="1" applyAlignment="1">
      <alignment horizontal="center"/>
    </xf>
    <xf numFmtId="0" fontId="18" fillId="13" borderId="7" xfId="5" applyFont="1" applyFill="1" applyBorder="1"/>
    <xf numFmtId="0" fontId="18" fillId="13" borderId="7" xfId="5" quotePrefix="1" applyFont="1" applyFill="1" applyBorder="1"/>
    <xf numFmtId="2" fontId="17" fillId="13" borderId="0" xfId="5" applyNumberFormat="1" applyFill="1"/>
    <xf numFmtId="2" fontId="19" fillId="13" borderId="0" xfId="5" applyNumberFormat="1" applyFont="1" applyFill="1"/>
    <xf numFmtId="2" fontId="17" fillId="13" borderId="0" xfId="5" quotePrefix="1" applyNumberFormat="1" applyFill="1"/>
    <xf numFmtId="0" fontId="18" fillId="13" borderId="0" xfId="5" applyFont="1" applyFill="1" applyAlignment="1">
      <alignment horizontal="center" wrapText="1"/>
    </xf>
    <xf numFmtId="2" fontId="17" fillId="13" borderId="0" xfId="5" applyNumberFormat="1" applyFill="1" applyAlignment="1">
      <alignment horizontal="center"/>
    </xf>
    <xf numFmtId="2" fontId="26" fillId="13" borderId="0" xfId="5" applyNumberFormat="1" applyFont="1" applyFill="1" applyAlignment="1">
      <alignment horizontal="center"/>
    </xf>
    <xf numFmtId="164" fontId="19" fillId="13" borderId="0" xfId="5" applyNumberFormat="1" applyFont="1" applyFill="1" applyAlignment="1">
      <alignment horizontal="center"/>
    </xf>
    <xf numFmtId="0" fontId="17" fillId="13" borderId="13" xfId="5" applyFill="1" applyBorder="1"/>
    <xf numFmtId="0" fontId="17" fillId="13" borderId="13" xfId="5" applyFill="1" applyBorder="1" applyAlignment="1">
      <alignment horizontal="center"/>
    </xf>
    <xf numFmtId="0" fontId="17" fillId="13" borderId="15" xfId="5" applyFill="1" applyBorder="1"/>
    <xf numFmtId="43" fontId="24" fillId="13" borderId="0" xfId="5" applyNumberFormat="1" applyFont="1" applyFill="1" applyBorder="1"/>
    <xf numFmtId="0" fontId="24" fillId="13" borderId="0" xfId="5" applyFont="1" applyFill="1" applyBorder="1"/>
    <xf numFmtId="0" fontId="43" fillId="13" borderId="0" xfId="5" quotePrefix="1" applyFont="1" applyFill="1"/>
    <xf numFmtId="0" fontId="17" fillId="13" borderId="0" xfId="5" quotePrefix="1" applyFill="1"/>
    <xf numFmtId="0" fontId="18" fillId="13" borderId="16" xfId="5" applyFont="1" applyFill="1" applyBorder="1"/>
    <xf numFmtId="0" fontId="18" fillId="13" borderId="17" xfId="5" quotePrefix="1" applyFont="1" applyFill="1" applyBorder="1"/>
    <xf numFmtId="0" fontId="17" fillId="13" borderId="18" xfId="5" applyFill="1" applyBorder="1"/>
    <xf numFmtId="0" fontId="17" fillId="13" borderId="0" xfId="5" applyFont="1" applyFill="1" applyBorder="1"/>
    <xf numFmtId="0" fontId="17" fillId="13" borderId="20" xfId="5" applyFill="1" applyBorder="1"/>
    <xf numFmtId="0" fontId="17" fillId="13" borderId="21" xfId="5" applyFill="1" applyBorder="1"/>
    <xf numFmtId="0" fontId="18" fillId="13" borderId="17" xfId="5" applyFont="1" applyFill="1" applyBorder="1"/>
    <xf numFmtId="0" fontId="2" fillId="13" borderId="0" xfId="0" applyFont="1" applyFill="1"/>
    <xf numFmtId="0" fontId="20" fillId="13" borderId="0" xfId="5" quotePrefix="1" applyFont="1" applyFill="1"/>
    <xf numFmtId="0" fontId="0" fillId="13" borderId="4" xfId="0" applyFill="1" applyBorder="1"/>
    <xf numFmtId="0" fontId="17" fillId="13" borderId="1" xfId="5" applyFill="1" applyBorder="1"/>
    <xf numFmtId="0" fontId="17" fillId="13" borderId="17" xfId="5" applyFill="1" applyBorder="1"/>
    <xf numFmtId="0" fontId="17" fillId="13" borderId="23" xfId="5" applyFill="1" applyBorder="1"/>
    <xf numFmtId="0" fontId="17" fillId="13" borderId="24" xfId="5" applyFill="1" applyBorder="1"/>
    <xf numFmtId="0" fontId="0" fillId="13" borderId="24" xfId="0" applyFill="1" applyBorder="1"/>
    <xf numFmtId="0" fontId="17" fillId="13" borderId="25" xfId="5" applyFill="1" applyBorder="1"/>
    <xf numFmtId="0" fontId="18" fillId="13" borderId="24" xfId="5" applyFont="1" applyFill="1" applyBorder="1"/>
    <xf numFmtId="0" fontId="18" fillId="13" borderId="24" xfId="5" applyFont="1" applyFill="1" applyBorder="1" applyAlignment="1">
      <alignment horizontal="right"/>
    </xf>
    <xf numFmtId="0" fontId="18" fillId="13" borderId="23" xfId="5" applyFont="1" applyFill="1" applyBorder="1"/>
    <xf numFmtId="0" fontId="0" fillId="13" borderId="24" xfId="0" quotePrefix="1" applyFill="1" applyBorder="1"/>
    <xf numFmtId="0" fontId="17" fillId="13" borderId="24" xfId="5" applyFont="1" applyFill="1" applyBorder="1"/>
    <xf numFmtId="0" fontId="38" fillId="13" borderId="24" xfId="0" applyFont="1" applyFill="1" applyBorder="1"/>
    <xf numFmtId="0" fontId="17" fillId="13" borderId="24" xfId="5" applyFill="1" applyBorder="1" applyAlignment="1">
      <alignment horizontal="right"/>
    </xf>
    <xf numFmtId="2" fontId="45" fillId="10" borderId="22" xfId="7" applyNumberFormat="1" applyFont="1" applyFill="1" applyBorder="1" applyAlignment="1">
      <alignment horizontal="center"/>
    </xf>
    <xf numFmtId="9" fontId="17" fillId="13" borderId="12" xfId="2" applyFont="1" applyFill="1" applyBorder="1"/>
    <xf numFmtId="0" fontId="18" fillId="13" borderId="10" xfId="5" applyFont="1" applyFill="1" applyBorder="1"/>
    <xf numFmtId="0" fontId="29" fillId="13" borderId="24" xfId="5" applyFont="1" applyFill="1" applyBorder="1"/>
    <xf numFmtId="2" fontId="55" fillId="4" borderId="9" xfId="1" applyNumberFormat="1" applyFont="1" applyFill="1" applyBorder="1" applyAlignment="1">
      <alignment horizontal="center" vertical="center"/>
    </xf>
    <xf numFmtId="0" fontId="0" fillId="4" borderId="9" xfId="0" applyFill="1" applyBorder="1"/>
    <xf numFmtId="166" fontId="30" fillId="4" borderId="10" xfId="2" applyNumberFormat="1" applyFont="1" applyFill="1" applyBorder="1"/>
    <xf numFmtId="0" fontId="11" fillId="3" borderId="9" xfId="0" applyFont="1" applyFill="1" applyBorder="1" applyAlignment="1">
      <alignment horizontal="center"/>
    </xf>
    <xf numFmtId="0" fontId="4" fillId="3" borderId="9" xfId="0" applyFont="1" applyFill="1" applyBorder="1" applyAlignment="1">
      <alignment horizontal="center"/>
    </xf>
    <xf numFmtId="0" fontId="18" fillId="13" borderId="4" xfId="5" applyFont="1" applyFill="1" applyBorder="1" applyAlignment="1">
      <alignment horizontal="center" wrapText="1"/>
    </xf>
    <xf numFmtId="0" fontId="28" fillId="3" borderId="9" xfId="5" applyFont="1" applyFill="1" applyBorder="1" applyAlignment="1">
      <alignment horizontal="center"/>
    </xf>
    <xf numFmtId="0" fontId="19" fillId="5" borderId="9" xfId="5" applyFont="1" applyFill="1" applyBorder="1" applyAlignment="1">
      <alignment horizontal="center"/>
    </xf>
    <xf numFmtId="165" fontId="17" fillId="13" borderId="4" xfId="5" applyNumberFormat="1" applyFill="1" applyBorder="1" applyAlignment="1">
      <alignment horizontal="center"/>
    </xf>
    <xf numFmtId="165" fontId="17" fillId="13" borderId="0" xfId="5" applyNumberFormat="1" applyFill="1" applyBorder="1" applyAlignment="1">
      <alignment horizontal="center"/>
    </xf>
    <xf numFmtId="165" fontId="28" fillId="5" borderId="9" xfId="5" applyNumberFormat="1" applyFont="1" applyFill="1" applyBorder="1" applyAlignment="1">
      <alignment horizontal="center"/>
    </xf>
    <xf numFmtId="0" fontId="18" fillId="0" borderId="15" xfId="5" applyFont="1" applyBorder="1" applyAlignment="1">
      <alignment horizontal="center"/>
    </xf>
    <xf numFmtId="0" fontId="18" fillId="0" borderId="9" xfId="5" applyFont="1" applyBorder="1" applyAlignment="1">
      <alignment horizontal="center"/>
    </xf>
    <xf numFmtId="0" fontId="2" fillId="0" borderId="9" xfId="0" applyFont="1" applyBorder="1" applyAlignment="1">
      <alignment horizontal="center" vertical="center"/>
    </xf>
    <xf numFmtId="2" fontId="11" fillId="3" borderId="1" xfId="0" applyNumberFormat="1" applyFont="1" applyFill="1" applyBorder="1" applyAlignment="1">
      <alignment horizontal="center"/>
    </xf>
    <xf numFmtId="2" fontId="11" fillId="3" borderId="3" xfId="0" applyNumberFormat="1" applyFont="1" applyFill="1" applyBorder="1" applyAlignment="1">
      <alignment horizontal="center"/>
    </xf>
    <xf numFmtId="2" fontId="11" fillId="3" borderId="4" xfId="0" applyNumberFormat="1" applyFont="1" applyFill="1" applyBorder="1" applyAlignment="1">
      <alignment horizontal="center"/>
    </xf>
    <xf numFmtId="2" fontId="11" fillId="3" borderId="5" xfId="0" applyNumberFormat="1" applyFont="1" applyFill="1" applyBorder="1" applyAlignment="1">
      <alignment horizontal="center"/>
    </xf>
    <xf numFmtId="2" fontId="11" fillId="3" borderId="6" xfId="0" applyNumberFormat="1" applyFont="1" applyFill="1" applyBorder="1" applyAlignment="1">
      <alignment horizontal="center"/>
    </xf>
    <xf numFmtId="2" fontId="11" fillId="3" borderId="8" xfId="0" applyNumberFormat="1" applyFont="1" applyFill="1" applyBorder="1" applyAlignment="1">
      <alignment horizontal="center"/>
    </xf>
    <xf numFmtId="0" fontId="57" fillId="0" borderId="0" xfId="0" applyFont="1"/>
    <xf numFmtId="9" fontId="58" fillId="0" borderId="0" xfId="2" applyFont="1"/>
    <xf numFmtId="164" fontId="58" fillId="0" borderId="0" xfId="0" applyNumberFormat="1" applyFont="1"/>
    <xf numFmtId="164" fontId="15" fillId="0" borderId="0" xfId="0" applyNumberFormat="1" applyFont="1"/>
    <xf numFmtId="2" fontId="58" fillId="0" borderId="0" xfId="0" applyNumberFormat="1" applyFont="1"/>
    <xf numFmtId="2" fontId="15" fillId="0" borderId="0" xfId="0" applyNumberFormat="1" applyFont="1"/>
    <xf numFmtId="9" fontId="11" fillId="3" borderId="27" xfId="2" applyFont="1" applyFill="1" applyBorder="1" applyAlignment="1">
      <alignment horizontal="center"/>
    </xf>
    <xf numFmtId="0" fontId="2" fillId="0" borderId="28" xfId="0" applyFont="1" applyBorder="1"/>
    <xf numFmtId="0" fontId="2" fillId="0" borderId="29" xfId="0" applyFont="1" applyBorder="1"/>
    <xf numFmtId="0" fontId="2" fillId="0" borderId="30" xfId="0" applyFont="1" applyBorder="1" applyAlignment="1">
      <alignment horizontal="center"/>
    </xf>
    <xf numFmtId="0" fontId="2" fillId="0" borderId="31" xfId="0" applyFont="1" applyBorder="1" applyAlignment="1">
      <alignment horizontal="center"/>
    </xf>
    <xf numFmtId="9" fontId="57" fillId="0" borderId="0" xfId="2" applyFont="1" applyFill="1"/>
    <xf numFmtId="9" fontId="11" fillId="9" borderId="9" xfId="0" applyNumberFormat="1" applyFont="1" applyFill="1" applyBorder="1" applyAlignment="1">
      <alignment horizontal="center"/>
    </xf>
    <xf numFmtId="9" fontId="57" fillId="13" borderId="0" xfId="2" applyFont="1" applyFill="1"/>
    <xf numFmtId="164" fontId="58" fillId="13" borderId="0" xfId="0" applyNumberFormat="1" applyFont="1" applyFill="1" applyAlignment="1">
      <alignment horizontal="center"/>
    </xf>
    <xf numFmtId="0" fontId="57" fillId="13" borderId="0" xfId="0" applyFont="1" applyFill="1" applyAlignment="1">
      <alignment horizontal="center"/>
    </xf>
    <xf numFmtId="9" fontId="58" fillId="13" borderId="0" xfId="2" applyFont="1" applyFill="1" applyAlignment="1">
      <alignment horizontal="center"/>
    </xf>
    <xf numFmtId="2" fontId="58" fillId="13" borderId="0" xfId="0" applyNumberFormat="1" applyFont="1" applyFill="1" applyAlignment="1">
      <alignment horizontal="center"/>
    </xf>
    <xf numFmtId="2" fontId="15" fillId="13" borderId="0" xfId="0" applyNumberFormat="1" applyFont="1" applyFill="1" applyAlignment="1">
      <alignment horizontal="center"/>
    </xf>
    <xf numFmtId="164" fontId="15" fillId="13" borderId="0" xfId="0" applyNumberFormat="1" applyFont="1" applyFill="1" applyAlignment="1">
      <alignment horizontal="center"/>
    </xf>
    <xf numFmtId="0" fontId="16" fillId="3" borderId="9" xfId="0" applyFont="1" applyFill="1" applyBorder="1" applyAlignment="1">
      <alignment horizontal="center"/>
    </xf>
    <xf numFmtId="0" fontId="4" fillId="3" borderId="7" xfId="0" applyFont="1" applyFill="1" applyBorder="1" applyAlignment="1">
      <alignment horizontal="center"/>
    </xf>
    <xf numFmtId="9" fontId="4" fillId="3" borderId="9" xfId="0" applyNumberFormat="1" applyFont="1" applyFill="1" applyBorder="1" applyAlignment="1">
      <alignment horizontal="center"/>
    </xf>
    <xf numFmtId="9" fontId="16" fillId="3" borderId="14" xfId="2" applyFont="1" applyFill="1" applyBorder="1" applyAlignment="1">
      <alignment horizontal="center"/>
    </xf>
    <xf numFmtId="0" fontId="0" fillId="2" borderId="16" xfId="0" applyFill="1" applyBorder="1" applyAlignment="1">
      <alignment horizontal="center"/>
    </xf>
    <xf numFmtId="0" fontId="2" fillId="9" borderId="6" xfId="0" applyFont="1" applyFill="1" applyBorder="1" applyAlignment="1">
      <alignment horizontal="center"/>
    </xf>
    <xf numFmtId="0" fontId="2" fillId="9" borderId="7" xfId="0" applyFont="1" applyFill="1" applyBorder="1" applyAlignment="1">
      <alignment horizontal="center"/>
    </xf>
    <xf numFmtId="49" fontId="4" fillId="3" borderId="9" xfId="4" applyNumberFormat="1" applyFont="1" applyFill="1" applyBorder="1" applyAlignment="1">
      <alignment horizontal="center"/>
    </xf>
    <xf numFmtId="0" fontId="4" fillId="3" borderId="9" xfId="4" applyFont="1" applyFill="1" applyBorder="1" applyAlignment="1">
      <alignment horizontal="right"/>
    </xf>
    <xf numFmtId="49" fontId="4" fillId="3" borderId="9" xfId="4" applyNumberFormat="1" applyFont="1" applyFill="1" applyBorder="1" applyAlignment="1">
      <alignment horizontal="right"/>
    </xf>
    <xf numFmtId="2" fontId="61" fillId="13" borderId="0" xfId="0" applyNumberFormat="1" applyFont="1" applyFill="1" applyAlignment="1">
      <alignment horizontal="center"/>
    </xf>
    <xf numFmtId="2" fontId="16" fillId="3" borderId="4" xfId="0" applyNumberFormat="1" applyFont="1" applyFill="1" applyBorder="1" applyAlignment="1">
      <alignment horizontal="center"/>
    </xf>
    <xf numFmtId="2" fontId="16" fillId="3" borderId="0" xfId="0" applyNumberFormat="1" applyFont="1" applyFill="1" applyBorder="1" applyAlignment="1">
      <alignment horizontal="center"/>
    </xf>
    <xf numFmtId="164" fontId="7" fillId="9" borderId="9" xfId="0" applyNumberFormat="1" applyFont="1" applyFill="1" applyBorder="1"/>
    <xf numFmtId="0" fontId="16" fillId="9" borderId="9" xfId="0" applyFont="1" applyFill="1" applyBorder="1" applyAlignment="1">
      <alignment horizontal="center"/>
    </xf>
    <xf numFmtId="0" fontId="2" fillId="9" borderId="26" xfId="0" applyFont="1" applyFill="1" applyBorder="1" applyAlignment="1">
      <alignment horizontal="center"/>
    </xf>
    <xf numFmtId="0" fontId="0" fillId="9" borderId="19" xfId="0" applyFill="1" applyBorder="1" applyAlignment="1">
      <alignment horizontal="center"/>
    </xf>
    <xf numFmtId="0" fontId="16" fillId="9" borderId="19" xfId="0" applyFont="1" applyFill="1" applyBorder="1" applyAlignment="1">
      <alignment horizontal="center"/>
    </xf>
    <xf numFmtId="9" fontId="30" fillId="4" borderId="9" xfId="2" applyNumberFormat="1" applyFont="1" applyFill="1" applyBorder="1"/>
    <xf numFmtId="0" fontId="2" fillId="4" borderId="9" xfId="0" applyFont="1" applyFill="1" applyBorder="1" applyAlignment="1">
      <alignment vertical="center"/>
    </xf>
    <xf numFmtId="164" fontId="58" fillId="0" borderId="0" xfId="1" applyNumberFormat="1" applyFont="1" applyAlignment="1">
      <alignment horizontal="center"/>
    </xf>
    <xf numFmtId="164" fontId="8" fillId="0" borderId="0" xfId="0" applyNumberFormat="1" applyFont="1" applyAlignment="1">
      <alignment horizontal="center"/>
    </xf>
    <xf numFmtId="164" fontId="58" fillId="0" borderId="0" xfId="0" applyNumberFormat="1" applyFont="1" applyAlignment="1">
      <alignment horizontal="center"/>
    </xf>
    <xf numFmtId="164" fontId="8" fillId="3" borderId="0" xfId="0" applyNumberFormat="1" applyFont="1" applyFill="1" applyAlignment="1">
      <alignment horizontal="center"/>
    </xf>
    <xf numFmtId="164" fontId="58" fillId="3" borderId="0" xfId="0" applyNumberFormat="1" applyFont="1" applyFill="1" applyAlignment="1">
      <alignment horizontal="center"/>
    </xf>
    <xf numFmtId="2" fontId="58" fillId="0" borderId="0" xfId="1" applyNumberFormat="1" applyFont="1" applyAlignment="1">
      <alignment horizontal="center"/>
    </xf>
    <xf numFmtId="1" fontId="17" fillId="13" borderId="4" xfId="5" applyNumberFormat="1" applyFill="1" applyBorder="1" applyAlignment="1">
      <alignment horizontal="center"/>
    </xf>
    <xf numFmtId="0" fontId="18" fillId="13" borderId="4" xfId="5" applyFont="1" applyFill="1" applyBorder="1" applyAlignment="1">
      <alignment horizontal="center"/>
    </xf>
    <xf numFmtId="2" fontId="42" fillId="3" borderId="0" xfId="5" applyNumberFormat="1" applyFont="1" applyFill="1" applyAlignment="1">
      <alignment horizontal="center"/>
    </xf>
    <xf numFmtId="0" fontId="18" fillId="13" borderId="9" xfId="5" applyFont="1" applyFill="1" applyBorder="1" applyAlignment="1">
      <alignment horizontal="center"/>
    </xf>
    <xf numFmtId="0" fontId="18" fillId="13" borderId="1" xfId="5" applyFont="1" applyFill="1" applyBorder="1" applyAlignment="1">
      <alignment horizontal="center"/>
    </xf>
    <xf numFmtId="0" fontId="18" fillId="13" borderId="3" xfId="5" applyFont="1" applyFill="1" applyBorder="1" applyAlignment="1">
      <alignment horizontal="center"/>
    </xf>
    <xf numFmtId="0" fontId="18" fillId="13" borderId="2" xfId="5" applyFont="1" applyFill="1" applyBorder="1" applyAlignment="1">
      <alignment horizontal="center"/>
    </xf>
    <xf numFmtId="1" fontId="42" fillId="3" borderId="0" xfId="5" applyNumberFormat="1" applyFont="1" applyFill="1" applyAlignment="1">
      <alignment horizontal="center"/>
    </xf>
    <xf numFmtId="0" fontId="18" fillId="13" borderId="0" xfId="5" applyFont="1" applyFill="1" applyBorder="1" applyAlignment="1">
      <alignment horizontal="center"/>
    </xf>
    <xf numFmtId="0" fontId="0" fillId="13" borderId="24" xfId="0" quotePrefix="1" applyFill="1" applyBorder="1" applyAlignment="1">
      <alignment horizontal="left"/>
    </xf>
    <xf numFmtId="0" fontId="40" fillId="13" borderId="24" xfId="0" applyFont="1" applyFill="1" applyBorder="1" applyAlignment="1">
      <alignment horizontal="right"/>
    </xf>
    <xf numFmtId="0" fontId="21" fillId="13" borderId="0" xfId="5" applyFont="1" applyFill="1" applyAlignment="1">
      <alignment horizontal="center"/>
    </xf>
    <xf numFmtId="0" fontId="18" fillId="13" borderId="2" xfId="5" applyFont="1" applyFill="1" applyBorder="1"/>
    <xf numFmtId="164" fontId="32" fillId="3" borderId="0" xfId="5" applyNumberFormat="1" applyFont="1" applyFill="1" applyAlignment="1">
      <alignment horizontal="left"/>
    </xf>
    <xf numFmtId="0" fontId="34" fillId="13" borderId="4" xfId="5" applyFont="1" applyFill="1" applyBorder="1" applyAlignment="1">
      <alignment horizontal="center"/>
    </xf>
    <xf numFmtId="0" fontId="18" fillId="13" borderId="11" xfId="5" applyFont="1" applyFill="1" applyBorder="1"/>
    <xf numFmtId="0" fontId="17" fillId="13" borderId="11" xfId="5" applyFill="1" applyBorder="1" applyAlignment="1">
      <alignment horizontal="center"/>
    </xf>
    <xf numFmtId="0" fontId="34" fillId="13" borderId="11" xfId="5" applyFont="1" applyFill="1" applyBorder="1" applyAlignment="1">
      <alignment horizontal="center"/>
    </xf>
    <xf numFmtId="0" fontId="17" fillId="3" borderId="4" xfId="5" applyFill="1" applyBorder="1"/>
    <xf numFmtId="0" fontId="17" fillId="3" borderId="4" xfId="5" applyFill="1" applyBorder="1" applyAlignment="1">
      <alignment horizontal="center"/>
    </xf>
    <xf numFmtId="0" fontId="17" fillId="3" borderId="11" xfId="5" applyFill="1" applyBorder="1" applyAlignment="1">
      <alignment horizontal="center"/>
    </xf>
    <xf numFmtId="0" fontId="34" fillId="9" borderId="4" xfId="5" applyFont="1" applyFill="1" applyBorder="1" applyAlignment="1">
      <alignment horizontal="center"/>
    </xf>
    <xf numFmtId="0" fontId="34" fillId="9" borderId="11" xfId="5" applyFont="1" applyFill="1" applyBorder="1" applyAlignment="1">
      <alignment horizontal="center"/>
    </xf>
    <xf numFmtId="0" fontId="20" fillId="9" borderId="4" xfId="5" applyFont="1" applyFill="1" applyBorder="1" applyAlignment="1">
      <alignment horizontal="center"/>
    </xf>
    <xf numFmtId="0" fontId="20" fillId="9" borderId="11" xfId="5" applyFont="1" applyFill="1" applyBorder="1" applyAlignment="1">
      <alignment horizontal="center"/>
    </xf>
    <xf numFmtId="0" fontId="17" fillId="0" borderId="1" xfId="5" applyFont="1" applyBorder="1" applyAlignment="1">
      <alignment horizontal="right"/>
    </xf>
    <xf numFmtId="0" fontId="18" fillId="13" borderId="2" xfId="5" quotePrefix="1" applyFont="1" applyFill="1" applyBorder="1"/>
    <xf numFmtId="0" fontId="18" fillId="13" borderId="2" xfId="5" quotePrefix="1" applyFont="1" applyFill="1" applyBorder="1" applyAlignment="1">
      <alignment horizontal="center"/>
    </xf>
    <xf numFmtId="0" fontId="18" fillId="13" borderId="3" xfId="5" applyFont="1" applyFill="1" applyBorder="1"/>
    <xf numFmtId="0" fontId="17" fillId="6" borderId="0" xfId="5" applyFill="1" applyBorder="1" applyAlignment="1">
      <alignment horizontal="center"/>
    </xf>
    <xf numFmtId="2" fontId="17" fillId="6" borderId="0" xfId="5" applyNumberFormat="1" applyFill="1" applyBorder="1" applyAlignment="1">
      <alignment horizontal="center"/>
    </xf>
    <xf numFmtId="0" fontId="17" fillId="13" borderId="5" xfId="5" quotePrefix="1" applyFont="1" applyFill="1" applyBorder="1"/>
    <xf numFmtId="2" fontId="17" fillId="7" borderId="0" xfId="5" applyNumberFormat="1" applyFill="1" applyBorder="1" applyAlignment="1">
      <alignment horizontal="center"/>
    </xf>
    <xf numFmtId="0" fontId="17" fillId="7" borderId="0" xfId="5" applyFill="1" applyBorder="1" applyAlignment="1">
      <alignment horizontal="center"/>
    </xf>
    <xf numFmtId="0" fontId="17" fillId="13" borderId="6" xfId="5" applyFont="1" applyFill="1" applyBorder="1" applyAlignment="1">
      <alignment horizontal="right"/>
    </xf>
    <xf numFmtId="0" fontId="21" fillId="13" borderId="7" xfId="5" applyFont="1" applyFill="1" applyBorder="1" applyAlignment="1">
      <alignment horizontal="center"/>
    </xf>
    <xf numFmtId="2" fontId="21" fillId="13" borderId="7" xfId="5" applyNumberFormat="1" applyFont="1" applyFill="1" applyBorder="1" applyAlignment="1">
      <alignment horizontal="center"/>
    </xf>
    <xf numFmtId="0" fontId="17" fillId="13" borderId="8" xfId="5" quotePrefix="1" applyFont="1" applyFill="1" applyBorder="1"/>
    <xf numFmtId="0" fontId="17" fillId="13" borderId="1" xfId="5" applyFont="1" applyFill="1" applyBorder="1" applyAlignment="1">
      <alignment horizontal="right"/>
    </xf>
    <xf numFmtId="2" fontId="21" fillId="3" borderId="0" xfId="5" applyNumberFormat="1" applyFont="1" applyFill="1" applyBorder="1" applyAlignment="1">
      <alignment horizontal="center"/>
    </xf>
    <xf numFmtId="2" fontId="17" fillId="6" borderId="7" xfId="5" applyNumberFormat="1" applyFill="1" applyBorder="1" applyAlignment="1">
      <alignment horizontal="center"/>
    </xf>
    <xf numFmtId="0" fontId="21" fillId="13" borderId="0" xfId="5" applyFont="1" applyFill="1" applyBorder="1" applyAlignment="1">
      <alignment horizontal="center"/>
    </xf>
    <xf numFmtId="2" fontId="17" fillId="8" borderId="7" xfId="5" applyNumberFormat="1" applyFill="1" applyBorder="1" applyAlignment="1">
      <alignment horizontal="center"/>
    </xf>
    <xf numFmtId="0" fontId="44" fillId="14" borderId="34" xfId="5" applyFont="1" applyFill="1" applyBorder="1"/>
    <xf numFmtId="164" fontId="20" fillId="9" borderId="0" xfId="5" applyNumberFormat="1" applyFont="1" applyFill="1" applyBorder="1" applyAlignment="1">
      <alignment horizontal="center"/>
    </xf>
    <xf numFmtId="164" fontId="20" fillId="9" borderId="7" xfId="5" applyNumberFormat="1" applyFont="1" applyFill="1" applyBorder="1" applyAlignment="1">
      <alignment horizontal="center"/>
    </xf>
    <xf numFmtId="0" fontId="17" fillId="13" borderId="0" xfId="5" applyFont="1" applyFill="1" applyAlignment="1">
      <alignment horizontal="left"/>
    </xf>
    <xf numFmtId="0" fontId="17" fillId="13" borderId="0" xfId="5" applyFill="1" applyAlignment="1">
      <alignment horizontal="left"/>
    </xf>
    <xf numFmtId="0" fontId="68" fillId="20" borderId="0" xfId="5" applyFont="1" applyFill="1"/>
    <xf numFmtId="0" fontId="66" fillId="13" borderId="0" xfId="5" applyFont="1" applyFill="1" applyAlignment="1">
      <alignment vertical="top"/>
    </xf>
    <xf numFmtId="0" fontId="0" fillId="7" borderId="32" xfId="0" applyFill="1" applyBorder="1" applyAlignment="1">
      <alignment horizontal="center"/>
    </xf>
    <xf numFmtId="0" fontId="0" fillId="7" borderId="33" xfId="0" applyFill="1" applyBorder="1" applyAlignment="1">
      <alignment horizontal="center"/>
    </xf>
    <xf numFmtId="164" fontId="47" fillId="7" borderId="32" xfId="0" applyNumberFormat="1" applyFont="1" applyFill="1" applyBorder="1" applyAlignment="1">
      <alignment horizontal="center"/>
    </xf>
    <xf numFmtId="0" fontId="7" fillId="7" borderId="33" xfId="0" applyFont="1" applyFill="1" applyBorder="1" applyAlignment="1">
      <alignment horizontal="center"/>
    </xf>
    <xf numFmtId="2" fontId="47" fillId="7" borderId="32" xfId="0" applyNumberFormat="1" applyFont="1" applyFill="1" applyBorder="1" applyAlignment="1">
      <alignment horizontal="center"/>
    </xf>
    <xf numFmtId="0" fontId="2" fillId="7" borderId="16" xfId="0" applyFont="1" applyFill="1" applyBorder="1" applyAlignment="1">
      <alignment horizontal="center"/>
    </xf>
    <xf numFmtId="0" fontId="0" fillId="7" borderId="9" xfId="0" applyFill="1" applyBorder="1" applyAlignment="1">
      <alignment horizontal="center"/>
    </xf>
    <xf numFmtId="9" fontId="63" fillId="14" borderId="9" xfId="2" applyFont="1" applyFill="1" applyBorder="1" applyAlignment="1">
      <alignment horizontal="right"/>
    </xf>
    <xf numFmtId="0" fontId="63" fillId="14" borderId="9" xfId="0" applyFont="1" applyFill="1" applyBorder="1" applyAlignment="1">
      <alignment horizontal="left"/>
    </xf>
    <xf numFmtId="0" fontId="0" fillId="7" borderId="9" xfId="0" applyFill="1" applyBorder="1"/>
    <xf numFmtId="2" fontId="0" fillId="7" borderId="9" xfId="0" applyNumberFormat="1" applyFont="1" applyFill="1" applyBorder="1" applyAlignment="1">
      <alignment horizontal="center"/>
    </xf>
    <xf numFmtId="2" fontId="0" fillId="7" borderId="9" xfId="0" applyNumberFormat="1" applyFill="1" applyBorder="1" applyAlignment="1">
      <alignment horizontal="center"/>
    </xf>
    <xf numFmtId="2" fontId="2" fillId="7" borderId="9" xfId="0" applyNumberFormat="1" applyFont="1" applyFill="1" applyBorder="1" applyAlignment="1">
      <alignment horizontal="center"/>
    </xf>
    <xf numFmtId="164" fontId="2" fillId="7" borderId="9" xfId="0" applyNumberFormat="1" applyFont="1" applyFill="1" applyBorder="1" applyAlignment="1">
      <alignment horizontal="center"/>
    </xf>
    <xf numFmtId="0" fontId="0" fillId="13" borderId="0" xfId="0" applyFill="1" applyAlignment="1">
      <alignment horizontal="right"/>
    </xf>
    <xf numFmtId="0" fontId="0" fillId="13" borderId="0" xfId="0" applyFill="1" applyAlignment="1">
      <alignment horizontal="center"/>
    </xf>
    <xf numFmtId="0" fontId="2" fillId="13" borderId="0" xfId="0" applyFont="1" applyFill="1" applyBorder="1"/>
    <xf numFmtId="0" fontId="0" fillId="13" borderId="0" xfId="0" applyFill="1" applyBorder="1"/>
    <xf numFmtId="9" fontId="0" fillId="13" borderId="0" xfId="2" applyFont="1" applyFill="1" applyAlignment="1">
      <alignment horizontal="center"/>
    </xf>
    <xf numFmtId="0" fontId="16" fillId="13" borderId="0" xfId="0" applyFont="1" applyFill="1"/>
    <xf numFmtId="0" fontId="16" fillId="13" borderId="0" xfId="0" applyFont="1" applyFill="1" applyAlignment="1">
      <alignment horizontal="right"/>
    </xf>
    <xf numFmtId="0" fontId="16" fillId="13" borderId="0" xfId="0" applyFont="1" applyFill="1" applyAlignment="1">
      <alignment horizontal="center"/>
    </xf>
    <xf numFmtId="0" fontId="12" fillId="13" borderId="0" xfId="0" applyFont="1" applyFill="1" applyAlignment="1"/>
    <xf numFmtId="0" fontId="13" fillId="13" borderId="0" xfId="0" applyFont="1" applyFill="1"/>
    <xf numFmtId="0" fontId="11" fillId="13" borderId="10" xfId="0" applyFont="1" applyFill="1" applyBorder="1"/>
    <xf numFmtId="0" fontId="9" fillId="13" borderId="0" xfId="0" applyFont="1" applyFill="1" applyBorder="1"/>
    <xf numFmtId="0" fontId="18" fillId="13" borderId="12" xfId="5" applyFont="1" applyFill="1" applyBorder="1" applyAlignment="1">
      <alignment horizontal="center"/>
    </xf>
    <xf numFmtId="0" fontId="10" fillId="13" borderId="0" xfId="3" applyFont="1" applyFill="1" applyBorder="1" applyAlignment="1">
      <alignment horizontal="center"/>
    </xf>
    <xf numFmtId="0" fontId="10" fillId="13" borderId="0" xfId="3" applyFont="1" applyFill="1" applyBorder="1" applyAlignment="1">
      <alignment horizontal="center" wrapText="1"/>
    </xf>
    <xf numFmtId="0" fontId="10" fillId="13" borderId="0" xfId="3" quotePrefix="1" applyFont="1" applyFill="1" applyBorder="1" applyAlignment="1">
      <alignment horizontal="left" wrapText="1"/>
    </xf>
    <xf numFmtId="0" fontId="11" fillId="13" borderId="0" xfId="0" applyFont="1" applyFill="1" applyBorder="1"/>
    <xf numFmtId="0" fontId="7" fillId="13" borderId="0" xfId="0" applyFont="1" applyFill="1" applyBorder="1" applyAlignment="1">
      <alignment wrapText="1"/>
    </xf>
    <xf numFmtId="0" fontId="7" fillId="13" borderId="0" xfId="0" applyFont="1" applyFill="1" applyBorder="1" applyAlignment="1">
      <alignment horizontal="center" wrapText="1"/>
    </xf>
    <xf numFmtId="0" fontId="7" fillId="13" borderId="0" xfId="0" applyFont="1" applyFill="1" applyBorder="1" applyAlignment="1">
      <alignment horizontal="center"/>
    </xf>
    <xf numFmtId="0" fontId="59" fillId="13" borderId="0" xfId="3" applyFont="1" applyFill="1" applyBorder="1" applyAlignment="1">
      <alignment horizontal="center" wrapText="1"/>
    </xf>
    <xf numFmtId="0" fontId="47" fillId="13" borderId="7" xfId="0" applyFont="1" applyFill="1" applyBorder="1"/>
    <xf numFmtId="0" fontId="10" fillId="13" borderId="7" xfId="3" applyFont="1" applyFill="1" applyBorder="1" applyAlignment="1">
      <alignment horizontal="center"/>
    </xf>
    <xf numFmtId="0" fontId="10" fillId="13" borderId="7" xfId="3" applyFont="1" applyFill="1" applyBorder="1" applyAlignment="1">
      <alignment horizontal="center" wrapText="1"/>
    </xf>
    <xf numFmtId="0" fontId="10" fillId="13" borderId="7" xfId="3" quotePrefix="1" applyFont="1" applyFill="1" applyBorder="1" applyAlignment="1">
      <alignment horizontal="left" wrapText="1"/>
    </xf>
    <xf numFmtId="0" fontId="0" fillId="13" borderId="7" xfId="0" applyFill="1" applyBorder="1"/>
    <xf numFmtId="0" fontId="47" fillId="13" borderId="7" xfId="0" applyFont="1" applyFill="1" applyBorder="1" applyAlignment="1">
      <alignment horizontal="center"/>
    </xf>
    <xf numFmtId="0" fontId="0" fillId="13" borderId="7" xfId="0" applyFill="1" applyBorder="1" applyAlignment="1">
      <alignment horizontal="center"/>
    </xf>
    <xf numFmtId="0" fontId="60" fillId="13" borderId="7" xfId="0" applyFont="1" applyFill="1" applyBorder="1" applyAlignment="1">
      <alignment horizontal="center"/>
    </xf>
    <xf numFmtId="164" fontId="0" fillId="13" borderId="0" xfId="0" applyNumberFormat="1" applyFill="1" applyAlignment="1">
      <alignment horizontal="center"/>
    </xf>
    <xf numFmtId="0" fontId="0" fillId="13" borderId="0" xfId="0" applyFill="1" applyBorder="1" applyAlignment="1">
      <alignment horizontal="center"/>
    </xf>
    <xf numFmtId="164" fontId="0" fillId="13" borderId="0" xfId="0" applyNumberFormat="1" applyFill="1" applyBorder="1" applyAlignment="1">
      <alignment horizontal="center"/>
    </xf>
    <xf numFmtId="0" fontId="0" fillId="13" borderId="0" xfId="0" applyFill="1" applyBorder="1" applyAlignment="1">
      <alignment horizontal="right"/>
    </xf>
    <xf numFmtId="0" fontId="0" fillId="13" borderId="0" xfId="1" applyNumberFormat="1" applyFont="1" applyFill="1" applyAlignment="1">
      <alignment horizontal="center"/>
    </xf>
    <xf numFmtId="9" fontId="0" fillId="13" borderId="0" xfId="2" applyFont="1" applyFill="1" applyBorder="1" applyAlignment="1">
      <alignment horizontal="center"/>
    </xf>
    <xf numFmtId="1" fontId="0" fillId="13" borderId="0" xfId="0" applyNumberFormat="1" applyFill="1"/>
    <xf numFmtId="2" fontId="0" fillId="13" borderId="0" xfId="0" applyNumberFormat="1" applyFill="1"/>
    <xf numFmtId="0" fontId="7" fillId="13" borderId="0" xfId="0" applyFont="1" applyFill="1" applyAlignment="1">
      <alignment horizontal="left"/>
    </xf>
    <xf numFmtId="49" fontId="0" fillId="13" borderId="0" xfId="0" applyNumberFormat="1" applyFill="1" applyBorder="1" applyAlignment="1">
      <alignment horizontal="left"/>
    </xf>
    <xf numFmtId="165" fontId="62" fillId="13" borderId="0" xfId="0" applyNumberFormat="1" applyFont="1" applyFill="1"/>
    <xf numFmtId="0" fontId="14" fillId="13" borderId="0" xfId="0" applyFont="1" applyFill="1"/>
    <xf numFmtId="9" fontId="2" fillId="13" borderId="0" xfId="2" applyFont="1" applyFill="1" applyAlignment="1">
      <alignment horizontal="center"/>
    </xf>
    <xf numFmtId="0" fontId="0" fillId="13" borderId="5" xfId="0" applyFill="1" applyBorder="1" applyAlignment="1">
      <alignment horizontal="center"/>
    </xf>
    <xf numFmtId="0" fontId="2" fillId="13" borderId="6" xfId="0" applyFont="1" applyFill="1" applyBorder="1" applyAlignment="1"/>
    <xf numFmtId="0" fontId="2" fillId="13" borderId="1" xfId="0" applyFont="1" applyFill="1" applyBorder="1"/>
    <xf numFmtId="0" fontId="2" fillId="13" borderId="13" xfId="0" applyFont="1" applyFill="1" applyBorder="1" applyAlignment="1"/>
    <xf numFmtId="0" fontId="0" fillId="13" borderId="13" xfId="0" applyFill="1" applyBorder="1"/>
    <xf numFmtId="0" fontId="0" fillId="13" borderId="14" xfId="0" applyFill="1" applyBorder="1"/>
    <xf numFmtId="0" fontId="2" fillId="13" borderId="3" xfId="0" applyFont="1" applyFill="1" applyBorder="1"/>
    <xf numFmtId="0" fontId="0" fillId="13" borderId="5" xfId="0" applyFill="1" applyBorder="1"/>
    <xf numFmtId="0" fontId="0" fillId="13" borderId="6" xfId="0" applyFill="1" applyBorder="1"/>
    <xf numFmtId="0" fontId="0" fillId="13" borderId="8" xfId="0" applyFill="1" applyBorder="1"/>
    <xf numFmtId="0" fontId="2" fillId="13" borderId="6" xfId="0" applyFont="1" applyFill="1" applyBorder="1" applyAlignment="1">
      <alignment horizontal="center"/>
    </xf>
    <xf numFmtId="0" fontId="2" fillId="13" borderId="7" xfId="0" applyFont="1" applyFill="1" applyBorder="1" applyAlignment="1">
      <alignment horizontal="center"/>
    </xf>
    <xf numFmtId="0" fontId="2" fillId="13" borderId="2" xfId="0" applyFont="1" applyFill="1" applyBorder="1" applyAlignment="1">
      <alignment horizontal="left"/>
    </xf>
    <xf numFmtId="0" fontId="2" fillId="13" borderId="3" xfId="0" applyFont="1" applyFill="1" applyBorder="1" applyAlignment="1">
      <alignment horizontal="left"/>
    </xf>
    <xf numFmtId="0" fontId="0" fillId="13" borderId="1" xfId="0" applyFill="1" applyBorder="1" applyAlignment="1">
      <alignment horizontal="right"/>
    </xf>
    <xf numFmtId="0" fontId="2" fillId="13" borderId="0" xfId="0" applyFont="1" applyFill="1" applyAlignment="1">
      <alignment horizontal="right"/>
    </xf>
    <xf numFmtId="0" fontId="0" fillId="13" borderId="12" xfId="0" applyFill="1" applyBorder="1" applyAlignment="1">
      <alignment horizontal="right"/>
    </xf>
    <xf numFmtId="0" fontId="0" fillId="0" borderId="0" xfId="0" applyFont="1" applyFill="1"/>
    <xf numFmtId="2" fontId="7" fillId="13" borderId="16" xfId="0" applyNumberFormat="1" applyFont="1" applyFill="1" applyBorder="1" applyAlignment="1">
      <alignment horizontal="right"/>
    </xf>
    <xf numFmtId="0" fontId="2" fillId="13" borderId="0" xfId="0" applyFont="1" applyFill="1" applyBorder="1" applyAlignment="1">
      <alignment horizontal="right"/>
    </xf>
    <xf numFmtId="1" fontId="0" fillId="13" borderId="13" xfId="0" applyNumberFormat="1" applyFill="1" applyBorder="1" applyAlignment="1">
      <alignment horizontal="center"/>
    </xf>
    <xf numFmtId="9" fontId="0" fillId="13" borderId="0" xfId="2" applyFont="1" applyFill="1"/>
    <xf numFmtId="1" fontId="0" fillId="13" borderId="13" xfId="0" applyNumberFormat="1" applyFill="1" applyBorder="1"/>
    <xf numFmtId="1" fontId="0" fillId="13" borderId="0" xfId="0" applyNumberFormat="1" applyFill="1" applyBorder="1"/>
    <xf numFmtId="0" fontId="0" fillId="13" borderId="0" xfId="0" quotePrefix="1" applyFill="1"/>
    <xf numFmtId="0" fontId="8" fillId="13" borderId="9" xfId="4" applyFont="1" applyFill="1" applyBorder="1" applyAlignment="1">
      <alignment horizontal="center"/>
    </xf>
    <xf numFmtId="0" fontId="8" fillId="13" borderId="0" xfId="4" applyFont="1" applyFill="1" applyBorder="1" applyAlignment="1">
      <alignment horizontal="center"/>
    </xf>
    <xf numFmtId="0" fontId="4" fillId="13" borderId="0" xfId="4" applyFont="1" applyFill="1" applyAlignment="1">
      <alignment horizontal="center"/>
    </xf>
    <xf numFmtId="0" fontId="8" fillId="13" borderId="12" xfId="4" applyFont="1" applyFill="1" applyBorder="1" applyAlignment="1">
      <alignment horizontal="center"/>
    </xf>
    <xf numFmtId="0" fontId="0" fillId="13" borderId="12" xfId="0" applyFill="1" applyBorder="1" applyAlignment="1">
      <alignment horizontal="center"/>
    </xf>
    <xf numFmtId="0" fontId="4" fillId="13" borderId="0" xfId="4" applyFont="1" applyFill="1" applyAlignment="1">
      <alignment horizontal="right"/>
    </xf>
    <xf numFmtId="0" fontId="58" fillId="13" borderId="0" xfId="0" applyFont="1" applyFill="1" applyAlignment="1">
      <alignment horizontal="center"/>
    </xf>
    <xf numFmtId="0" fontId="8" fillId="13" borderId="10" xfId="4" applyFont="1" applyFill="1" applyBorder="1" applyAlignment="1">
      <alignment horizontal="center"/>
    </xf>
    <xf numFmtId="0" fontId="8" fillId="13" borderId="1" xfId="3" applyFont="1" applyFill="1" applyBorder="1" applyAlignment="1">
      <alignment horizontal="center"/>
    </xf>
    <xf numFmtId="0" fontId="8" fillId="13" borderId="2" xfId="3" applyFont="1" applyFill="1" applyBorder="1" applyAlignment="1">
      <alignment horizontal="center"/>
    </xf>
    <xf numFmtId="0" fontId="8" fillId="13" borderId="3" xfId="3" applyFont="1" applyFill="1" applyBorder="1" applyAlignment="1">
      <alignment horizontal="center"/>
    </xf>
    <xf numFmtId="0" fontId="8" fillId="13" borderId="11" xfId="4" applyFont="1" applyFill="1" applyBorder="1" applyAlignment="1">
      <alignment horizontal="center"/>
    </xf>
    <xf numFmtId="0" fontId="8" fillId="13" borderId="4" xfId="3" applyFont="1" applyFill="1" applyBorder="1" applyAlignment="1">
      <alignment horizontal="center"/>
    </xf>
    <xf numFmtId="0" fontId="8" fillId="13" borderId="0" xfId="3" applyFont="1" applyFill="1" applyBorder="1" applyAlignment="1">
      <alignment horizontal="center"/>
    </xf>
    <xf numFmtId="0" fontId="8" fillId="13" borderId="5" xfId="3" applyFont="1" applyFill="1" applyBorder="1" applyAlignment="1">
      <alignment horizontal="center"/>
    </xf>
    <xf numFmtId="0" fontId="8" fillId="13" borderId="4" xfId="4" applyFont="1" applyFill="1" applyBorder="1" applyAlignment="1">
      <alignment horizontal="center"/>
    </xf>
    <xf numFmtId="0" fontId="8" fillId="13" borderId="5" xfId="4" applyFont="1" applyFill="1" applyBorder="1" applyAlignment="1">
      <alignment horizontal="center"/>
    </xf>
    <xf numFmtId="0" fontId="8" fillId="13" borderId="6" xfId="4" applyFont="1" applyFill="1" applyBorder="1" applyAlignment="1">
      <alignment horizontal="center"/>
    </xf>
    <xf numFmtId="0" fontId="8" fillId="13" borderId="7" xfId="4" applyFont="1" applyFill="1" applyBorder="1" applyAlignment="1">
      <alignment horizontal="center"/>
    </xf>
    <xf numFmtId="0" fontId="8" fillId="13" borderId="8" xfId="4" applyFont="1" applyFill="1" applyBorder="1" applyAlignment="1">
      <alignment horizontal="center"/>
    </xf>
    <xf numFmtId="164" fontId="57" fillId="13" borderId="0" xfId="0" applyNumberFormat="1" applyFont="1" applyFill="1" applyAlignment="1">
      <alignment horizontal="center"/>
    </xf>
    <xf numFmtId="2" fontId="57" fillId="13" borderId="0" xfId="0" applyNumberFormat="1" applyFont="1" applyFill="1" applyAlignment="1">
      <alignment horizontal="center"/>
    </xf>
    <xf numFmtId="1" fontId="0" fillId="13" borderId="0" xfId="0" applyNumberFormat="1" applyFill="1" applyAlignment="1">
      <alignment horizontal="center" vertical="center"/>
    </xf>
    <xf numFmtId="43" fontId="2" fillId="13" borderId="0" xfId="1" applyFont="1" applyFill="1" applyAlignment="1">
      <alignment horizontal="right"/>
    </xf>
    <xf numFmtId="2" fontId="0" fillId="13" borderId="0" xfId="1" quotePrefix="1" applyNumberFormat="1" applyFont="1" applyFill="1" applyAlignment="1">
      <alignment horizontal="center" vertical="center"/>
    </xf>
    <xf numFmtId="0" fontId="0" fillId="13" borderId="0" xfId="0" applyFill="1" applyBorder="1" applyAlignment="1">
      <alignment horizontal="left"/>
    </xf>
    <xf numFmtId="0" fontId="2" fillId="13" borderId="0" xfId="0" applyFont="1" applyFill="1" applyAlignment="1">
      <alignment horizontal="center"/>
    </xf>
    <xf numFmtId="0" fontId="56" fillId="13" borderId="6" xfId="0" applyFont="1" applyFill="1" applyBorder="1" applyAlignment="1">
      <alignment horizontal="right"/>
    </xf>
    <xf numFmtId="0" fontId="2" fillId="13" borderId="1" xfId="0" applyFont="1" applyFill="1" applyBorder="1" applyAlignment="1">
      <alignment horizontal="right"/>
    </xf>
    <xf numFmtId="0" fontId="2" fillId="13" borderId="4" xfId="0" applyFont="1" applyFill="1" applyBorder="1" applyAlignment="1">
      <alignment horizontal="right"/>
    </xf>
    <xf numFmtId="0" fontId="2" fillId="13" borderId="6" xfId="0" applyFont="1" applyFill="1" applyBorder="1" applyAlignment="1">
      <alignment horizontal="right"/>
    </xf>
    <xf numFmtId="0" fontId="0" fillId="13" borderId="3" xfId="0" applyFill="1" applyBorder="1" applyAlignment="1">
      <alignment horizontal="center"/>
    </xf>
    <xf numFmtId="0" fontId="0" fillId="13" borderId="1" xfId="0" applyFill="1" applyBorder="1" applyAlignment="1">
      <alignment horizontal="center"/>
    </xf>
    <xf numFmtId="0" fontId="0" fillId="13" borderId="4" xfId="0" applyFill="1" applyBorder="1" applyAlignment="1">
      <alignment horizontal="center"/>
    </xf>
    <xf numFmtId="0" fontId="0" fillId="13" borderId="2" xfId="0" applyFill="1" applyBorder="1" applyAlignment="1">
      <alignment horizontal="center"/>
    </xf>
    <xf numFmtId="164" fontId="0" fillId="13" borderId="2" xfId="0" applyNumberFormat="1" applyFill="1" applyBorder="1" applyAlignment="1">
      <alignment horizontal="center"/>
    </xf>
    <xf numFmtId="0" fontId="11" fillId="13" borderId="0" xfId="0" applyFont="1" applyFill="1"/>
    <xf numFmtId="2" fontId="11" fillId="13" borderId="0" xfId="0" applyNumberFormat="1" applyFont="1" applyFill="1" applyBorder="1" applyAlignment="1">
      <alignment horizontal="center"/>
    </xf>
    <xf numFmtId="0" fontId="0" fillId="13" borderId="2" xfId="0" applyFill="1" applyBorder="1" applyAlignment="1">
      <alignment horizontal="right"/>
    </xf>
    <xf numFmtId="0" fontId="0" fillId="13" borderId="21" xfId="0" applyFill="1" applyBorder="1" applyAlignment="1">
      <alignment horizontal="right"/>
    </xf>
    <xf numFmtId="0" fontId="0" fillId="13" borderId="2" xfId="0" applyFill="1" applyBorder="1"/>
    <xf numFmtId="0" fontId="18" fillId="13" borderId="0" xfId="5" applyFont="1" applyFill="1" applyAlignment="1">
      <alignment horizontal="left"/>
    </xf>
    <xf numFmtId="0" fontId="18" fillId="13" borderId="5" xfId="5" applyFont="1" applyFill="1" applyBorder="1" applyAlignment="1">
      <alignment horizontal="left"/>
    </xf>
    <xf numFmtId="0" fontId="18" fillId="15" borderId="4" xfId="5" applyFont="1" applyFill="1" applyBorder="1" applyAlignment="1">
      <alignment horizontal="center"/>
    </xf>
    <xf numFmtId="0" fontId="18" fillId="15" borderId="5" xfId="5" applyFont="1" applyFill="1" applyBorder="1" applyAlignment="1">
      <alignment horizontal="center"/>
    </xf>
    <xf numFmtId="0" fontId="18" fillId="15" borderId="0" xfId="5" applyFont="1" applyFill="1" applyBorder="1" applyAlignment="1">
      <alignment horizontal="center"/>
    </xf>
    <xf numFmtId="0" fontId="18" fillId="13" borderId="4" xfId="5" applyFont="1" applyFill="1" applyBorder="1" applyAlignment="1">
      <alignment horizontal="center"/>
    </xf>
    <xf numFmtId="0" fontId="18" fillId="13" borderId="5" xfId="5" applyFont="1" applyFill="1" applyBorder="1" applyAlignment="1">
      <alignment horizontal="center"/>
    </xf>
    <xf numFmtId="0" fontId="18" fillId="13" borderId="0" xfId="5" applyFont="1" applyFill="1" applyBorder="1" applyAlignment="1">
      <alignment horizontal="center"/>
    </xf>
    <xf numFmtId="1" fontId="21" fillId="13" borderId="4" xfId="5" applyNumberFormat="1" applyFont="1" applyFill="1" applyBorder="1" applyAlignment="1">
      <alignment horizontal="center"/>
    </xf>
    <xf numFmtId="1" fontId="21" fillId="13" borderId="5" xfId="5" applyNumberFormat="1" applyFont="1" applyFill="1" applyBorder="1" applyAlignment="1">
      <alignment horizontal="center"/>
    </xf>
    <xf numFmtId="164" fontId="17" fillId="13" borderId="4" xfId="5" applyNumberFormat="1" applyFill="1" applyBorder="1" applyAlignment="1">
      <alignment horizontal="center"/>
    </xf>
    <xf numFmtId="164" fontId="17" fillId="13" borderId="5" xfId="5" applyNumberFormat="1" applyFill="1" applyBorder="1" applyAlignment="1">
      <alignment horizontal="center"/>
    </xf>
    <xf numFmtId="164" fontId="17" fillId="13" borderId="0" xfId="5" applyNumberFormat="1" applyFill="1" applyBorder="1" applyAlignment="1">
      <alignment horizontal="center"/>
    </xf>
    <xf numFmtId="1" fontId="17" fillId="13" borderId="6" xfId="5" applyNumberFormat="1" applyFill="1" applyBorder="1" applyAlignment="1">
      <alignment horizontal="center"/>
    </xf>
    <xf numFmtId="0" fontId="17" fillId="13" borderId="8" xfId="5" applyFill="1" applyBorder="1" applyAlignment="1">
      <alignment horizontal="center"/>
    </xf>
    <xf numFmtId="0" fontId="17" fillId="13" borderId="7" xfId="5" applyFill="1" applyBorder="1" applyAlignment="1">
      <alignment horizontal="center"/>
    </xf>
    <xf numFmtId="164" fontId="17" fillId="15" borderId="6" xfId="5" applyNumberFormat="1" applyFill="1" applyBorder="1" applyAlignment="1">
      <alignment horizontal="center"/>
    </xf>
    <xf numFmtId="164" fontId="17" fillId="15" borderId="8" xfId="5" applyNumberFormat="1" applyFill="1" applyBorder="1" applyAlignment="1">
      <alignment horizontal="center"/>
    </xf>
    <xf numFmtId="164" fontId="17" fillId="15" borderId="7" xfId="5" applyNumberFormat="1" applyFill="1" applyBorder="1" applyAlignment="1">
      <alignment horizontal="center"/>
    </xf>
    <xf numFmtId="0" fontId="18" fillId="15" borderId="15" xfId="5" applyFont="1" applyFill="1" applyBorder="1" applyAlignment="1">
      <alignment horizontal="center"/>
    </xf>
    <xf numFmtId="0" fontId="18" fillId="15" borderId="14" xfId="5" applyFont="1" applyFill="1" applyBorder="1" applyAlignment="1">
      <alignment horizontal="center"/>
    </xf>
    <xf numFmtId="0" fontId="18" fillId="15" borderId="13" xfId="5" applyFont="1" applyFill="1" applyBorder="1" applyAlignment="1">
      <alignment horizontal="center"/>
    </xf>
    <xf numFmtId="164" fontId="17" fillId="13" borderId="6" xfId="5" applyNumberFormat="1" applyFill="1" applyBorder="1" applyAlignment="1">
      <alignment horizontal="center"/>
    </xf>
    <xf numFmtId="164" fontId="17" fillId="13" borderId="8" xfId="5" applyNumberFormat="1" applyFill="1" applyBorder="1" applyAlignment="1">
      <alignment horizontal="center"/>
    </xf>
    <xf numFmtId="164" fontId="28" fillId="0" borderId="1" xfId="5" applyNumberFormat="1" applyFont="1" applyFill="1" applyBorder="1" applyAlignment="1">
      <alignment horizontal="center"/>
    </xf>
    <xf numFmtId="164" fontId="28" fillId="0" borderId="3" xfId="5" applyNumberFormat="1" applyFont="1" applyFill="1" applyBorder="1" applyAlignment="1">
      <alignment horizontal="center"/>
    </xf>
    <xf numFmtId="164" fontId="28" fillId="0" borderId="2" xfId="5" applyNumberFormat="1" applyFont="1" applyFill="1" applyBorder="1" applyAlignment="1">
      <alignment horizontal="center"/>
    </xf>
    <xf numFmtId="0" fontId="17" fillId="9" borderId="4" xfId="5" applyFill="1" applyBorder="1" applyAlignment="1">
      <alignment horizontal="center"/>
    </xf>
    <xf numFmtId="0" fontId="17" fillId="9" borderId="0" xfId="5" applyFill="1" applyBorder="1" applyAlignment="1">
      <alignment horizontal="center"/>
    </xf>
    <xf numFmtId="0" fontId="17" fillId="5" borderId="9" xfId="5" applyFill="1" applyBorder="1" applyAlignment="1">
      <alignment horizontal="center"/>
    </xf>
    <xf numFmtId="0" fontId="17" fillId="5" borderId="15" xfId="5" applyFill="1" applyBorder="1" applyAlignment="1">
      <alignment horizontal="center"/>
    </xf>
    <xf numFmtId="164" fontId="17" fillId="9" borderId="4" xfId="5" applyNumberFormat="1" applyFill="1" applyBorder="1" applyAlignment="1">
      <alignment horizontal="center"/>
    </xf>
    <xf numFmtId="164" fontId="17" fillId="9" borderId="0" xfId="5" applyNumberFormat="1" applyFill="1" applyBorder="1" applyAlignment="1">
      <alignment horizontal="center"/>
    </xf>
    <xf numFmtId="0" fontId="18" fillId="0" borderId="4" xfId="5" applyFont="1" applyBorder="1" applyAlignment="1">
      <alignment horizontal="center"/>
    </xf>
    <xf numFmtId="0" fontId="18" fillId="0" borderId="5" xfId="5" applyFont="1" applyBorder="1" applyAlignment="1">
      <alignment horizontal="center"/>
    </xf>
    <xf numFmtId="0" fontId="18" fillId="0" borderId="0" xfId="5" applyFont="1" applyBorder="1" applyAlignment="1">
      <alignment horizontal="center"/>
    </xf>
    <xf numFmtId="164" fontId="17" fillId="15" borderId="4" xfId="5" applyNumberFormat="1" applyFill="1" applyBorder="1" applyAlignment="1">
      <alignment horizontal="center"/>
    </xf>
    <xf numFmtId="164" fontId="17" fillId="15" borderId="0" xfId="5" applyNumberFormat="1" applyFill="1" applyBorder="1" applyAlignment="1">
      <alignment horizontal="center"/>
    </xf>
    <xf numFmtId="0" fontId="18" fillId="0" borderId="15" xfId="5" applyFont="1" applyBorder="1" applyAlignment="1">
      <alignment horizontal="center"/>
    </xf>
    <xf numFmtId="0" fontId="18" fillId="0" borderId="14" xfId="5" applyFont="1" applyBorder="1" applyAlignment="1">
      <alignment horizontal="center"/>
    </xf>
    <xf numFmtId="0" fontId="18" fillId="0" borderId="0" xfId="5" applyFont="1" applyAlignment="1">
      <alignment horizontal="center"/>
    </xf>
    <xf numFmtId="0" fontId="18" fillId="13" borderId="0" xfId="5" applyFont="1" applyFill="1" applyAlignment="1">
      <alignment horizontal="center"/>
    </xf>
    <xf numFmtId="2" fontId="21" fillId="13" borderId="0" xfId="5" applyNumberFormat="1" applyFont="1" applyFill="1" applyAlignment="1">
      <alignment horizontal="center"/>
    </xf>
    <xf numFmtId="165" fontId="21" fillId="13" borderId="0" xfId="5" applyNumberFormat="1" applyFont="1" applyFill="1" applyAlignment="1">
      <alignment horizontal="center"/>
    </xf>
    <xf numFmtId="9" fontId="21" fillId="13" borderId="0" xfId="2" applyFont="1" applyFill="1" applyAlignment="1">
      <alignment horizontal="center"/>
    </xf>
    <xf numFmtId="1" fontId="17" fillId="11" borderId="0" xfId="5" applyNumberFormat="1" applyFill="1" applyAlignment="1">
      <alignment horizontal="center"/>
    </xf>
    <xf numFmtId="1" fontId="44" fillId="16" borderId="0" xfId="5" applyNumberFormat="1" applyFont="1" applyFill="1" applyAlignment="1">
      <alignment horizontal="center"/>
    </xf>
    <xf numFmtId="164" fontId="44" fillId="18" borderId="0" xfId="5" applyNumberFormat="1" applyFont="1" applyFill="1" applyAlignment="1">
      <alignment horizontal="center"/>
    </xf>
    <xf numFmtId="0" fontId="17" fillId="0" borderId="1" xfId="5" applyBorder="1" applyAlignment="1">
      <alignment horizontal="center" wrapText="1"/>
    </xf>
    <xf numFmtId="0" fontId="17" fillId="0" borderId="2" xfId="5" applyBorder="1" applyAlignment="1">
      <alignment horizontal="center" wrapText="1"/>
    </xf>
    <xf numFmtId="0" fontId="17" fillId="0" borderId="6" xfId="5" applyBorder="1" applyAlignment="1">
      <alignment horizontal="center" wrapText="1"/>
    </xf>
    <xf numFmtId="0" fontId="17" fillId="0" borderId="7" xfId="5" applyBorder="1" applyAlignment="1">
      <alignment horizontal="center" wrapText="1"/>
    </xf>
    <xf numFmtId="1" fontId="17" fillId="0" borderId="15" xfId="5" applyNumberFormat="1" applyBorder="1" applyAlignment="1">
      <alignment horizontal="center"/>
    </xf>
    <xf numFmtId="1" fontId="17" fillId="0" borderId="13" xfId="5" applyNumberFormat="1" applyBorder="1" applyAlignment="1">
      <alignment horizontal="center"/>
    </xf>
    <xf numFmtId="2" fontId="17" fillId="15" borderId="9" xfId="5" applyNumberFormat="1" applyFill="1" applyBorder="1" applyAlignment="1">
      <alignment horizontal="center"/>
    </xf>
    <xf numFmtId="2" fontId="17" fillId="15" borderId="15" xfId="5" applyNumberFormat="1" applyFill="1" applyBorder="1" applyAlignment="1">
      <alignment horizontal="center"/>
    </xf>
    <xf numFmtId="2" fontId="17" fillId="11" borderId="9" xfId="5" applyNumberFormat="1" applyFill="1" applyBorder="1" applyAlignment="1">
      <alignment horizontal="center"/>
    </xf>
    <xf numFmtId="2" fontId="17" fillId="11" borderId="15" xfId="5" applyNumberFormat="1" applyFill="1" applyBorder="1" applyAlignment="1">
      <alignment horizontal="center"/>
    </xf>
    <xf numFmtId="0" fontId="18" fillId="0" borderId="9" xfId="5" applyFont="1" applyBorder="1" applyAlignment="1">
      <alignment horizontal="center"/>
    </xf>
    <xf numFmtId="164" fontId="17" fillId="11" borderId="9" xfId="5" applyNumberFormat="1" applyFill="1" applyBorder="1" applyAlignment="1">
      <alignment horizontal="center"/>
    </xf>
    <xf numFmtId="1" fontId="17" fillId="0" borderId="9" xfId="5" applyNumberFormat="1" applyBorder="1" applyAlignment="1">
      <alignment horizontal="center"/>
    </xf>
    <xf numFmtId="1" fontId="17" fillId="0" borderId="14" xfId="5" applyNumberFormat="1" applyBorder="1" applyAlignment="1">
      <alignment horizontal="center"/>
    </xf>
    <xf numFmtId="1" fontId="17" fillId="5" borderId="9" xfId="5" applyNumberFormat="1" applyFill="1" applyBorder="1" applyAlignment="1">
      <alignment horizontal="center"/>
    </xf>
    <xf numFmtId="1" fontId="17" fillId="13" borderId="0" xfId="5" applyNumberFormat="1" applyFill="1" applyAlignment="1">
      <alignment horizontal="center"/>
    </xf>
    <xf numFmtId="9" fontId="17" fillId="0" borderId="2" xfId="2" applyFont="1" applyBorder="1" applyAlignment="1">
      <alignment horizontal="center"/>
    </xf>
    <xf numFmtId="1" fontId="21" fillId="3" borderId="4" xfId="5" applyNumberFormat="1" applyFont="1" applyFill="1" applyBorder="1" applyAlignment="1">
      <alignment horizontal="center"/>
    </xf>
    <xf numFmtId="1" fontId="21" fillId="3" borderId="5" xfId="5" applyNumberFormat="1" applyFont="1" applyFill="1" applyBorder="1" applyAlignment="1">
      <alignment horizontal="center"/>
    </xf>
    <xf numFmtId="164" fontId="21" fillId="3" borderId="4" xfId="5" applyNumberFormat="1" applyFont="1" applyFill="1" applyBorder="1" applyAlignment="1">
      <alignment horizontal="center"/>
    </xf>
    <xf numFmtId="164" fontId="21" fillId="3" borderId="5" xfId="5" applyNumberFormat="1" applyFont="1" applyFill="1" applyBorder="1" applyAlignment="1">
      <alignment horizontal="center"/>
    </xf>
    <xf numFmtId="1" fontId="17" fillId="13" borderId="4" xfId="5" applyNumberFormat="1" applyFill="1" applyBorder="1" applyAlignment="1">
      <alignment horizontal="center"/>
    </xf>
    <xf numFmtId="1" fontId="17" fillId="13" borderId="5" xfId="5" applyNumberFormat="1" applyFill="1" applyBorder="1" applyAlignment="1">
      <alignment horizontal="center"/>
    </xf>
    <xf numFmtId="0" fontId="21" fillId="3" borderId="4" xfId="5" applyFont="1" applyFill="1" applyBorder="1" applyAlignment="1">
      <alignment horizontal="center"/>
    </xf>
    <xf numFmtId="0" fontId="21" fillId="3" borderId="5" xfId="5" applyFont="1" applyFill="1" applyBorder="1" applyAlignment="1">
      <alignment horizontal="center"/>
    </xf>
    <xf numFmtId="1" fontId="21" fillId="13" borderId="0" xfId="5" applyNumberFormat="1" applyFont="1" applyFill="1" applyBorder="1" applyAlignment="1">
      <alignment horizontal="center"/>
    </xf>
    <xf numFmtId="0" fontId="19" fillId="0" borderId="1" xfId="5" applyFont="1" applyBorder="1" applyAlignment="1">
      <alignment horizontal="center" wrapText="1"/>
    </xf>
    <xf numFmtId="0" fontId="19" fillId="0" borderId="3" xfId="5" applyFont="1" applyBorder="1" applyAlignment="1">
      <alignment horizontal="center" wrapText="1"/>
    </xf>
    <xf numFmtId="0" fontId="19" fillId="0" borderId="6" xfId="5" applyFont="1" applyBorder="1" applyAlignment="1">
      <alignment horizontal="center" wrapText="1"/>
    </xf>
    <xf numFmtId="0" fontId="19" fillId="0" borderId="8" xfId="5" applyFont="1" applyBorder="1" applyAlignment="1">
      <alignment horizontal="center" wrapText="1"/>
    </xf>
    <xf numFmtId="1" fontId="17" fillId="3" borderId="9" xfId="5" applyNumberFormat="1" applyFill="1" applyBorder="1" applyAlignment="1">
      <alignment horizontal="center"/>
    </xf>
    <xf numFmtId="1" fontId="17" fillId="3" borderId="15" xfId="5" applyNumberFormat="1" applyFill="1" applyBorder="1" applyAlignment="1">
      <alignment horizontal="center"/>
    </xf>
    <xf numFmtId="1" fontId="17" fillId="5" borderId="15" xfId="5" applyNumberForma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7" fillId="9" borderId="15" xfId="0" applyFont="1" applyFill="1" applyBorder="1" applyAlignment="1">
      <alignment horizontal="center"/>
    </xf>
    <xf numFmtId="0" fontId="7" fillId="9" borderId="13" xfId="0" applyFont="1" applyFill="1" applyBorder="1" applyAlignment="1">
      <alignment horizontal="center"/>
    </xf>
    <xf numFmtId="0" fontId="2" fillId="13" borderId="15" xfId="0" applyFont="1" applyFill="1" applyBorder="1" applyAlignment="1">
      <alignment horizontal="center"/>
    </xf>
    <xf numFmtId="0" fontId="2" fillId="13" borderId="13" xfId="0" applyFont="1" applyFill="1" applyBorder="1" applyAlignment="1">
      <alignment horizontal="center"/>
    </xf>
    <xf numFmtId="0" fontId="0" fillId="13" borderId="1" xfId="0" applyFill="1" applyBorder="1"/>
    <xf numFmtId="0" fontId="0" fillId="13" borderId="4" xfId="0" applyFill="1" applyBorder="1" applyAlignment="1">
      <alignment horizontal="right"/>
    </xf>
    <xf numFmtId="0" fontId="16" fillId="13" borderId="4" xfId="0" applyFont="1" applyFill="1" applyBorder="1"/>
    <xf numFmtId="165" fontId="15" fillId="13" borderId="4" xfId="0" applyNumberFormat="1" applyFont="1" applyFill="1" applyBorder="1"/>
    <xf numFmtId="0" fontId="17" fillId="6" borderId="0" xfId="5" applyFill="1" applyAlignment="1">
      <alignment horizontal="left"/>
    </xf>
    <xf numFmtId="1" fontId="0" fillId="10" borderId="0" xfId="7" applyNumberFormat="1" applyFont="1" applyFill="1" applyAlignment="1">
      <alignment horizontal="left"/>
    </xf>
    <xf numFmtId="0" fontId="13" fillId="21" borderId="0" xfId="0" applyFont="1" applyFill="1"/>
    <xf numFmtId="0" fontId="0" fillId="21" borderId="0" xfId="0" applyFill="1"/>
    <xf numFmtId="0" fontId="13" fillId="19" borderId="0" xfId="0" applyFont="1" applyFill="1"/>
    <xf numFmtId="0" fontId="0" fillId="19" borderId="0" xfId="0" applyFill="1"/>
  </cellXfs>
  <cellStyles count="9">
    <cellStyle name="Comma" xfId="1" builtinId="3"/>
    <cellStyle name="Comma 2" xfId="7" xr:uid="{9CFE483E-0E61-4A5D-AA41-F9DA267F7799}"/>
    <cellStyle name="Hyperlink" xfId="8" builtinId="8"/>
    <cellStyle name="Normal" xfId="0" builtinId="0"/>
    <cellStyle name="Normal 2" xfId="3" xr:uid="{3E9DBCBE-36B5-49E9-AA16-85E2273BB35F}"/>
    <cellStyle name="Normal 3" xfId="5" xr:uid="{CC96F4A0-6445-4B99-BC6C-89CCAA3E3FCA}"/>
    <cellStyle name="Normal_EcoBoilerLex" xfId="4" xr:uid="{ADCBB2A4-A7A2-4EF8-A1BE-635316D88379}"/>
    <cellStyle name="Percent" xfId="2" builtinId="5"/>
    <cellStyle name="Percent 2" xfId="6" xr:uid="{6BC8D0A6-7AD2-4A19-B383-D839B0CE6100}"/>
  </cellStyles>
  <dxfs count="7">
    <dxf>
      <font>
        <color rgb="FFFF0000"/>
      </font>
    </dxf>
    <dxf>
      <font>
        <color rgb="FFFF0000"/>
      </font>
    </dxf>
    <dxf>
      <fill>
        <patternFill>
          <bgColor theme="8" tint="0.39994506668294322"/>
        </patternFill>
      </fill>
    </dxf>
    <dxf>
      <font>
        <color rgb="FFFF0000"/>
      </font>
    </dxf>
    <dxf>
      <font>
        <color rgb="FF00B050"/>
      </font>
    </dxf>
    <dxf>
      <font>
        <color rgb="FFC00000"/>
      </font>
    </dxf>
    <dxf>
      <font>
        <color rgb="FFC00000"/>
      </font>
    </dxf>
  </dxfs>
  <tableStyles count="0" defaultTableStyle="TableStyleMedium2" defaultPivotStyle="PivotStyleLight16"/>
  <colors>
    <mruColors>
      <color rgb="FFFF9B9B"/>
      <color rgb="FFFEB522"/>
      <color rgb="FFFFFFA3"/>
      <color rgb="FFFF9797"/>
      <color rgb="FFFEC758"/>
      <color rgb="FFFFD1FF"/>
      <color rgb="FFFF00FF"/>
      <color rgb="FFFF66FF"/>
      <color rgb="FFFFDC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RAC_COOLING!$E$31</c:f>
              <c:strCache>
                <c:ptCount val="1"/>
                <c:pt idx="0">
                  <c:v>Pc(Tj)=BLc</c:v>
                </c:pt>
              </c:strCache>
            </c:strRef>
          </c:tx>
          <c:spPr>
            <a:ln w="28575" cap="rnd">
              <a:solidFill>
                <a:schemeClr val="accent1"/>
              </a:solidFill>
              <a:round/>
            </a:ln>
            <a:effectLst/>
          </c:spPr>
          <c:marker>
            <c:symbol val="none"/>
          </c:marker>
          <c:cat>
            <c:numRef>
              <c:f>RAC_COOLING!$C$39:$C$56</c:f>
              <c:numCache>
                <c:formatCode>General</c:formatCode>
                <c:ptCount val="18"/>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numCache>
            </c:numRef>
          </c:cat>
          <c:val>
            <c:numRef>
              <c:f>RAC_COOLING!$E$39:$E$56</c:f>
              <c:numCache>
                <c:formatCode>0.00</c:formatCode>
                <c:ptCount val="18"/>
                <c:pt idx="0">
                  <c:v>0</c:v>
                </c:pt>
                <c:pt idx="1">
                  <c:v>0.21666666666666667</c:v>
                </c:pt>
                <c:pt idx="2">
                  <c:v>0.43333333333333335</c:v>
                </c:pt>
                <c:pt idx="3">
                  <c:v>0.65</c:v>
                </c:pt>
                <c:pt idx="4">
                  <c:v>0.8666666666666667</c:v>
                </c:pt>
                <c:pt idx="5">
                  <c:v>1.0833333333333335</c:v>
                </c:pt>
                <c:pt idx="6">
                  <c:v>1.3</c:v>
                </c:pt>
                <c:pt idx="7">
                  <c:v>1.5166666666666668</c:v>
                </c:pt>
                <c:pt idx="8">
                  <c:v>1.7333333333333334</c:v>
                </c:pt>
                <c:pt idx="9">
                  <c:v>1.9500000000000002</c:v>
                </c:pt>
                <c:pt idx="10">
                  <c:v>2.166666666666667</c:v>
                </c:pt>
                <c:pt idx="11">
                  <c:v>2.3833333333333333</c:v>
                </c:pt>
                <c:pt idx="12">
                  <c:v>2.6</c:v>
                </c:pt>
                <c:pt idx="13">
                  <c:v>2.8166666666666664</c:v>
                </c:pt>
                <c:pt idx="14">
                  <c:v>3.0333333333333337</c:v>
                </c:pt>
                <c:pt idx="15">
                  <c:v>3.25</c:v>
                </c:pt>
                <c:pt idx="16">
                  <c:v>3.4666666666666668</c:v>
                </c:pt>
                <c:pt idx="17">
                  <c:v>3.6833333333333336</c:v>
                </c:pt>
              </c:numCache>
            </c:numRef>
          </c:val>
          <c:smooth val="0"/>
          <c:extLst>
            <c:ext xmlns:c16="http://schemas.microsoft.com/office/drawing/2014/chart" uri="{C3380CC4-5D6E-409C-BE32-E72D297353CC}">
              <c16:uniqueId val="{00000000-D4D3-40F7-8D4C-14C160E579FA}"/>
            </c:ext>
          </c:extLst>
        </c:ser>
        <c:ser>
          <c:idx val="1"/>
          <c:order val="1"/>
          <c:tx>
            <c:strRef>
              <c:f>RAC_COOLING!$H$31</c:f>
              <c:strCache>
                <c:ptCount val="1"/>
                <c:pt idx="0">
                  <c:v>Pc_corr(Tj)</c:v>
                </c:pt>
              </c:strCache>
            </c:strRef>
          </c:tx>
          <c:spPr>
            <a:ln w="28575" cap="rnd">
              <a:solidFill>
                <a:schemeClr val="accent2"/>
              </a:solidFill>
              <a:round/>
            </a:ln>
            <a:effectLst/>
          </c:spPr>
          <c:marker>
            <c:symbol val="none"/>
          </c:marker>
          <c:val>
            <c:numRef>
              <c:f>RAC_COOLING!$H$39:$H$56</c:f>
              <c:numCache>
                <c:formatCode>0.00</c:formatCode>
                <c:ptCount val="18"/>
                <c:pt idx="0">
                  <c:v>0</c:v>
                </c:pt>
                <c:pt idx="1">
                  <c:v>0.21666666666666667</c:v>
                </c:pt>
                <c:pt idx="2">
                  <c:v>0.43333333333333335</c:v>
                </c:pt>
                <c:pt idx="3">
                  <c:v>0.65</c:v>
                </c:pt>
                <c:pt idx="4">
                  <c:v>0.8666666666666667</c:v>
                </c:pt>
                <c:pt idx="5">
                  <c:v>1.0833333333333335</c:v>
                </c:pt>
                <c:pt idx="6">
                  <c:v>1.3</c:v>
                </c:pt>
                <c:pt idx="7">
                  <c:v>1.5166666666666668</c:v>
                </c:pt>
                <c:pt idx="8">
                  <c:v>1.1583722222222226</c:v>
                </c:pt>
                <c:pt idx="9">
                  <c:v>1.1583722222222226</c:v>
                </c:pt>
                <c:pt idx="10">
                  <c:v>1.1583722222222226</c:v>
                </c:pt>
                <c:pt idx="11">
                  <c:v>1.1583722222222226</c:v>
                </c:pt>
                <c:pt idx="12">
                  <c:v>1.1583722222222226</c:v>
                </c:pt>
                <c:pt idx="13">
                  <c:v>1.1583722222222226</c:v>
                </c:pt>
                <c:pt idx="14">
                  <c:v>1.1583722222222226</c:v>
                </c:pt>
                <c:pt idx="15">
                  <c:v>1.1583722222222226</c:v>
                </c:pt>
                <c:pt idx="16">
                  <c:v>1.1583722222222226</c:v>
                </c:pt>
                <c:pt idx="17">
                  <c:v>1.1583722222222226</c:v>
                </c:pt>
              </c:numCache>
            </c:numRef>
          </c:val>
          <c:smooth val="0"/>
          <c:extLst>
            <c:ext xmlns:c16="http://schemas.microsoft.com/office/drawing/2014/chart" uri="{C3380CC4-5D6E-409C-BE32-E72D297353CC}">
              <c16:uniqueId val="{00000001-D4D3-40F7-8D4C-14C160E579FA}"/>
            </c:ext>
          </c:extLst>
        </c:ser>
        <c:ser>
          <c:idx val="2"/>
          <c:order val="2"/>
          <c:tx>
            <c:strRef>
              <c:f>RAC_COOLING!$P$31</c:f>
              <c:strCache>
                <c:ptCount val="1"/>
                <c:pt idx="0">
                  <c:v>Pc(Tj)=BLc</c:v>
                </c:pt>
              </c:strCache>
            </c:strRef>
          </c:tx>
          <c:spPr>
            <a:ln w="28575" cap="rnd">
              <a:solidFill>
                <a:schemeClr val="accent3"/>
              </a:solidFill>
              <a:round/>
            </a:ln>
            <a:effectLst/>
          </c:spPr>
          <c:marker>
            <c:symbol val="none"/>
          </c:marker>
          <c:val>
            <c:numRef>
              <c:f>RAC_COOLING!$BS$50:$BS$70</c:f>
              <c:numCache>
                <c:formatCode>General</c:formatCode>
                <c:ptCount val="21"/>
              </c:numCache>
            </c:numRef>
          </c:val>
          <c:smooth val="0"/>
          <c:extLst>
            <c:ext xmlns:c16="http://schemas.microsoft.com/office/drawing/2014/chart" uri="{C3380CC4-5D6E-409C-BE32-E72D297353CC}">
              <c16:uniqueId val="{00000002-D4D3-40F7-8D4C-14C160E579FA}"/>
            </c:ext>
          </c:extLst>
        </c:ser>
        <c:dLbls>
          <c:showLegendKey val="0"/>
          <c:showVal val="0"/>
          <c:showCatName val="0"/>
          <c:showSerName val="0"/>
          <c:showPercent val="0"/>
          <c:showBubbleSize val="0"/>
        </c:dLbls>
        <c:smooth val="0"/>
        <c:axId val="458282928"/>
        <c:axId val="458282096"/>
      </c:lineChart>
      <c:catAx>
        <c:axId val="458282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282096"/>
        <c:crosses val="autoZero"/>
        <c:auto val="1"/>
        <c:lblAlgn val="ctr"/>
        <c:lblOffset val="100"/>
        <c:noMultiLvlLbl val="0"/>
      </c:catAx>
      <c:valAx>
        <c:axId val="4582820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2829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RAC_COOLING!$CN$26</c:f>
              <c:strCache>
                <c:ptCount val="1"/>
                <c:pt idx="0">
                  <c:v>Air density (kg/m3)</c:v>
                </c:pt>
              </c:strCache>
            </c:strRef>
          </c:tx>
          <c:spPr>
            <a:ln w="19050" cap="rnd">
              <a:solidFill>
                <a:schemeClr val="accent1"/>
              </a:solidFill>
              <a:round/>
            </a:ln>
            <a:effectLst/>
          </c:spPr>
          <c:marker>
            <c:symbol val="none"/>
          </c:marker>
          <c:trendline>
            <c:spPr>
              <a:ln w="19050" cap="rnd">
                <a:solidFill>
                  <a:schemeClr val="accent1"/>
                </a:solidFill>
                <a:prstDash val="sysDot"/>
              </a:ln>
              <a:effectLst/>
            </c:spPr>
            <c:trendlineType val="linear"/>
            <c:dispRSqr val="1"/>
            <c:dispEq val="1"/>
            <c:trendlineLbl>
              <c:layout>
                <c:manualLayout>
                  <c:x val="-0.47541885389326333"/>
                  <c:y val="-0.1102624671916010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RAC_COOLING!$CO$27:$CS$27</c:f>
              <c:numCache>
                <c:formatCode>0</c:formatCode>
                <c:ptCount val="5"/>
                <c:pt idx="0">
                  <c:v>37.777777777777779</c:v>
                </c:pt>
                <c:pt idx="1">
                  <c:v>32.222222222222221</c:v>
                </c:pt>
                <c:pt idx="2">
                  <c:v>26.666666666666664</c:v>
                </c:pt>
                <c:pt idx="3">
                  <c:v>21.111111111111111</c:v>
                </c:pt>
                <c:pt idx="4">
                  <c:v>15.555555555555555</c:v>
                </c:pt>
              </c:numCache>
            </c:numRef>
          </c:xVal>
          <c:yVal>
            <c:numRef>
              <c:f>RAC_COOLING!$CO$26:$CS$26</c:f>
              <c:numCache>
                <c:formatCode>General</c:formatCode>
                <c:ptCount val="5"/>
                <c:pt idx="0">
                  <c:v>1.135</c:v>
                </c:pt>
                <c:pt idx="1">
                  <c:v>1.1559999999999999</c:v>
                </c:pt>
                <c:pt idx="2">
                  <c:v>1.177</c:v>
                </c:pt>
                <c:pt idx="3">
                  <c:v>1.1990000000000001</c:v>
                </c:pt>
                <c:pt idx="4">
                  <c:v>1.222</c:v>
                </c:pt>
              </c:numCache>
            </c:numRef>
          </c:yVal>
          <c:smooth val="0"/>
          <c:extLst>
            <c:ext xmlns:c16="http://schemas.microsoft.com/office/drawing/2014/chart" uri="{C3380CC4-5D6E-409C-BE32-E72D297353CC}">
              <c16:uniqueId val="{00000000-A06C-4E5B-A6C5-1296250D2D82}"/>
            </c:ext>
          </c:extLst>
        </c:ser>
        <c:dLbls>
          <c:showLegendKey val="0"/>
          <c:showVal val="0"/>
          <c:showCatName val="0"/>
          <c:showSerName val="0"/>
          <c:showPercent val="0"/>
          <c:showBubbleSize val="0"/>
        </c:dLbls>
        <c:axId val="350600383"/>
        <c:axId val="350600799"/>
      </c:scatterChart>
      <c:valAx>
        <c:axId val="350600383"/>
        <c:scaling>
          <c:orientation val="minMax"/>
          <c:min val="1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600799"/>
        <c:crosses val="autoZero"/>
        <c:crossBetween val="midCat"/>
      </c:valAx>
      <c:valAx>
        <c:axId val="3506007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60038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RAC_COOLING!$CN$24</c:f>
              <c:strCache>
                <c:ptCount val="1"/>
                <c:pt idx="0">
                  <c:v>Air density (lbm/ft3)</c:v>
                </c:pt>
              </c:strCache>
            </c:strRef>
          </c:tx>
          <c:spPr>
            <a:ln w="19050" cap="rnd">
              <a:solidFill>
                <a:schemeClr val="accent1"/>
              </a:solidFill>
              <a:round/>
            </a:ln>
            <a:effectLst/>
          </c:spPr>
          <c:marker>
            <c:symbol val="none"/>
          </c:marker>
          <c:trendline>
            <c:spPr>
              <a:ln w="19050" cap="rnd">
                <a:solidFill>
                  <a:schemeClr val="accent1"/>
                </a:solidFill>
                <a:prstDash val="sysDot"/>
              </a:ln>
              <a:effectLst/>
            </c:spPr>
            <c:trendlineType val="linear"/>
            <c:dispRSqr val="1"/>
            <c:dispEq val="1"/>
            <c:trendlineLbl>
              <c:layout>
                <c:manualLayout>
                  <c:x val="-0.47086089238845147"/>
                  <c:y val="-6.310804899387585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RAC_COOLING!$CO$25:$CS$25</c:f>
              <c:numCache>
                <c:formatCode>General</c:formatCode>
                <c:ptCount val="5"/>
                <c:pt idx="0">
                  <c:v>100</c:v>
                </c:pt>
                <c:pt idx="1">
                  <c:v>90</c:v>
                </c:pt>
                <c:pt idx="2">
                  <c:v>80</c:v>
                </c:pt>
                <c:pt idx="3">
                  <c:v>70</c:v>
                </c:pt>
                <c:pt idx="4">
                  <c:v>60</c:v>
                </c:pt>
              </c:numCache>
            </c:numRef>
          </c:xVal>
          <c:yVal>
            <c:numRef>
              <c:f>RAC_COOLING!$CO$24:$CS$24</c:f>
              <c:numCache>
                <c:formatCode>General</c:formatCode>
                <c:ptCount val="5"/>
                <c:pt idx="0">
                  <c:v>7.0889999999999995E-2</c:v>
                </c:pt>
                <c:pt idx="1">
                  <c:v>7.2169999999999998E-2</c:v>
                </c:pt>
                <c:pt idx="2">
                  <c:v>7.3499999999999996E-2</c:v>
                </c:pt>
                <c:pt idx="3">
                  <c:v>7.4870000000000006E-2</c:v>
                </c:pt>
                <c:pt idx="4">
                  <c:v>7.6310000000000003E-2</c:v>
                </c:pt>
              </c:numCache>
            </c:numRef>
          </c:yVal>
          <c:smooth val="0"/>
          <c:extLst>
            <c:ext xmlns:c16="http://schemas.microsoft.com/office/drawing/2014/chart" uri="{C3380CC4-5D6E-409C-BE32-E72D297353CC}">
              <c16:uniqueId val="{00000000-A06C-4E5B-A6C5-1296250D2D82}"/>
            </c:ext>
          </c:extLst>
        </c:ser>
        <c:dLbls>
          <c:showLegendKey val="0"/>
          <c:showVal val="0"/>
          <c:showCatName val="0"/>
          <c:showSerName val="0"/>
          <c:showPercent val="0"/>
          <c:showBubbleSize val="0"/>
        </c:dLbls>
        <c:axId val="350600383"/>
        <c:axId val="350600799"/>
      </c:scatterChart>
      <c:valAx>
        <c:axId val="350600383"/>
        <c:scaling>
          <c:orientation val="minMax"/>
          <c:min val="5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600799"/>
        <c:crosses val="autoZero"/>
        <c:crossBetween val="midCat"/>
      </c:valAx>
      <c:valAx>
        <c:axId val="3506007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60038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RAC_COOLING!$CN$24</c:f>
              <c:strCache>
                <c:ptCount val="1"/>
                <c:pt idx="0">
                  <c:v>Air density (lbm/ft3)</c:v>
                </c:pt>
              </c:strCache>
            </c:strRef>
          </c:tx>
          <c:spPr>
            <a:ln w="19050" cap="rnd">
              <a:solidFill>
                <a:schemeClr val="accent1"/>
              </a:solidFill>
              <a:round/>
            </a:ln>
            <a:effectLst/>
          </c:spPr>
          <c:marker>
            <c:symbol val="none"/>
          </c:marker>
          <c:xVal>
            <c:numRef>
              <c:f>RAC_COOLING!$CO$25:$CS$25</c:f>
              <c:numCache>
                <c:formatCode>General</c:formatCode>
                <c:ptCount val="5"/>
                <c:pt idx="0">
                  <c:v>100</c:v>
                </c:pt>
                <c:pt idx="1">
                  <c:v>90</c:v>
                </c:pt>
                <c:pt idx="2">
                  <c:v>80</c:v>
                </c:pt>
                <c:pt idx="3">
                  <c:v>70</c:v>
                </c:pt>
                <c:pt idx="4">
                  <c:v>60</c:v>
                </c:pt>
              </c:numCache>
            </c:numRef>
          </c:xVal>
          <c:yVal>
            <c:numRef>
              <c:f>RAC_COOLING!$CO$24:$CS$24</c:f>
              <c:numCache>
                <c:formatCode>General</c:formatCode>
                <c:ptCount val="5"/>
                <c:pt idx="0">
                  <c:v>7.0889999999999995E-2</c:v>
                </c:pt>
                <c:pt idx="1">
                  <c:v>7.2169999999999998E-2</c:v>
                </c:pt>
                <c:pt idx="2">
                  <c:v>7.3499999999999996E-2</c:v>
                </c:pt>
                <c:pt idx="3">
                  <c:v>7.4870000000000006E-2</c:v>
                </c:pt>
                <c:pt idx="4">
                  <c:v>7.6310000000000003E-2</c:v>
                </c:pt>
              </c:numCache>
            </c:numRef>
          </c:yVal>
          <c:smooth val="0"/>
          <c:extLst>
            <c:ext xmlns:c16="http://schemas.microsoft.com/office/drawing/2014/chart" uri="{C3380CC4-5D6E-409C-BE32-E72D297353CC}">
              <c16:uniqueId val="{00000000-A06C-4E5B-A6C5-1296250D2D82}"/>
            </c:ext>
          </c:extLst>
        </c:ser>
        <c:dLbls>
          <c:showLegendKey val="0"/>
          <c:showVal val="0"/>
          <c:showCatName val="0"/>
          <c:showSerName val="0"/>
          <c:showPercent val="0"/>
          <c:showBubbleSize val="0"/>
        </c:dLbls>
        <c:axId val="350600383"/>
        <c:axId val="350600799"/>
      </c:scatterChart>
      <c:valAx>
        <c:axId val="350600383"/>
        <c:scaling>
          <c:orientation val="minMax"/>
          <c:min val="5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600799"/>
        <c:crosses val="autoZero"/>
        <c:crossBetween val="midCat"/>
      </c:valAx>
      <c:valAx>
        <c:axId val="3506007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60038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'Density calculation'!$C$1</c:f>
              <c:strCache>
                <c:ptCount val="1"/>
                <c:pt idx="0">
                  <c:v>rho dry air 1 atm (kg/m3)</c:v>
                </c:pt>
              </c:strCache>
            </c:strRef>
          </c:tx>
          <c:spPr>
            <a:ln w="28575">
              <a:noFill/>
            </a:ln>
          </c:spPr>
          <c:trendline>
            <c:trendlineType val="linear"/>
            <c:dispRSqr val="1"/>
            <c:dispEq val="1"/>
            <c:trendlineLbl>
              <c:layout>
                <c:manualLayout>
                  <c:x val="0.23444636252594839"/>
                  <c:y val="-2.7525741797940657E-2"/>
                </c:manualLayout>
              </c:layout>
              <c:numFmt formatCode="#,##0.000000" sourceLinked="0"/>
            </c:trendlineLbl>
          </c:trendline>
          <c:xVal>
            <c:numRef>
              <c:f>'Density calculation'!$B$2:$B$52</c:f>
              <c:numCache>
                <c:formatCode>General</c:formatCode>
                <c:ptCount val="51"/>
                <c:pt idx="0">
                  <c:v>-30</c:v>
                </c:pt>
                <c:pt idx="1">
                  <c:v>-29</c:v>
                </c:pt>
                <c:pt idx="2">
                  <c:v>-28</c:v>
                </c:pt>
                <c:pt idx="3">
                  <c:v>-27</c:v>
                </c:pt>
                <c:pt idx="4">
                  <c:v>-26</c:v>
                </c:pt>
                <c:pt idx="5">
                  <c:v>-25</c:v>
                </c:pt>
                <c:pt idx="6">
                  <c:v>-24</c:v>
                </c:pt>
                <c:pt idx="7">
                  <c:v>-23</c:v>
                </c:pt>
                <c:pt idx="8">
                  <c:v>-22</c:v>
                </c:pt>
                <c:pt idx="9">
                  <c:v>-21</c:v>
                </c:pt>
                <c:pt idx="10">
                  <c:v>-20</c:v>
                </c:pt>
                <c:pt idx="11">
                  <c:v>-19</c:v>
                </c:pt>
                <c:pt idx="12">
                  <c:v>-18</c:v>
                </c:pt>
                <c:pt idx="13">
                  <c:v>-17</c:v>
                </c:pt>
                <c:pt idx="14">
                  <c:v>-16</c:v>
                </c:pt>
                <c:pt idx="15">
                  <c:v>-15</c:v>
                </c:pt>
                <c:pt idx="16">
                  <c:v>-14</c:v>
                </c:pt>
                <c:pt idx="17">
                  <c:v>-13</c:v>
                </c:pt>
                <c:pt idx="18">
                  <c:v>-12</c:v>
                </c:pt>
                <c:pt idx="19">
                  <c:v>-11</c:v>
                </c:pt>
                <c:pt idx="20">
                  <c:v>-10</c:v>
                </c:pt>
                <c:pt idx="21">
                  <c:v>-9</c:v>
                </c:pt>
                <c:pt idx="22">
                  <c:v>-8</c:v>
                </c:pt>
                <c:pt idx="23">
                  <c:v>-7</c:v>
                </c:pt>
                <c:pt idx="24">
                  <c:v>-6</c:v>
                </c:pt>
                <c:pt idx="25">
                  <c:v>-5</c:v>
                </c:pt>
                <c:pt idx="26">
                  <c:v>-4</c:v>
                </c:pt>
                <c:pt idx="27">
                  <c:v>-3</c:v>
                </c:pt>
                <c:pt idx="28">
                  <c:v>-2</c:v>
                </c:pt>
                <c:pt idx="29">
                  <c:v>-1</c:v>
                </c:pt>
                <c:pt idx="30">
                  <c:v>0</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numCache>
            </c:numRef>
          </c:xVal>
          <c:yVal>
            <c:numRef>
              <c:f>'Density calculation'!$C$2:$C$52</c:f>
              <c:numCache>
                <c:formatCode>General</c:formatCode>
                <c:ptCount val="51"/>
                <c:pt idx="0">
                  <c:v>1.4529442229321177</c:v>
                </c:pt>
                <c:pt idx="1">
                  <c:v>1.4469636925600637</c:v>
                </c:pt>
                <c:pt idx="2">
                  <c:v>1.4410324184810595</c:v>
                </c:pt>
                <c:pt idx="3">
                  <c:v>1.4351497915354594</c:v>
                </c:pt>
                <c:pt idx="4">
                  <c:v>1.4293152126247231</c:v>
                </c:pt>
                <c:pt idx="5">
                  <c:v>1.4235280925032245</c:v>
                </c:pt>
                <c:pt idx="6">
                  <c:v>1.4177878515752758</c:v>
                </c:pt>
                <c:pt idx="7">
                  <c:v>1.4120939196971607</c:v>
                </c:pt>
                <c:pt idx="8">
                  <c:v>1.4064457359840588</c:v>
                </c:pt>
                <c:pt idx="9">
                  <c:v>1.4008427486217232</c:v>
                </c:pt>
                <c:pt idx="10">
                  <c:v>1.3952844146827592</c:v>
                </c:pt>
                <c:pt idx="11">
                  <c:v>1.3897701999473766</c:v>
                </c:pt>
                <c:pt idx="12">
                  <c:v>1.384299578728502</c:v>
                </c:pt>
                <c:pt idx="13">
                  <c:v>1.3788720337011087</c:v>
                </c:pt>
                <c:pt idx="14">
                  <c:v>1.37348705573565</c:v>
                </c:pt>
                <c:pt idx="15">
                  <c:v>1.3681441437354918</c:v>
                </c:pt>
                <c:pt idx="16">
                  <c:v>1.3628428044782142</c:v>
                </c:pt>
                <c:pt idx="17">
                  <c:v>1.3575825524606913</c:v>
                </c:pt>
                <c:pt idx="18">
                  <c:v>1.3523629097478334</c:v>
                </c:pt>
                <c:pt idx="19">
                  <c:v>1.347183405824891</c:v>
                </c:pt>
                <c:pt idx="20">
                  <c:v>1.34204357745323</c:v>
                </c:pt>
                <c:pt idx="21">
                  <c:v>1.3369429685294703</c:v>
                </c:pt>
                <c:pt idx="22">
                  <c:v>1.3318811299479081</c:v>
                </c:pt>
                <c:pt idx="23">
                  <c:v>1.3268576194661348</c:v>
                </c:pt>
                <c:pt idx="24">
                  <c:v>1.321872001573734</c:v>
                </c:pt>
                <c:pt idx="25">
                  <c:v>1.3169238473640321</c:v>
                </c:pt>
                <c:pt idx="26">
                  <c:v>1.3120127344087582</c:v>
                </c:pt>
                <c:pt idx="27">
                  <c:v>1.3071382466355739</c:v>
                </c:pt>
                <c:pt idx="28">
                  <c:v>1.3022999742083932</c:v>
                </c:pt>
                <c:pt idx="29">
                  <c:v>1.2974975134103957</c:v>
                </c:pt>
                <c:pt idx="30">
                  <c:v>1.2927304665296968</c:v>
                </c:pt>
                <c:pt idx="31">
                  <c:v>1.2879984417475603</c:v>
                </c:pt>
                <c:pt idx="32">
                  <c:v>1.2833010530291395</c:v>
                </c:pt>
                <c:pt idx="33">
                  <c:v>1.2786379200166333</c:v>
                </c:pt>
                <c:pt idx="34">
                  <c:v>1.2740086679248213</c:v>
                </c:pt>
                <c:pt idx="35">
                  <c:v>1.2694129274389057</c:v>
                </c:pt>
                <c:pt idx="36">
                  <c:v>1.2648503346146134</c:v>
                </c:pt>
                <c:pt idx="37">
                  <c:v>1.2603205307804708</c:v>
                </c:pt>
                <c:pt idx="38">
                  <c:v>1.2558231624422436</c:v>
                </c:pt>
                <c:pt idx="39">
                  <c:v>1.2513578811894253</c:v>
                </c:pt>
                <c:pt idx="40">
                  <c:v>1.2469243436037802</c:v>
                </c:pt>
                <c:pt idx="41">
                  <c:v>1.2425222111698526</c:v>
                </c:pt>
                <c:pt idx="42">
                  <c:v>1.2381511501874045</c:v>
                </c:pt>
                <c:pt idx="43">
                  <c:v>1.2338108316857319</c:v>
                </c:pt>
                <c:pt idx="44">
                  <c:v>1.2295009313398109</c:v>
                </c:pt>
                <c:pt idx="45">
                  <c:v>1.22522112938824</c:v>
                </c:pt>
                <c:pt idx="46">
                  <c:v>1.220971110552906</c:v>
                </c:pt>
                <c:pt idx="47">
                  <c:v>1.2167505639603631</c:v>
                </c:pt>
                <c:pt idx="48">
                  <c:v>1.2125591830648672</c:v>
                </c:pt>
                <c:pt idx="49">
                  <c:v>1.2083966655730136</c:v>
                </c:pt>
                <c:pt idx="50">
                  <c:v>1.2042627133699646</c:v>
                </c:pt>
              </c:numCache>
            </c:numRef>
          </c:yVal>
          <c:smooth val="0"/>
          <c:extLst>
            <c:ext xmlns:c16="http://schemas.microsoft.com/office/drawing/2014/chart" uri="{C3380CC4-5D6E-409C-BE32-E72D297353CC}">
              <c16:uniqueId val="{00000001-CF7B-4A0C-A496-2A8447E7A78B}"/>
            </c:ext>
          </c:extLst>
        </c:ser>
        <c:dLbls>
          <c:showLegendKey val="0"/>
          <c:showVal val="0"/>
          <c:showCatName val="0"/>
          <c:showSerName val="0"/>
          <c:showPercent val="0"/>
          <c:showBubbleSize val="0"/>
        </c:dLbls>
        <c:axId val="121125888"/>
        <c:axId val="120982912"/>
      </c:scatterChart>
      <c:valAx>
        <c:axId val="121125888"/>
        <c:scaling>
          <c:orientation val="minMax"/>
        </c:scaling>
        <c:delete val="0"/>
        <c:axPos val="b"/>
        <c:numFmt formatCode="General" sourceLinked="1"/>
        <c:majorTickMark val="out"/>
        <c:minorTickMark val="none"/>
        <c:tickLblPos val="nextTo"/>
        <c:crossAx val="120982912"/>
        <c:crosses val="autoZero"/>
        <c:crossBetween val="midCat"/>
      </c:valAx>
      <c:valAx>
        <c:axId val="120982912"/>
        <c:scaling>
          <c:orientation val="minMax"/>
        </c:scaling>
        <c:delete val="0"/>
        <c:axPos val="l"/>
        <c:majorGridlines/>
        <c:numFmt formatCode="General" sourceLinked="1"/>
        <c:majorTickMark val="out"/>
        <c:minorTickMark val="none"/>
        <c:tickLblPos val="nextTo"/>
        <c:crossAx val="12112588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9.png"/><Relationship Id="rId18" Type="http://schemas.openxmlformats.org/officeDocument/2006/relationships/image" Target="../media/image14.png"/><Relationship Id="rId3" Type="http://schemas.openxmlformats.org/officeDocument/2006/relationships/image" Target="../media/image2.png"/><Relationship Id="rId21" Type="http://schemas.openxmlformats.org/officeDocument/2006/relationships/image" Target="../media/image17.png"/><Relationship Id="rId7" Type="http://schemas.openxmlformats.org/officeDocument/2006/relationships/image" Target="../media/image6.emf"/><Relationship Id="rId12" Type="http://schemas.openxmlformats.org/officeDocument/2006/relationships/chart" Target="../charts/chart4.xml"/><Relationship Id="rId17" Type="http://schemas.openxmlformats.org/officeDocument/2006/relationships/image" Target="../media/image13.png"/><Relationship Id="rId25" Type="http://schemas.openxmlformats.org/officeDocument/2006/relationships/image" Target="../media/image21.png"/><Relationship Id="rId2" Type="http://schemas.openxmlformats.org/officeDocument/2006/relationships/chart" Target="../charts/chart1.xml"/><Relationship Id="rId16" Type="http://schemas.openxmlformats.org/officeDocument/2006/relationships/image" Target="../media/image12.png"/><Relationship Id="rId20"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chart" Target="../charts/chart3.xml"/><Relationship Id="rId24" Type="http://schemas.openxmlformats.org/officeDocument/2006/relationships/image" Target="../media/image20.png"/><Relationship Id="rId5" Type="http://schemas.openxmlformats.org/officeDocument/2006/relationships/image" Target="../media/image4.emf"/><Relationship Id="rId15" Type="http://schemas.openxmlformats.org/officeDocument/2006/relationships/image" Target="../media/image11.png"/><Relationship Id="rId23" Type="http://schemas.openxmlformats.org/officeDocument/2006/relationships/image" Target="../media/image19.png"/><Relationship Id="rId10" Type="http://schemas.openxmlformats.org/officeDocument/2006/relationships/chart" Target="../charts/chart2.xml"/><Relationship Id="rId19" Type="http://schemas.openxmlformats.org/officeDocument/2006/relationships/image" Target="../media/image15.png"/><Relationship Id="rId4" Type="http://schemas.openxmlformats.org/officeDocument/2006/relationships/image" Target="../media/image3.emf"/><Relationship Id="rId9" Type="http://schemas.openxmlformats.org/officeDocument/2006/relationships/image" Target="../media/image8.png"/><Relationship Id="rId14" Type="http://schemas.openxmlformats.org/officeDocument/2006/relationships/image" Target="../media/image10.png"/><Relationship Id="rId22" Type="http://schemas.openxmlformats.org/officeDocument/2006/relationships/image" Target="../media/image18.png"/></Relationships>
</file>

<file path=xl/drawings/_rels/drawing2.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image" Target="../media/image27.png"/><Relationship Id="rId5" Type="http://schemas.openxmlformats.org/officeDocument/2006/relationships/image" Target="../media/image26.png"/><Relationship Id="rId4" Type="http://schemas.openxmlformats.org/officeDocument/2006/relationships/image" Target="../media/image2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8</xdr:col>
      <xdr:colOff>273317</xdr:colOff>
      <xdr:row>22</xdr:row>
      <xdr:rowOff>63236</xdr:rowOff>
    </xdr:from>
    <xdr:to>
      <xdr:col>12</xdr:col>
      <xdr:colOff>519908</xdr:colOff>
      <xdr:row>25</xdr:row>
      <xdr:rowOff>119762</xdr:rowOff>
    </xdr:to>
    <xdr:pic>
      <xdr:nvPicPr>
        <xdr:cNvPr id="2" name="Picture 1">
          <a:extLst>
            <a:ext uri="{FF2B5EF4-FFF2-40B4-BE49-F238E27FC236}">
              <a16:creationId xmlns:a16="http://schemas.microsoft.com/office/drawing/2014/main" id="{86045AA5-5AFB-4EEC-A3EB-A939B10AE12F}"/>
            </a:ext>
          </a:extLst>
        </xdr:cNvPr>
        <xdr:cNvPicPr>
          <a:picLocks noChangeAspect="1"/>
        </xdr:cNvPicPr>
      </xdr:nvPicPr>
      <xdr:blipFill>
        <a:blip xmlns:r="http://schemas.openxmlformats.org/officeDocument/2006/relationships" r:embed="rId1"/>
        <a:stretch>
          <a:fillRect/>
        </a:stretch>
      </xdr:blipFill>
      <xdr:spPr>
        <a:xfrm>
          <a:off x="6353442" y="5159111"/>
          <a:ext cx="2881841" cy="643901"/>
        </a:xfrm>
        <a:prstGeom prst="rect">
          <a:avLst/>
        </a:prstGeom>
        <a:ln>
          <a:solidFill>
            <a:schemeClr val="accent1"/>
          </a:solidFill>
        </a:ln>
      </xdr:spPr>
    </xdr:pic>
    <xdr:clientData/>
  </xdr:twoCellAnchor>
  <xdr:twoCellAnchor>
    <xdr:from>
      <xdr:col>0</xdr:col>
      <xdr:colOff>457200</xdr:colOff>
      <xdr:row>62</xdr:row>
      <xdr:rowOff>238124</xdr:rowOff>
    </xdr:from>
    <xdr:to>
      <xdr:col>4</xdr:col>
      <xdr:colOff>273843</xdr:colOff>
      <xdr:row>69</xdr:row>
      <xdr:rowOff>142874</xdr:rowOff>
    </xdr:to>
    <xdr:graphicFrame macro="">
      <xdr:nvGraphicFramePr>
        <xdr:cNvPr id="4" name="Chart 3">
          <a:extLst>
            <a:ext uri="{FF2B5EF4-FFF2-40B4-BE49-F238E27FC236}">
              <a16:creationId xmlns:a16="http://schemas.microsoft.com/office/drawing/2014/main" id="{55E654FB-1321-4CE7-B83C-DA7FC6EB27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478632</xdr:colOff>
      <xdr:row>117</xdr:row>
      <xdr:rowOff>80168</xdr:rowOff>
    </xdr:from>
    <xdr:to>
      <xdr:col>2</xdr:col>
      <xdr:colOff>489160</xdr:colOff>
      <xdr:row>120</xdr:row>
      <xdr:rowOff>89801</xdr:rowOff>
    </xdr:to>
    <xdr:pic>
      <xdr:nvPicPr>
        <xdr:cNvPr id="8" name="Picture 7">
          <a:extLst>
            <a:ext uri="{FF2B5EF4-FFF2-40B4-BE49-F238E27FC236}">
              <a16:creationId xmlns:a16="http://schemas.microsoft.com/office/drawing/2014/main" id="{D3913D25-1CD7-4AA9-B78A-0D95C9094EEB}"/>
            </a:ext>
          </a:extLst>
        </xdr:cNvPr>
        <xdr:cNvPicPr>
          <a:picLocks noChangeAspect="1"/>
        </xdr:cNvPicPr>
      </xdr:nvPicPr>
      <xdr:blipFill>
        <a:blip xmlns:r="http://schemas.openxmlformats.org/officeDocument/2006/relationships" r:embed="rId3"/>
        <a:stretch>
          <a:fillRect/>
        </a:stretch>
      </xdr:blipFill>
      <xdr:spPr>
        <a:xfrm>
          <a:off x="478632" y="23368793"/>
          <a:ext cx="2058403" cy="581133"/>
        </a:xfrm>
        <a:prstGeom prst="rect">
          <a:avLst/>
        </a:prstGeom>
        <a:ln>
          <a:solidFill>
            <a:schemeClr val="accent1"/>
          </a:solidFill>
        </a:ln>
      </xdr:spPr>
    </xdr:pic>
    <xdr:clientData/>
  </xdr:twoCellAnchor>
  <xdr:twoCellAnchor editAs="oneCell">
    <xdr:from>
      <xdr:col>0</xdr:col>
      <xdr:colOff>414337</xdr:colOff>
      <xdr:row>83</xdr:row>
      <xdr:rowOff>20638</xdr:rowOff>
    </xdr:from>
    <xdr:to>
      <xdr:col>5</xdr:col>
      <xdr:colOff>304882</xdr:colOff>
      <xdr:row>86</xdr:row>
      <xdr:rowOff>175419</xdr:rowOff>
    </xdr:to>
    <xdr:pic>
      <xdr:nvPicPr>
        <xdr:cNvPr id="9" name="Picture 8">
          <a:extLst>
            <a:ext uri="{FF2B5EF4-FFF2-40B4-BE49-F238E27FC236}">
              <a16:creationId xmlns:a16="http://schemas.microsoft.com/office/drawing/2014/main" id="{DC1F383B-BE48-4407-B74B-CA1090E44C4C}"/>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0033" t="-8333" r="20075" b="4167"/>
        <a:stretch/>
      </xdr:blipFill>
      <xdr:spPr bwMode="auto">
        <a:xfrm>
          <a:off x="414337" y="16651288"/>
          <a:ext cx="4195845" cy="726281"/>
        </a:xfrm>
        <a:prstGeom prst="rect">
          <a:avLst/>
        </a:prstGeom>
        <a:solidFill>
          <a:schemeClr val="bg1"/>
        </a:solidFill>
        <a:ln>
          <a:solidFill>
            <a:schemeClr val="accent1"/>
          </a:solidFill>
        </a:ln>
      </xdr:spPr>
    </xdr:pic>
    <xdr:clientData/>
  </xdr:twoCellAnchor>
  <xdr:twoCellAnchor editAs="oneCell">
    <xdr:from>
      <xdr:col>0</xdr:col>
      <xdr:colOff>453232</xdr:colOff>
      <xdr:row>76</xdr:row>
      <xdr:rowOff>84931</xdr:rowOff>
    </xdr:from>
    <xdr:to>
      <xdr:col>2</xdr:col>
      <xdr:colOff>806292</xdr:colOff>
      <xdr:row>80</xdr:row>
      <xdr:rowOff>1588</xdr:rowOff>
    </xdr:to>
    <xdr:pic>
      <xdr:nvPicPr>
        <xdr:cNvPr id="10" name="Picture 9">
          <a:extLst>
            <a:ext uri="{FF2B5EF4-FFF2-40B4-BE49-F238E27FC236}">
              <a16:creationId xmlns:a16="http://schemas.microsoft.com/office/drawing/2014/main" id="{638447A8-BB01-4BDC-A988-B3DD403ACB7B}"/>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1929" t="-4167" r="30926"/>
        <a:stretch/>
      </xdr:blipFill>
      <xdr:spPr bwMode="auto">
        <a:xfrm>
          <a:off x="453232" y="15382081"/>
          <a:ext cx="2429510" cy="678657"/>
        </a:xfrm>
        <a:prstGeom prst="rect">
          <a:avLst/>
        </a:prstGeom>
        <a:solidFill>
          <a:schemeClr val="bg1"/>
        </a:solidFill>
        <a:ln>
          <a:solidFill>
            <a:schemeClr val="accent1"/>
          </a:solidFill>
        </a:ln>
      </xdr:spPr>
    </xdr:pic>
    <xdr:clientData/>
  </xdr:twoCellAnchor>
  <xdr:twoCellAnchor editAs="oneCell">
    <xdr:from>
      <xdr:col>0</xdr:col>
      <xdr:colOff>473870</xdr:colOff>
      <xdr:row>92</xdr:row>
      <xdr:rowOff>185738</xdr:rowOff>
    </xdr:from>
    <xdr:to>
      <xdr:col>2</xdr:col>
      <xdr:colOff>719461</xdr:colOff>
      <xdr:row>100</xdr:row>
      <xdr:rowOff>24003</xdr:rowOff>
    </xdr:to>
    <xdr:pic>
      <xdr:nvPicPr>
        <xdr:cNvPr id="11" name="Picture 10">
          <a:extLst>
            <a:ext uri="{FF2B5EF4-FFF2-40B4-BE49-F238E27FC236}">
              <a16:creationId xmlns:a16="http://schemas.microsoft.com/office/drawing/2014/main" id="{399A6010-2928-4A7C-8D71-B297F6252FB0}"/>
            </a:ext>
          </a:extLst>
        </xdr:cNvPr>
        <xdr:cNvPicPr>
          <a:picLocks noChangeAspect="1"/>
        </xdr:cNvPicPr>
      </xdr:nvPicPr>
      <xdr:blipFill>
        <a:blip xmlns:r="http://schemas.openxmlformats.org/officeDocument/2006/relationships" r:embed="rId6"/>
        <a:stretch>
          <a:fillRect/>
        </a:stretch>
      </xdr:blipFill>
      <xdr:spPr>
        <a:xfrm>
          <a:off x="473870" y="18530888"/>
          <a:ext cx="2322041" cy="1362265"/>
        </a:xfrm>
        <a:prstGeom prst="rect">
          <a:avLst/>
        </a:prstGeom>
        <a:ln>
          <a:solidFill>
            <a:schemeClr val="accent1"/>
          </a:solidFill>
        </a:ln>
      </xdr:spPr>
    </xdr:pic>
    <xdr:clientData/>
  </xdr:twoCellAnchor>
  <xdr:twoCellAnchor editAs="oneCell">
    <xdr:from>
      <xdr:col>0</xdr:col>
      <xdr:colOff>527050</xdr:colOff>
      <xdr:row>71</xdr:row>
      <xdr:rowOff>75563</xdr:rowOff>
    </xdr:from>
    <xdr:to>
      <xdr:col>2</xdr:col>
      <xdr:colOff>819150</xdr:colOff>
      <xdr:row>73</xdr:row>
      <xdr:rowOff>128587</xdr:rowOff>
    </xdr:to>
    <xdr:pic>
      <xdr:nvPicPr>
        <xdr:cNvPr id="12" name="Picture 11">
          <a:extLst>
            <a:ext uri="{FF2B5EF4-FFF2-40B4-BE49-F238E27FC236}">
              <a16:creationId xmlns:a16="http://schemas.microsoft.com/office/drawing/2014/main" id="{0422F6EA-81E4-4335-A21C-4EEA4EECBEC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34015" r="33013" b="1786"/>
        <a:stretch/>
      </xdr:blipFill>
      <xdr:spPr bwMode="auto">
        <a:xfrm>
          <a:off x="527050" y="14363063"/>
          <a:ext cx="2368550" cy="491174"/>
        </a:xfrm>
        <a:prstGeom prst="rect">
          <a:avLst/>
        </a:prstGeom>
        <a:solidFill>
          <a:schemeClr val="bg1"/>
        </a:solidFill>
        <a:ln>
          <a:solidFill>
            <a:schemeClr val="accent1"/>
          </a:solidFill>
        </a:ln>
      </xdr:spPr>
    </xdr:pic>
    <xdr:clientData/>
  </xdr:twoCellAnchor>
  <xdr:twoCellAnchor editAs="oneCell">
    <xdr:from>
      <xdr:col>0</xdr:col>
      <xdr:colOff>428624</xdr:colOff>
      <xdr:row>88</xdr:row>
      <xdr:rowOff>114300</xdr:rowOff>
    </xdr:from>
    <xdr:to>
      <xdr:col>5</xdr:col>
      <xdr:colOff>406400</xdr:colOff>
      <xdr:row>91</xdr:row>
      <xdr:rowOff>4763</xdr:rowOff>
    </xdr:to>
    <xdr:pic>
      <xdr:nvPicPr>
        <xdr:cNvPr id="16" name="Picture 15">
          <a:extLst>
            <a:ext uri="{FF2B5EF4-FFF2-40B4-BE49-F238E27FC236}">
              <a16:creationId xmlns:a16="http://schemas.microsoft.com/office/drawing/2014/main" id="{5B02DEB0-705C-4728-867C-6B7CE0FF6F12}"/>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687" t="-5436" r="12854"/>
        <a:stretch/>
      </xdr:blipFill>
      <xdr:spPr bwMode="auto">
        <a:xfrm>
          <a:off x="428624" y="17697450"/>
          <a:ext cx="4283076" cy="461963"/>
        </a:xfrm>
        <a:prstGeom prst="rect">
          <a:avLst/>
        </a:prstGeom>
        <a:solidFill>
          <a:schemeClr val="bg1"/>
        </a:solidFill>
        <a:ln>
          <a:solidFill>
            <a:schemeClr val="accent1"/>
          </a:solidFill>
        </a:ln>
      </xdr:spPr>
    </xdr:pic>
    <xdr:clientData/>
  </xdr:twoCellAnchor>
  <xdr:twoCellAnchor>
    <xdr:from>
      <xdr:col>14</xdr:col>
      <xdr:colOff>492125</xdr:colOff>
      <xdr:row>33</xdr:row>
      <xdr:rowOff>15875</xdr:rowOff>
    </xdr:from>
    <xdr:to>
      <xdr:col>19</xdr:col>
      <xdr:colOff>158750</xdr:colOff>
      <xdr:row>37</xdr:row>
      <xdr:rowOff>0</xdr:rowOff>
    </xdr:to>
    <xdr:sp macro="" textlink="">
      <xdr:nvSpPr>
        <xdr:cNvPr id="13" name="Speech Bubble: Rectangle 12">
          <a:extLst>
            <a:ext uri="{FF2B5EF4-FFF2-40B4-BE49-F238E27FC236}">
              <a16:creationId xmlns:a16="http://schemas.microsoft.com/office/drawing/2014/main" id="{26E18E8F-1450-4373-AFEE-150F617F4F88}"/>
            </a:ext>
          </a:extLst>
        </xdr:cNvPr>
        <xdr:cNvSpPr/>
      </xdr:nvSpPr>
      <xdr:spPr>
        <a:xfrm>
          <a:off x="10512425" y="6797675"/>
          <a:ext cx="2714625" cy="746125"/>
        </a:xfrm>
        <a:prstGeom prst="wedgeRectCallout">
          <a:avLst>
            <a:gd name="adj1" fmla="val 73842"/>
            <a:gd name="adj2" fmla="val 1071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this is where the difference with on/off</a:t>
          </a:r>
          <a:r>
            <a:rPr lang="en-GB" sz="1100" baseline="0"/>
            <a:t> appliances lies... a better EER in part load when CR &lt; 0.33, because PLc </a:t>
          </a:r>
          <a:endParaRPr lang="en-GB" sz="1100"/>
        </a:p>
      </xdr:txBody>
    </xdr:sp>
    <xdr:clientData/>
  </xdr:twoCellAnchor>
  <xdr:twoCellAnchor>
    <xdr:from>
      <xdr:col>4</xdr:col>
      <xdr:colOff>231775</xdr:colOff>
      <xdr:row>32</xdr:row>
      <xdr:rowOff>152400</xdr:rowOff>
    </xdr:from>
    <xdr:to>
      <xdr:col>8</xdr:col>
      <xdr:colOff>501650</xdr:colOff>
      <xdr:row>37</xdr:row>
      <xdr:rowOff>158750</xdr:rowOff>
    </xdr:to>
    <xdr:sp macro="" textlink="">
      <xdr:nvSpPr>
        <xdr:cNvPr id="15" name="Speech Bubble: Rectangle 14">
          <a:extLst>
            <a:ext uri="{FF2B5EF4-FFF2-40B4-BE49-F238E27FC236}">
              <a16:creationId xmlns:a16="http://schemas.microsoft.com/office/drawing/2014/main" id="{896CEC0F-28A7-41DD-856D-55DF5EE07773}"/>
            </a:ext>
          </a:extLst>
        </xdr:cNvPr>
        <xdr:cNvSpPr/>
      </xdr:nvSpPr>
      <xdr:spPr>
        <a:xfrm>
          <a:off x="3886994" y="7105650"/>
          <a:ext cx="2698750" cy="958850"/>
        </a:xfrm>
        <a:prstGeom prst="wedgeRectCallout">
          <a:avLst>
            <a:gd name="adj1" fmla="val 8753"/>
            <a:gd name="adj2" fmla="val 1903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once the SD reaches Teq</a:t>
          </a:r>
          <a:r>
            <a:rPr lang="en-GB" sz="1100" baseline="0"/>
            <a:t> (cooling load= cooling output, the cooling output remains constant (room temperature will rise as a result). The EER remains constant as well from here on.</a:t>
          </a:r>
          <a:endParaRPr lang="en-GB" sz="1100"/>
        </a:p>
      </xdr:txBody>
    </xdr:sp>
    <xdr:clientData/>
  </xdr:twoCellAnchor>
  <xdr:twoCellAnchor editAs="oneCell">
    <xdr:from>
      <xdr:col>0</xdr:col>
      <xdr:colOff>476250</xdr:colOff>
      <xdr:row>102</xdr:row>
      <xdr:rowOff>0</xdr:rowOff>
    </xdr:from>
    <xdr:to>
      <xdr:col>6</xdr:col>
      <xdr:colOff>514737</xdr:colOff>
      <xdr:row>116</xdr:row>
      <xdr:rowOff>178593</xdr:rowOff>
    </xdr:to>
    <xdr:pic>
      <xdr:nvPicPr>
        <xdr:cNvPr id="17" name="Picture 16">
          <a:extLst>
            <a:ext uri="{FF2B5EF4-FFF2-40B4-BE49-F238E27FC236}">
              <a16:creationId xmlns:a16="http://schemas.microsoft.com/office/drawing/2014/main" id="{9BF476D6-8FB7-4D68-B6EF-5186A1C2EA91}"/>
            </a:ext>
          </a:extLst>
        </xdr:cNvPr>
        <xdr:cNvPicPr>
          <a:picLocks noChangeAspect="1"/>
        </xdr:cNvPicPr>
      </xdr:nvPicPr>
      <xdr:blipFill>
        <a:blip xmlns:r="http://schemas.openxmlformats.org/officeDocument/2006/relationships" r:embed="rId9"/>
        <a:stretch>
          <a:fillRect/>
        </a:stretch>
      </xdr:blipFill>
      <xdr:spPr>
        <a:xfrm>
          <a:off x="476250" y="20431125"/>
          <a:ext cx="4908143" cy="2845593"/>
        </a:xfrm>
        <a:prstGeom prst="rect">
          <a:avLst/>
        </a:prstGeom>
        <a:ln>
          <a:solidFill>
            <a:schemeClr val="accent1"/>
          </a:solidFill>
        </a:ln>
      </xdr:spPr>
    </xdr:pic>
    <xdr:clientData/>
  </xdr:twoCellAnchor>
  <xdr:twoCellAnchor>
    <xdr:from>
      <xdr:col>91</xdr:col>
      <xdr:colOff>65484</xdr:colOff>
      <xdr:row>28</xdr:row>
      <xdr:rowOff>265510</xdr:rowOff>
    </xdr:from>
    <xdr:to>
      <xdr:col>98</xdr:col>
      <xdr:colOff>386953</xdr:colOff>
      <xdr:row>42</xdr:row>
      <xdr:rowOff>8335</xdr:rowOff>
    </xdr:to>
    <xdr:graphicFrame macro="">
      <xdr:nvGraphicFramePr>
        <xdr:cNvPr id="18" name="Chart 17">
          <a:extLst>
            <a:ext uri="{FF2B5EF4-FFF2-40B4-BE49-F238E27FC236}">
              <a16:creationId xmlns:a16="http://schemas.microsoft.com/office/drawing/2014/main" id="{0D774F4A-D48E-47C0-906E-C61D86FDCA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99</xdr:col>
      <xdr:colOff>3571</xdr:colOff>
      <xdr:row>29</xdr:row>
      <xdr:rowOff>1192</xdr:rowOff>
    </xdr:from>
    <xdr:to>
      <xdr:col>106</xdr:col>
      <xdr:colOff>325040</xdr:colOff>
      <xdr:row>42</xdr:row>
      <xdr:rowOff>77392</xdr:rowOff>
    </xdr:to>
    <xdr:graphicFrame macro="">
      <xdr:nvGraphicFramePr>
        <xdr:cNvPr id="19" name="Chart 18">
          <a:extLst>
            <a:ext uri="{FF2B5EF4-FFF2-40B4-BE49-F238E27FC236}">
              <a16:creationId xmlns:a16="http://schemas.microsoft.com/office/drawing/2014/main" id="{ED560902-8F59-4095-8616-3F0FAF57F6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91</xdr:col>
      <xdr:colOff>1189</xdr:colOff>
      <xdr:row>5</xdr:row>
      <xdr:rowOff>94061</xdr:rowOff>
    </xdr:from>
    <xdr:to>
      <xdr:col>98</xdr:col>
      <xdr:colOff>322658</xdr:colOff>
      <xdr:row>19</xdr:row>
      <xdr:rowOff>86917</xdr:rowOff>
    </xdr:to>
    <xdr:graphicFrame macro="">
      <xdr:nvGraphicFramePr>
        <xdr:cNvPr id="20" name="Chart 19">
          <a:extLst>
            <a:ext uri="{FF2B5EF4-FFF2-40B4-BE49-F238E27FC236}">
              <a16:creationId xmlns:a16="http://schemas.microsoft.com/office/drawing/2014/main" id="{18F92B93-A46C-41B9-A954-981135C8F3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83</xdr:col>
      <xdr:colOff>381001</xdr:colOff>
      <xdr:row>37</xdr:row>
      <xdr:rowOff>154783</xdr:rowOff>
    </xdr:from>
    <xdr:to>
      <xdr:col>89</xdr:col>
      <xdr:colOff>218626</xdr:colOff>
      <xdr:row>47</xdr:row>
      <xdr:rowOff>183386</xdr:rowOff>
    </xdr:to>
    <xdr:pic>
      <xdr:nvPicPr>
        <xdr:cNvPr id="21" name="Picture 20">
          <a:extLst>
            <a:ext uri="{FF2B5EF4-FFF2-40B4-BE49-F238E27FC236}">
              <a16:creationId xmlns:a16="http://schemas.microsoft.com/office/drawing/2014/main" id="{5A74EE19-4BAE-4585-85E4-3E0D049D0128}"/>
            </a:ext>
          </a:extLst>
        </xdr:cNvPr>
        <xdr:cNvPicPr>
          <a:picLocks noChangeAspect="1"/>
        </xdr:cNvPicPr>
      </xdr:nvPicPr>
      <xdr:blipFill>
        <a:blip xmlns:r="http://schemas.openxmlformats.org/officeDocument/2006/relationships" r:embed="rId13"/>
        <a:stretch>
          <a:fillRect/>
        </a:stretch>
      </xdr:blipFill>
      <xdr:spPr>
        <a:xfrm>
          <a:off x="52875657" y="8131971"/>
          <a:ext cx="3600000" cy="1933603"/>
        </a:xfrm>
        <a:prstGeom prst="rect">
          <a:avLst/>
        </a:prstGeom>
        <a:ln>
          <a:solidFill>
            <a:srgbClr val="FF00FF"/>
          </a:solidFill>
        </a:ln>
      </xdr:spPr>
    </xdr:pic>
    <xdr:clientData/>
  </xdr:twoCellAnchor>
  <xdr:twoCellAnchor editAs="oneCell">
    <xdr:from>
      <xdr:col>78</xdr:col>
      <xdr:colOff>95249</xdr:colOff>
      <xdr:row>45</xdr:row>
      <xdr:rowOff>71449</xdr:rowOff>
    </xdr:from>
    <xdr:to>
      <xdr:col>87</xdr:col>
      <xdr:colOff>89812</xdr:colOff>
      <xdr:row>50</xdr:row>
      <xdr:rowOff>149374</xdr:rowOff>
    </xdr:to>
    <xdr:pic>
      <xdr:nvPicPr>
        <xdr:cNvPr id="22" name="Picture 21">
          <a:extLst>
            <a:ext uri="{FF2B5EF4-FFF2-40B4-BE49-F238E27FC236}">
              <a16:creationId xmlns:a16="http://schemas.microsoft.com/office/drawing/2014/main" id="{26C2B7D9-649D-4D7C-8536-B6FC723C7C95}"/>
            </a:ext>
          </a:extLst>
        </xdr:cNvPr>
        <xdr:cNvPicPr>
          <a:picLocks noChangeAspect="1"/>
        </xdr:cNvPicPr>
      </xdr:nvPicPr>
      <xdr:blipFill>
        <a:blip xmlns:r="http://schemas.openxmlformats.org/officeDocument/2006/relationships" r:embed="rId14"/>
        <a:stretch>
          <a:fillRect/>
        </a:stretch>
      </xdr:blipFill>
      <xdr:spPr>
        <a:xfrm>
          <a:off x="49553812" y="9572637"/>
          <a:ext cx="5400000" cy="1030425"/>
        </a:xfrm>
        <a:prstGeom prst="rect">
          <a:avLst/>
        </a:prstGeom>
        <a:ln>
          <a:solidFill>
            <a:srgbClr val="FF00FF"/>
          </a:solidFill>
        </a:ln>
      </xdr:spPr>
    </xdr:pic>
    <xdr:clientData/>
  </xdr:twoCellAnchor>
  <xdr:twoCellAnchor editAs="oneCell">
    <xdr:from>
      <xdr:col>78</xdr:col>
      <xdr:colOff>35719</xdr:colOff>
      <xdr:row>51</xdr:row>
      <xdr:rowOff>59556</xdr:rowOff>
    </xdr:from>
    <xdr:to>
      <xdr:col>84</xdr:col>
      <xdr:colOff>28407</xdr:colOff>
      <xdr:row>55</xdr:row>
      <xdr:rowOff>166044</xdr:rowOff>
    </xdr:to>
    <xdr:pic>
      <xdr:nvPicPr>
        <xdr:cNvPr id="23" name="Picture 22">
          <a:extLst>
            <a:ext uri="{FF2B5EF4-FFF2-40B4-BE49-F238E27FC236}">
              <a16:creationId xmlns:a16="http://schemas.microsoft.com/office/drawing/2014/main" id="{D89C3117-ECDC-4DA1-B195-2BA9E975A468}"/>
            </a:ext>
          </a:extLst>
        </xdr:cNvPr>
        <xdr:cNvPicPr>
          <a:picLocks noChangeAspect="1"/>
        </xdr:cNvPicPr>
      </xdr:nvPicPr>
      <xdr:blipFill>
        <a:blip xmlns:r="http://schemas.openxmlformats.org/officeDocument/2006/relationships" r:embed="rId15"/>
        <a:stretch>
          <a:fillRect/>
        </a:stretch>
      </xdr:blipFill>
      <xdr:spPr>
        <a:xfrm>
          <a:off x="49494282" y="10703744"/>
          <a:ext cx="3636000" cy="868488"/>
        </a:xfrm>
        <a:prstGeom prst="rect">
          <a:avLst/>
        </a:prstGeom>
        <a:ln>
          <a:solidFill>
            <a:srgbClr val="FF00FF"/>
          </a:solidFill>
        </a:ln>
      </xdr:spPr>
    </xdr:pic>
    <xdr:clientData/>
  </xdr:twoCellAnchor>
  <xdr:twoCellAnchor editAs="oneCell">
    <xdr:from>
      <xdr:col>78</xdr:col>
      <xdr:colOff>0</xdr:colOff>
      <xdr:row>56</xdr:row>
      <xdr:rowOff>12</xdr:rowOff>
    </xdr:from>
    <xdr:to>
      <xdr:col>84</xdr:col>
      <xdr:colOff>532688</xdr:colOff>
      <xdr:row>60</xdr:row>
      <xdr:rowOff>45894</xdr:rowOff>
    </xdr:to>
    <xdr:pic>
      <xdr:nvPicPr>
        <xdr:cNvPr id="24" name="Picture 23">
          <a:extLst>
            <a:ext uri="{FF2B5EF4-FFF2-40B4-BE49-F238E27FC236}">
              <a16:creationId xmlns:a16="http://schemas.microsoft.com/office/drawing/2014/main" id="{F02A2FF7-D3CE-46B4-A5AC-AE426ED897C8}"/>
            </a:ext>
          </a:extLst>
        </xdr:cNvPr>
        <xdr:cNvPicPr>
          <a:picLocks noChangeAspect="1"/>
        </xdr:cNvPicPr>
      </xdr:nvPicPr>
      <xdr:blipFill>
        <a:blip xmlns:r="http://schemas.openxmlformats.org/officeDocument/2006/relationships" r:embed="rId16"/>
        <a:stretch>
          <a:fillRect/>
        </a:stretch>
      </xdr:blipFill>
      <xdr:spPr>
        <a:xfrm>
          <a:off x="49458563" y="11596700"/>
          <a:ext cx="4176000" cy="807882"/>
        </a:xfrm>
        <a:prstGeom prst="rect">
          <a:avLst/>
        </a:prstGeom>
        <a:ln>
          <a:solidFill>
            <a:srgbClr val="FF00FF"/>
          </a:solidFill>
        </a:ln>
      </xdr:spPr>
    </xdr:pic>
    <xdr:clientData/>
  </xdr:twoCellAnchor>
  <xdr:twoCellAnchor editAs="oneCell">
    <xdr:from>
      <xdr:col>80</xdr:col>
      <xdr:colOff>226219</xdr:colOff>
      <xdr:row>52</xdr:row>
      <xdr:rowOff>142875</xdr:rowOff>
    </xdr:from>
    <xdr:to>
      <xdr:col>84</xdr:col>
      <xdr:colOff>23813</xdr:colOff>
      <xdr:row>60</xdr:row>
      <xdr:rowOff>101137</xdr:rowOff>
    </xdr:to>
    <xdr:pic>
      <xdr:nvPicPr>
        <xdr:cNvPr id="25" name="Picture 24">
          <a:extLst>
            <a:ext uri="{FF2B5EF4-FFF2-40B4-BE49-F238E27FC236}">
              <a16:creationId xmlns:a16="http://schemas.microsoft.com/office/drawing/2014/main" id="{B8BDDE35-BF44-491B-BC2D-58DEFA5F852A}"/>
            </a:ext>
          </a:extLst>
        </xdr:cNvPr>
        <xdr:cNvPicPr>
          <a:picLocks noChangeAspect="1"/>
        </xdr:cNvPicPr>
      </xdr:nvPicPr>
      <xdr:blipFill>
        <a:blip xmlns:r="http://schemas.openxmlformats.org/officeDocument/2006/relationships" r:embed="rId17"/>
        <a:stretch>
          <a:fillRect/>
        </a:stretch>
      </xdr:blipFill>
      <xdr:spPr>
        <a:xfrm>
          <a:off x="51173063" y="10810875"/>
          <a:ext cx="2226469" cy="1482262"/>
        </a:xfrm>
        <a:prstGeom prst="rect">
          <a:avLst/>
        </a:prstGeom>
        <a:ln>
          <a:solidFill>
            <a:srgbClr val="FF00FF"/>
          </a:solidFill>
        </a:ln>
      </xdr:spPr>
    </xdr:pic>
    <xdr:clientData/>
  </xdr:twoCellAnchor>
  <xdr:twoCellAnchor editAs="oneCell">
    <xdr:from>
      <xdr:col>78</xdr:col>
      <xdr:colOff>154782</xdr:colOff>
      <xdr:row>82</xdr:row>
      <xdr:rowOff>107205</xdr:rowOff>
    </xdr:from>
    <xdr:to>
      <xdr:col>85</xdr:col>
      <xdr:colOff>116251</xdr:colOff>
      <xdr:row>89</xdr:row>
      <xdr:rowOff>160533</xdr:rowOff>
    </xdr:to>
    <xdr:pic>
      <xdr:nvPicPr>
        <xdr:cNvPr id="26" name="Picture 25">
          <a:extLst>
            <a:ext uri="{FF2B5EF4-FFF2-40B4-BE49-F238E27FC236}">
              <a16:creationId xmlns:a16="http://schemas.microsoft.com/office/drawing/2014/main" id="{37F4F0AD-75C4-4AB5-9B4B-38C8DC8BA6EF}"/>
            </a:ext>
          </a:extLst>
        </xdr:cNvPr>
        <xdr:cNvPicPr>
          <a:picLocks noChangeAspect="1"/>
        </xdr:cNvPicPr>
      </xdr:nvPicPr>
      <xdr:blipFill>
        <a:blip xmlns:r="http://schemas.openxmlformats.org/officeDocument/2006/relationships" r:embed="rId18"/>
        <a:stretch>
          <a:fillRect/>
        </a:stretch>
      </xdr:blipFill>
      <xdr:spPr>
        <a:xfrm>
          <a:off x="49613345" y="16799768"/>
          <a:ext cx="4212000" cy="1386828"/>
        </a:xfrm>
        <a:prstGeom prst="rect">
          <a:avLst/>
        </a:prstGeom>
        <a:ln>
          <a:solidFill>
            <a:srgbClr val="FF00FF"/>
          </a:solidFill>
        </a:ln>
      </xdr:spPr>
    </xdr:pic>
    <xdr:clientData/>
  </xdr:twoCellAnchor>
  <xdr:twoCellAnchor editAs="oneCell">
    <xdr:from>
      <xdr:col>78</xdr:col>
      <xdr:colOff>214312</xdr:colOff>
      <xdr:row>69</xdr:row>
      <xdr:rowOff>142903</xdr:rowOff>
    </xdr:from>
    <xdr:to>
      <xdr:col>84</xdr:col>
      <xdr:colOff>423000</xdr:colOff>
      <xdr:row>80</xdr:row>
      <xdr:rowOff>172029</xdr:rowOff>
    </xdr:to>
    <xdr:pic>
      <xdr:nvPicPr>
        <xdr:cNvPr id="27" name="Picture 26">
          <a:extLst>
            <a:ext uri="{FF2B5EF4-FFF2-40B4-BE49-F238E27FC236}">
              <a16:creationId xmlns:a16="http://schemas.microsoft.com/office/drawing/2014/main" id="{5E58E67D-3B73-4F73-B18C-A7CD45E87774}"/>
            </a:ext>
          </a:extLst>
        </xdr:cNvPr>
        <xdr:cNvPicPr>
          <a:picLocks noChangeAspect="1"/>
        </xdr:cNvPicPr>
      </xdr:nvPicPr>
      <xdr:blipFill>
        <a:blip xmlns:r="http://schemas.openxmlformats.org/officeDocument/2006/relationships" r:embed="rId19"/>
        <a:stretch>
          <a:fillRect/>
        </a:stretch>
      </xdr:blipFill>
      <xdr:spPr>
        <a:xfrm>
          <a:off x="49672875" y="14263716"/>
          <a:ext cx="3852000" cy="2219876"/>
        </a:xfrm>
        <a:prstGeom prst="rect">
          <a:avLst/>
        </a:prstGeom>
        <a:ln>
          <a:solidFill>
            <a:srgbClr val="FF00FF"/>
          </a:solidFill>
        </a:ln>
      </xdr:spPr>
    </xdr:pic>
    <xdr:clientData/>
  </xdr:twoCellAnchor>
  <xdr:twoCellAnchor editAs="oneCell">
    <xdr:from>
      <xdr:col>81</xdr:col>
      <xdr:colOff>381000</xdr:colOff>
      <xdr:row>74</xdr:row>
      <xdr:rowOff>83343</xdr:rowOff>
    </xdr:from>
    <xdr:to>
      <xdr:col>88</xdr:col>
      <xdr:colOff>282656</xdr:colOff>
      <xdr:row>78</xdr:row>
      <xdr:rowOff>111567</xdr:rowOff>
    </xdr:to>
    <xdr:pic>
      <xdr:nvPicPr>
        <xdr:cNvPr id="28" name="Picture 27">
          <a:extLst>
            <a:ext uri="{FF2B5EF4-FFF2-40B4-BE49-F238E27FC236}">
              <a16:creationId xmlns:a16="http://schemas.microsoft.com/office/drawing/2014/main" id="{7BB4A1B1-DB00-4845-BE60-CE937E08B9F3}"/>
            </a:ext>
          </a:extLst>
        </xdr:cNvPr>
        <xdr:cNvPicPr>
          <a:picLocks noChangeAspect="1"/>
        </xdr:cNvPicPr>
      </xdr:nvPicPr>
      <xdr:blipFill>
        <a:blip xmlns:r="http://schemas.openxmlformats.org/officeDocument/2006/relationships" r:embed="rId20"/>
        <a:stretch>
          <a:fillRect/>
        </a:stretch>
      </xdr:blipFill>
      <xdr:spPr>
        <a:xfrm>
          <a:off x="51661219" y="15180468"/>
          <a:ext cx="4176000" cy="790224"/>
        </a:xfrm>
        <a:prstGeom prst="rect">
          <a:avLst/>
        </a:prstGeom>
        <a:ln>
          <a:solidFill>
            <a:srgbClr val="FF00FF"/>
          </a:solidFill>
        </a:ln>
      </xdr:spPr>
    </xdr:pic>
    <xdr:clientData/>
  </xdr:twoCellAnchor>
  <xdr:twoCellAnchor editAs="oneCell">
    <xdr:from>
      <xdr:col>81</xdr:col>
      <xdr:colOff>381000</xdr:colOff>
      <xdr:row>66</xdr:row>
      <xdr:rowOff>59532</xdr:rowOff>
    </xdr:from>
    <xdr:to>
      <xdr:col>89</xdr:col>
      <xdr:colOff>84188</xdr:colOff>
      <xdr:row>70</xdr:row>
      <xdr:rowOff>5765</xdr:rowOff>
    </xdr:to>
    <xdr:pic>
      <xdr:nvPicPr>
        <xdr:cNvPr id="29" name="Picture 28">
          <a:extLst>
            <a:ext uri="{FF2B5EF4-FFF2-40B4-BE49-F238E27FC236}">
              <a16:creationId xmlns:a16="http://schemas.microsoft.com/office/drawing/2014/main" id="{50822A18-83FB-4C2E-9CE4-4F7A6AFD32D2}"/>
            </a:ext>
          </a:extLst>
        </xdr:cNvPr>
        <xdr:cNvPicPr>
          <a:picLocks noChangeAspect="1"/>
        </xdr:cNvPicPr>
      </xdr:nvPicPr>
      <xdr:blipFill>
        <a:blip xmlns:r="http://schemas.openxmlformats.org/officeDocument/2006/relationships" r:embed="rId21"/>
        <a:stretch>
          <a:fillRect/>
        </a:stretch>
      </xdr:blipFill>
      <xdr:spPr>
        <a:xfrm>
          <a:off x="51661219" y="13537407"/>
          <a:ext cx="4680000" cy="708233"/>
        </a:xfrm>
        <a:prstGeom prst="rect">
          <a:avLst/>
        </a:prstGeom>
        <a:ln>
          <a:solidFill>
            <a:srgbClr val="FF00FF"/>
          </a:solidFill>
        </a:ln>
      </xdr:spPr>
    </xdr:pic>
    <xdr:clientData/>
  </xdr:twoCellAnchor>
  <xdr:twoCellAnchor editAs="oneCell">
    <xdr:from>
      <xdr:col>63</xdr:col>
      <xdr:colOff>119064</xdr:colOff>
      <xdr:row>87</xdr:row>
      <xdr:rowOff>107157</xdr:rowOff>
    </xdr:from>
    <xdr:to>
      <xdr:col>71</xdr:col>
      <xdr:colOff>154782</xdr:colOff>
      <xdr:row>97</xdr:row>
      <xdr:rowOff>9263</xdr:rowOff>
    </xdr:to>
    <xdr:pic>
      <xdr:nvPicPr>
        <xdr:cNvPr id="30" name="Picture 29">
          <a:extLst>
            <a:ext uri="{FF2B5EF4-FFF2-40B4-BE49-F238E27FC236}">
              <a16:creationId xmlns:a16="http://schemas.microsoft.com/office/drawing/2014/main" id="{2964684E-41A8-47D8-A5E3-27A9FE961411}"/>
            </a:ext>
          </a:extLst>
        </xdr:cNvPr>
        <xdr:cNvPicPr>
          <a:picLocks noChangeAspect="1"/>
        </xdr:cNvPicPr>
      </xdr:nvPicPr>
      <xdr:blipFill>
        <a:blip xmlns:r="http://schemas.openxmlformats.org/officeDocument/2006/relationships" r:embed="rId22"/>
        <a:stretch>
          <a:fillRect/>
        </a:stretch>
      </xdr:blipFill>
      <xdr:spPr>
        <a:xfrm>
          <a:off x="40183595" y="17680782"/>
          <a:ext cx="5179218" cy="1807106"/>
        </a:xfrm>
        <a:prstGeom prst="rect">
          <a:avLst/>
        </a:prstGeom>
        <a:ln>
          <a:solidFill>
            <a:srgbClr val="FF00FF"/>
          </a:solidFill>
        </a:ln>
      </xdr:spPr>
    </xdr:pic>
    <xdr:clientData/>
  </xdr:twoCellAnchor>
  <xdr:twoCellAnchor editAs="oneCell">
    <xdr:from>
      <xdr:col>63</xdr:col>
      <xdr:colOff>35719</xdr:colOff>
      <xdr:row>101</xdr:row>
      <xdr:rowOff>71437</xdr:rowOff>
    </xdr:from>
    <xdr:to>
      <xdr:col>71</xdr:col>
      <xdr:colOff>428625</xdr:colOff>
      <xdr:row>116</xdr:row>
      <xdr:rowOff>9616</xdr:rowOff>
    </xdr:to>
    <xdr:pic>
      <xdr:nvPicPr>
        <xdr:cNvPr id="31" name="Picture 30">
          <a:extLst>
            <a:ext uri="{FF2B5EF4-FFF2-40B4-BE49-F238E27FC236}">
              <a16:creationId xmlns:a16="http://schemas.microsoft.com/office/drawing/2014/main" id="{9D3D0D2C-1BFB-4418-98B0-A9950CD1ED2C}"/>
            </a:ext>
          </a:extLst>
        </xdr:cNvPr>
        <xdr:cNvPicPr>
          <a:picLocks noChangeAspect="1"/>
        </xdr:cNvPicPr>
      </xdr:nvPicPr>
      <xdr:blipFill>
        <a:blip xmlns:r="http://schemas.openxmlformats.org/officeDocument/2006/relationships" r:embed="rId23"/>
        <a:stretch>
          <a:fillRect/>
        </a:stretch>
      </xdr:blipFill>
      <xdr:spPr>
        <a:xfrm>
          <a:off x="40100250" y="20312062"/>
          <a:ext cx="5536406" cy="2795679"/>
        </a:xfrm>
        <a:prstGeom prst="rect">
          <a:avLst/>
        </a:prstGeom>
        <a:ln>
          <a:solidFill>
            <a:srgbClr val="FF00FF"/>
          </a:solidFill>
        </a:ln>
      </xdr:spPr>
    </xdr:pic>
    <xdr:clientData/>
  </xdr:twoCellAnchor>
  <xdr:twoCellAnchor editAs="oneCell">
    <xdr:from>
      <xdr:col>81</xdr:col>
      <xdr:colOff>0</xdr:colOff>
      <xdr:row>4</xdr:row>
      <xdr:rowOff>36</xdr:rowOff>
    </xdr:from>
    <xdr:to>
      <xdr:col>89</xdr:col>
      <xdr:colOff>171188</xdr:colOff>
      <xdr:row>13</xdr:row>
      <xdr:rowOff>172030</xdr:rowOff>
    </xdr:to>
    <xdr:pic>
      <xdr:nvPicPr>
        <xdr:cNvPr id="32" name="Picture 31">
          <a:extLst>
            <a:ext uri="{FF2B5EF4-FFF2-40B4-BE49-F238E27FC236}">
              <a16:creationId xmlns:a16="http://schemas.microsoft.com/office/drawing/2014/main" id="{7AA58F34-A8A8-46D3-AF16-7FA5BB239706}"/>
            </a:ext>
          </a:extLst>
        </xdr:cNvPr>
        <xdr:cNvPicPr>
          <a:picLocks noChangeAspect="1"/>
        </xdr:cNvPicPr>
      </xdr:nvPicPr>
      <xdr:blipFill>
        <a:blip xmlns:r="http://schemas.openxmlformats.org/officeDocument/2006/relationships" r:embed="rId24"/>
        <a:stretch>
          <a:fillRect/>
        </a:stretch>
      </xdr:blipFill>
      <xdr:spPr>
        <a:xfrm>
          <a:off x="51280219" y="988255"/>
          <a:ext cx="5148000" cy="1969838"/>
        </a:xfrm>
        <a:prstGeom prst="rect">
          <a:avLst/>
        </a:prstGeom>
        <a:ln>
          <a:solidFill>
            <a:srgbClr val="FF00FF"/>
          </a:solidFill>
        </a:ln>
      </xdr:spPr>
    </xdr:pic>
    <xdr:clientData/>
  </xdr:twoCellAnchor>
  <xdr:twoCellAnchor editAs="oneCell">
    <xdr:from>
      <xdr:col>72</xdr:col>
      <xdr:colOff>11906</xdr:colOff>
      <xdr:row>101</xdr:row>
      <xdr:rowOff>119062</xdr:rowOff>
    </xdr:from>
    <xdr:to>
      <xdr:col>84</xdr:col>
      <xdr:colOff>460661</xdr:colOff>
      <xdr:row>113</xdr:row>
      <xdr:rowOff>176539</xdr:rowOff>
    </xdr:to>
    <xdr:pic>
      <xdr:nvPicPr>
        <xdr:cNvPr id="33" name="Picture 32">
          <a:extLst>
            <a:ext uri="{FF2B5EF4-FFF2-40B4-BE49-F238E27FC236}">
              <a16:creationId xmlns:a16="http://schemas.microsoft.com/office/drawing/2014/main" id="{7D7ABE20-F1C4-4FA0-B62D-A183FDFFA1D5}"/>
            </a:ext>
          </a:extLst>
        </xdr:cNvPr>
        <xdr:cNvPicPr>
          <a:picLocks noChangeAspect="1"/>
        </xdr:cNvPicPr>
      </xdr:nvPicPr>
      <xdr:blipFill>
        <a:blip xmlns:r="http://schemas.openxmlformats.org/officeDocument/2006/relationships" r:embed="rId25"/>
        <a:stretch>
          <a:fillRect/>
        </a:stretch>
      </xdr:blipFill>
      <xdr:spPr>
        <a:xfrm>
          <a:off x="45827156" y="20359687"/>
          <a:ext cx="7735380" cy="2343477"/>
        </a:xfrm>
        <a:prstGeom prst="rect">
          <a:avLst/>
        </a:prstGeom>
        <a:ln>
          <a:solidFill>
            <a:srgbClr val="FF00FF"/>
          </a:solidFill>
        </a:ln>
      </xdr:spPr>
    </xdr:pic>
    <xdr:clientData/>
  </xdr:twoCellAnchor>
  <xdr:twoCellAnchor>
    <xdr:from>
      <xdr:col>78</xdr:col>
      <xdr:colOff>238124</xdr:colOff>
      <xdr:row>24</xdr:row>
      <xdr:rowOff>142874</xdr:rowOff>
    </xdr:from>
    <xdr:to>
      <xdr:col>82</xdr:col>
      <xdr:colOff>83343</xdr:colOff>
      <xdr:row>29</xdr:row>
      <xdr:rowOff>166687</xdr:rowOff>
    </xdr:to>
    <xdr:sp macro="" textlink="">
      <xdr:nvSpPr>
        <xdr:cNvPr id="34" name="Speech Bubble: Rectangle 33">
          <a:extLst>
            <a:ext uri="{FF2B5EF4-FFF2-40B4-BE49-F238E27FC236}">
              <a16:creationId xmlns:a16="http://schemas.microsoft.com/office/drawing/2014/main" id="{ADD8D471-C719-4D90-A52D-58AA7670ABE8}"/>
            </a:ext>
          </a:extLst>
        </xdr:cNvPr>
        <xdr:cNvSpPr/>
      </xdr:nvSpPr>
      <xdr:spPr>
        <a:xfrm>
          <a:off x="49696687" y="5024437"/>
          <a:ext cx="2274094" cy="1262063"/>
        </a:xfrm>
        <a:prstGeom prst="wedgeRectCallout">
          <a:avLst>
            <a:gd name="adj1" fmla="val -40730"/>
            <a:gd name="adj2" fmla="val 96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this factor allows changing the inlet flow</a:t>
          </a:r>
          <a:r>
            <a:rPr lang="en-GB" sz="1100" baseline="0"/>
            <a:t> (assumed: inlet flow measured is lower than outlet flow, because of infiltration through other ports/crevices than inlet duct. inlet duct is underpressurised)</a:t>
          </a:r>
          <a:endParaRPr lang="en-GB" sz="1100"/>
        </a:p>
      </xdr:txBody>
    </xdr:sp>
    <xdr:clientData/>
  </xdr:twoCellAnchor>
  <xdr:oneCellAnchor>
    <xdr:from>
      <xdr:col>0</xdr:col>
      <xdr:colOff>444500</xdr:colOff>
      <xdr:row>0</xdr:row>
      <xdr:rowOff>523874</xdr:rowOff>
    </xdr:from>
    <xdr:ext cx="23844250" cy="1587501"/>
    <xdr:sp macro="" textlink="">
      <xdr:nvSpPr>
        <xdr:cNvPr id="5" name="TextBox 4">
          <a:extLst>
            <a:ext uri="{FF2B5EF4-FFF2-40B4-BE49-F238E27FC236}">
              <a16:creationId xmlns:a16="http://schemas.microsoft.com/office/drawing/2014/main" id="{7DF8B5B4-7A41-14FA-CCB1-CC70B69F8C0E}"/>
            </a:ext>
          </a:extLst>
        </xdr:cNvPr>
        <xdr:cNvSpPr txBox="1"/>
      </xdr:nvSpPr>
      <xdr:spPr>
        <a:xfrm>
          <a:off x="444500" y="523874"/>
          <a:ext cx="23844250" cy="1587501"/>
        </a:xfrm>
        <a:prstGeom prst="rect">
          <a:avLst/>
        </a:prstGeom>
        <a:solidFill>
          <a:schemeClr val="accent5">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800" i="1">
              <a:solidFill>
                <a:schemeClr val="bg1"/>
              </a:solidFill>
              <a:effectLst/>
              <a:latin typeface="+mn-lt"/>
              <a:ea typeface="+mn-ea"/>
              <a:cs typeface="+mn-cs"/>
            </a:rPr>
            <a:t>DISCLAIMER</a:t>
          </a:r>
          <a:br>
            <a:rPr lang="en-GB" sz="1800" i="1">
              <a:solidFill>
                <a:schemeClr val="bg1"/>
              </a:solidFill>
              <a:effectLst/>
              <a:latin typeface="+mn-lt"/>
              <a:ea typeface="+mn-ea"/>
              <a:cs typeface="+mn-cs"/>
            </a:rPr>
          </a:br>
          <a:r>
            <a:rPr lang="en-GB" sz="1800" i="1">
              <a:solidFill>
                <a:schemeClr val="bg1"/>
              </a:solidFill>
              <a:effectLst/>
              <a:latin typeface="+mn-lt"/>
              <a:ea typeface="+mn-ea"/>
              <a:cs typeface="+mn-cs"/>
            </a:rPr>
            <a:t>The information and methods set out in this workbook are those of the author(s) and do not necessarily reflect the official opinion of the Commission. The Commission does not guarantee the accuracy of the</a:t>
          </a:r>
          <a:r>
            <a:rPr lang="en-GB" sz="1800" i="1" baseline="0">
              <a:solidFill>
                <a:schemeClr val="bg1"/>
              </a:solidFill>
              <a:effectLst/>
              <a:latin typeface="+mn-lt"/>
              <a:ea typeface="+mn-ea"/>
              <a:cs typeface="+mn-cs"/>
            </a:rPr>
            <a:t> information, methods, etc.</a:t>
          </a:r>
          <a:r>
            <a:rPr lang="en-GB" sz="1800" i="1">
              <a:solidFill>
                <a:schemeClr val="bg1"/>
              </a:solidFill>
              <a:effectLst/>
              <a:latin typeface="+mn-lt"/>
              <a:ea typeface="+mn-ea"/>
              <a:cs typeface="+mn-cs"/>
            </a:rPr>
            <a:t> in this workbook. </a:t>
          </a:r>
          <a:br>
            <a:rPr lang="en-GB" sz="1800" i="1">
              <a:solidFill>
                <a:schemeClr val="bg1"/>
              </a:solidFill>
              <a:effectLst/>
              <a:latin typeface="+mn-lt"/>
              <a:ea typeface="+mn-ea"/>
              <a:cs typeface="+mn-cs"/>
            </a:rPr>
          </a:br>
          <a:r>
            <a:rPr lang="en-GB" sz="1800" i="1">
              <a:solidFill>
                <a:schemeClr val="bg1"/>
              </a:solidFill>
              <a:effectLst/>
              <a:latin typeface="+mn-lt"/>
              <a:ea typeface="+mn-ea"/>
              <a:cs typeface="+mn-cs"/>
            </a:rPr>
            <a:t>Neither the Commission nor any person acting on the Commission’s behalf may be held responsible for the use which may be made of the information, methods, etc. contained therein.</a:t>
          </a:r>
        </a:p>
        <a:p>
          <a:pPr algn="ctr"/>
          <a:r>
            <a:rPr lang="en-GB" sz="1800" i="1">
              <a:solidFill>
                <a:schemeClr val="bg1"/>
              </a:solidFill>
              <a:effectLst/>
              <a:latin typeface="+mn-lt"/>
              <a:ea typeface="+mn-ea"/>
              <a:cs typeface="+mn-cs"/>
            </a:rPr>
            <a:t>This workbook has been prepared by the authors to the best of their ability and knowledge. The authors do not assume liability for any damage, material or immaterial, that may arise from the use of this workbook or the information contained therein.</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571500</xdr:colOff>
      <xdr:row>77</xdr:row>
      <xdr:rowOff>95250</xdr:rowOff>
    </xdr:from>
    <xdr:to>
      <xdr:col>13</xdr:col>
      <xdr:colOff>15321</xdr:colOff>
      <xdr:row>95</xdr:row>
      <xdr:rowOff>63428</xdr:rowOff>
    </xdr:to>
    <xdr:grpSp>
      <xdr:nvGrpSpPr>
        <xdr:cNvPr id="2" name="Group 1">
          <a:extLst>
            <a:ext uri="{FF2B5EF4-FFF2-40B4-BE49-F238E27FC236}">
              <a16:creationId xmlns:a16="http://schemas.microsoft.com/office/drawing/2014/main" id="{8DDC415F-9B22-47EB-8422-DBB5A1A69231}"/>
            </a:ext>
          </a:extLst>
        </xdr:cNvPr>
        <xdr:cNvGrpSpPr/>
      </xdr:nvGrpSpPr>
      <xdr:grpSpPr>
        <a:xfrm>
          <a:off x="6490607" y="16124464"/>
          <a:ext cx="4505678" cy="3397178"/>
          <a:chOff x="13462000" y="2460625"/>
          <a:chExt cx="4428571" cy="3244302"/>
        </a:xfrm>
        <a:solidFill>
          <a:schemeClr val="bg1"/>
        </a:solidFill>
      </xdr:grpSpPr>
      <xdr:pic>
        <xdr:nvPicPr>
          <xdr:cNvPr id="3" name="Picture 2">
            <a:extLst>
              <a:ext uri="{FF2B5EF4-FFF2-40B4-BE49-F238E27FC236}">
                <a16:creationId xmlns:a16="http://schemas.microsoft.com/office/drawing/2014/main" id="{4AEED132-427D-46C5-999D-39828AF88F18}"/>
              </a:ext>
            </a:extLst>
          </xdr:cNvPr>
          <xdr:cNvPicPr>
            <a:picLocks noChangeAspect="1"/>
          </xdr:cNvPicPr>
        </xdr:nvPicPr>
        <xdr:blipFill>
          <a:blip xmlns:r="http://schemas.openxmlformats.org/officeDocument/2006/relationships" r:embed="rId1"/>
          <a:stretch>
            <a:fillRect/>
          </a:stretch>
        </xdr:blipFill>
        <xdr:spPr>
          <a:xfrm>
            <a:off x="13557250" y="3413125"/>
            <a:ext cx="3095238" cy="1228571"/>
          </a:xfrm>
          <a:prstGeom prst="rect">
            <a:avLst/>
          </a:prstGeom>
          <a:grpFill/>
        </xdr:spPr>
      </xdr:pic>
      <xdr:pic>
        <xdr:nvPicPr>
          <xdr:cNvPr id="4" name="Picture 3">
            <a:extLst>
              <a:ext uri="{FF2B5EF4-FFF2-40B4-BE49-F238E27FC236}">
                <a16:creationId xmlns:a16="http://schemas.microsoft.com/office/drawing/2014/main" id="{EDDADBBB-8D06-44E6-B6FC-0D6C669ACEC0}"/>
              </a:ext>
            </a:extLst>
          </xdr:cNvPr>
          <xdr:cNvPicPr>
            <a:picLocks noChangeAspect="1"/>
          </xdr:cNvPicPr>
        </xdr:nvPicPr>
        <xdr:blipFill>
          <a:blip xmlns:r="http://schemas.openxmlformats.org/officeDocument/2006/relationships" r:embed="rId2"/>
          <a:stretch>
            <a:fillRect/>
          </a:stretch>
        </xdr:blipFill>
        <xdr:spPr>
          <a:xfrm>
            <a:off x="13541375" y="2460625"/>
            <a:ext cx="2447619" cy="1114286"/>
          </a:xfrm>
          <a:prstGeom prst="rect">
            <a:avLst/>
          </a:prstGeom>
          <a:grpFill/>
        </xdr:spPr>
      </xdr:pic>
      <xdr:pic>
        <xdr:nvPicPr>
          <xdr:cNvPr id="5" name="Picture 4">
            <a:extLst>
              <a:ext uri="{FF2B5EF4-FFF2-40B4-BE49-F238E27FC236}">
                <a16:creationId xmlns:a16="http://schemas.microsoft.com/office/drawing/2014/main" id="{1A29FC41-2DA7-4841-B333-50A0B224C93D}"/>
              </a:ext>
            </a:extLst>
          </xdr:cNvPr>
          <xdr:cNvPicPr>
            <a:picLocks noChangeAspect="1"/>
          </xdr:cNvPicPr>
        </xdr:nvPicPr>
        <xdr:blipFill>
          <a:blip xmlns:r="http://schemas.openxmlformats.org/officeDocument/2006/relationships" r:embed="rId3"/>
          <a:stretch>
            <a:fillRect/>
          </a:stretch>
        </xdr:blipFill>
        <xdr:spPr>
          <a:xfrm>
            <a:off x="13462000" y="5133498"/>
            <a:ext cx="4428571" cy="571429"/>
          </a:xfrm>
          <a:prstGeom prst="rect">
            <a:avLst/>
          </a:prstGeom>
          <a:grpFill/>
        </xdr:spPr>
      </xdr:pic>
      <xdr:pic>
        <xdr:nvPicPr>
          <xdr:cNvPr id="6" name="Picture 5">
            <a:extLst>
              <a:ext uri="{FF2B5EF4-FFF2-40B4-BE49-F238E27FC236}">
                <a16:creationId xmlns:a16="http://schemas.microsoft.com/office/drawing/2014/main" id="{5A996B2B-8889-4D4E-AC7A-58D981622BD5}"/>
              </a:ext>
            </a:extLst>
          </xdr:cNvPr>
          <xdr:cNvPicPr>
            <a:picLocks noChangeAspect="1"/>
          </xdr:cNvPicPr>
        </xdr:nvPicPr>
        <xdr:blipFill>
          <a:blip xmlns:r="http://schemas.openxmlformats.org/officeDocument/2006/relationships" r:embed="rId4"/>
          <a:stretch>
            <a:fillRect/>
          </a:stretch>
        </xdr:blipFill>
        <xdr:spPr>
          <a:xfrm>
            <a:off x="14509750" y="4634786"/>
            <a:ext cx="1409524" cy="390476"/>
          </a:xfrm>
          <a:prstGeom prst="rect">
            <a:avLst/>
          </a:prstGeom>
          <a:grpFill/>
        </xdr:spPr>
      </xdr:pic>
      <xdr:pic>
        <xdr:nvPicPr>
          <xdr:cNvPr id="7" name="Picture 6">
            <a:extLst>
              <a:ext uri="{FF2B5EF4-FFF2-40B4-BE49-F238E27FC236}">
                <a16:creationId xmlns:a16="http://schemas.microsoft.com/office/drawing/2014/main" id="{B0E67FDE-5CC3-4837-97FC-E3648A956E9F}"/>
              </a:ext>
            </a:extLst>
          </xdr:cNvPr>
          <xdr:cNvPicPr>
            <a:picLocks noChangeAspect="1"/>
          </xdr:cNvPicPr>
        </xdr:nvPicPr>
        <xdr:blipFill>
          <a:blip xmlns:r="http://schemas.openxmlformats.org/officeDocument/2006/relationships" r:embed="rId5"/>
          <a:stretch>
            <a:fillRect/>
          </a:stretch>
        </xdr:blipFill>
        <xdr:spPr>
          <a:xfrm>
            <a:off x="13541375" y="4603750"/>
            <a:ext cx="942857" cy="514286"/>
          </a:xfrm>
          <a:prstGeom prst="rect">
            <a:avLst/>
          </a:prstGeom>
          <a:grpFill/>
        </xdr:spPr>
      </xdr:pic>
    </xdr:grpSp>
    <xdr:clientData/>
  </xdr:twoCellAnchor>
  <xdr:twoCellAnchor editAs="oneCell">
    <xdr:from>
      <xdr:col>33</xdr:col>
      <xdr:colOff>217714</xdr:colOff>
      <xdr:row>24</xdr:row>
      <xdr:rowOff>106589</xdr:rowOff>
    </xdr:from>
    <xdr:to>
      <xdr:col>39</xdr:col>
      <xdr:colOff>372459</xdr:colOff>
      <xdr:row>28</xdr:row>
      <xdr:rowOff>96005</xdr:rowOff>
    </xdr:to>
    <xdr:pic>
      <xdr:nvPicPr>
        <xdr:cNvPr id="8" name="Picture 7">
          <a:extLst>
            <a:ext uri="{FF2B5EF4-FFF2-40B4-BE49-F238E27FC236}">
              <a16:creationId xmlns:a16="http://schemas.microsoft.com/office/drawing/2014/main" id="{AC17B385-8976-413C-B24F-5119C5E98EE9}"/>
            </a:ext>
          </a:extLst>
        </xdr:cNvPr>
        <xdr:cNvPicPr>
          <a:picLocks noChangeAspect="1"/>
        </xdr:cNvPicPr>
      </xdr:nvPicPr>
      <xdr:blipFill>
        <a:blip xmlns:r="http://schemas.openxmlformats.org/officeDocument/2006/relationships" r:embed="rId6"/>
        <a:stretch>
          <a:fillRect/>
        </a:stretch>
      </xdr:blipFill>
      <xdr:spPr>
        <a:xfrm>
          <a:off x="23649214" y="7141482"/>
          <a:ext cx="3828674" cy="765023"/>
        </a:xfrm>
        <a:prstGeom prst="rect">
          <a:avLst/>
        </a:prstGeom>
      </xdr:spPr>
    </xdr:pic>
    <xdr:clientData/>
  </xdr:twoCellAnchor>
  <xdr:oneCellAnchor>
    <xdr:from>
      <xdr:col>0</xdr:col>
      <xdr:colOff>444500</xdr:colOff>
      <xdr:row>0</xdr:row>
      <xdr:rowOff>508000</xdr:rowOff>
    </xdr:from>
    <xdr:ext cx="23844250" cy="1587501"/>
    <xdr:sp macro="" textlink="">
      <xdr:nvSpPr>
        <xdr:cNvPr id="15" name="TextBox 14">
          <a:extLst>
            <a:ext uri="{FF2B5EF4-FFF2-40B4-BE49-F238E27FC236}">
              <a16:creationId xmlns:a16="http://schemas.microsoft.com/office/drawing/2014/main" id="{3891BC6A-6CB7-48A2-9712-1B0B6C731EE4}"/>
            </a:ext>
          </a:extLst>
        </xdr:cNvPr>
        <xdr:cNvSpPr txBox="1"/>
      </xdr:nvSpPr>
      <xdr:spPr>
        <a:xfrm>
          <a:off x="444500" y="508000"/>
          <a:ext cx="23844250" cy="1587501"/>
        </a:xfrm>
        <a:prstGeom prst="rect">
          <a:avLst/>
        </a:prstGeom>
        <a:solidFill>
          <a:schemeClr val="accent5">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800" i="1">
              <a:solidFill>
                <a:schemeClr val="bg1"/>
              </a:solidFill>
              <a:effectLst/>
              <a:latin typeface="+mn-lt"/>
              <a:ea typeface="+mn-ea"/>
              <a:cs typeface="+mn-cs"/>
            </a:rPr>
            <a:t>DISCLAIMER</a:t>
          </a:r>
          <a:br>
            <a:rPr lang="en-GB" sz="1800" i="1">
              <a:solidFill>
                <a:schemeClr val="bg1"/>
              </a:solidFill>
              <a:effectLst/>
              <a:latin typeface="+mn-lt"/>
              <a:ea typeface="+mn-ea"/>
              <a:cs typeface="+mn-cs"/>
            </a:rPr>
          </a:br>
          <a:r>
            <a:rPr lang="en-GB" sz="1800" i="1">
              <a:solidFill>
                <a:schemeClr val="bg1"/>
              </a:solidFill>
              <a:effectLst/>
              <a:latin typeface="+mn-lt"/>
              <a:ea typeface="+mn-ea"/>
              <a:cs typeface="+mn-cs"/>
            </a:rPr>
            <a:t>The information and methods set out in this workbook are those of the author(s) and do not necessarily reflect the official opinion of the Commission. The Commission does not guarantee the accuracy of the</a:t>
          </a:r>
          <a:r>
            <a:rPr lang="en-GB" sz="1800" i="1" baseline="0">
              <a:solidFill>
                <a:schemeClr val="bg1"/>
              </a:solidFill>
              <a:effectLst/>
              <a:latin typeface="+mn-lt"/>
              <a:ea typeface="+mn-ea"/>
              <a:cs typeface="+mn-cs"/>
            </a:rPr>
            <a:t> information, methods, etc.</a:t>
          </a:r>
          <a:r>
            <a:rPr lang="en-GB" sz="1800" i="1">
              <a:solidFill>
                <a:schemeClr val="bg1"/>
              </a:solidFill>
              <a:effectLst/>
              <a:latin typeface="+mn-lt"/>
              <a:ea typeface="+mn-ea"/>
              <a:cs typeface="+mn-cs"/>
            </a:rPr>
            <a:t> in this workbook. </a:t>
          </a:r>
          <a:br>
            <a:rPr lang="en-GB" sz="1800" i="1">
              <a:solidFill>
                <a:schemeClr val="bg1"/>
              </a:solidFill>
              <a:effectLst/>
              <a:latin typeface="+mn-lt"/>
              <a:ea typeface="+mn-ea"/>
              <a:cs typeface="+mn-cs"/>
            </a:rPr>
          </a:br>
          <a:r>
            <a:rPr lang="en-GB" sz="1800" i="1">
              <a:solidFill>
                <a:schemeClr val="bg1"/>
              </a:solidFill>
              <a:effectLst/>
              <a:latin typeface="+mn-lt"/>
              <a:ea typeface="+mn-ea"/>
              <a:cs typeface="+mn-cs"/>
            </a:rPr>
            <a:t>Neither the Commission nor any person acting on the Commission’s behalf may be held responsible for the use which may be made of the information, methods, etc. contained therein.</a:t>
          </a:r>
        </a:p>
        <a:p>
          <a:pPr algn="ctr"/>
          <a:r>
            <a:rPr lang="en-GB" sz="1800" i="1">
              <a:solidFill>
                <a:schemeClr val="bg1"/>
              </a:solidFill>
              <a:effectLst/>
              <a:latin typeface="+mn-lt"/>
              <a:ea typeface="+mn-ea"/>
              <a:cs typeface="+mn-cs"/>
            </a:rPr>
            <a:t>This workbook has been prepared by the authors to the best of their ability and knowledge. The authors do not assume liability for any damage, material or immaterial, that may arise from the use of this workbook or the information contained therein.</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649940</xdr:colOff>
      <xdr:row>1</xdr:row>
      <xdr:rowOff>22412</xdr:rowOff>
    </xdr:from>
    <xdr:to>
      <xdr:col>17</xdr:col>
      <xdr:colOff>694763</xdr:colOff>
      <xdr:row>29</xdr:row>
      <xdr:rowOff>89647</xdr:rowOff>
    </xdr:to>
    <xdr:graphicFrame macro="">
      <xdr:nvGraphicFramePr>
        <xdr:cNvPr id="2" name="Graphique 1">
          <a:extLst>
            <a:ext uri="{FF2B5EF4-FFF2-40B4-BE49-F238E27FC236}">
              <a16:creationId xmlns:a16="http://schemas.microsoft.com/office/drawing/2014/main" id="{0161E42A-B956-4E33-AC45-C23E737289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Q8" dT="2022-04-30T13:18:27.68" personId="{00000000-0000-0000-0000-000000000000}" id="{AE743D38-9EA3-4851-A65B-D208CDF22465}">
    <text>seems a tad low compared to average 11464 Btu for SD</text>
  </threadedComment>
  <threadedComment ref="BQ8" dT="2022-04-30T13:18:42.48" personId="{00000000-0000-0000-0000-000000000000}" id="{16152CC1-85FC-4647-85E3-50D45BE3597A}" parentId="{AE743D38-9EA3-4851-A65B-D208CDF22465}">
    <text>https://ecocostsavings.com/portable-ac-wattage-most-efficient/</text>
  </threadedComment>
  <threadedComment ref="G14" dT="2022-04-30T12:36:14.14" personId="{00000000-0000-0000-0000-000000000000}" id="{8C73E26D-41FA-461C-A10B-BD9BBB53F53F}">
    <text>assumed 200 m3/h per kW cooling capacity</text>
  </threadedComment>
  <threadedComment ref="K14" dT="2022-02-25T08:17:10.70" personId="{00000000-0000-0000-0000-000000000000}" id="{7782ED0C-3C6D-4CAB-AFAD-C7BBBEB8B7B0}">
    <text>EN 14825:2016, Table A.2.1</text>
  </threadedComment>
  <threadedComment ref="V14" dT="2022-02-25T08:17:10.70" personId="{00000000-0000-0000-0000-000000000000}" id="{F7E5F0A4-5599-46B0-A554-55FBC8D64459}">
    <text>EN 14825:2016, Table A.2.1</text>
  </threadedComment>
  <threadedComment ref="AG14" dT="2022-02-25T08:17:10.70" personId="{00000000-0000-0000-0000-000000000000}" id="{DCA003F9-E8D0-4172-839E-D678FC3C951C}">
    <text>EN 14825:2016, Table A.2.1</text>
  </threadedComment>
  <threadedComment ref="AR14" dT="2022-02-25T08:17:10.70" personId="{00000000-0000-0000-0000-000000000000}" id="{D4EA3A23-3BF2-4F61-8E6F-9B8D2568DC41}">
    <text>EN 14825:2016, Table A.2.1</text>
  </threadedComment>
  <threadedComment ref="BC14" dT="2022-02-25T08:17:10.70" personId="{00000000-0000-0000-0000-000000000000}" id="{C3BBC684-9AC2-479E-A99D-5FABDCEECC07}">
    <text>EN 14825:2016, Table A.2.1</text>
  </threadedComment>
  <threadedComment ref="CA16" dT="2022-02-25T08:17:10.70" personId="{00000000-0000-0000-0000-000000000000}" id="{CDD4C202-E79D-418C-91E7-57D007E4C3E8}">
    <text>EN 14825:2016, Table A.2.1</text>
  </threadedComment>
  <threadedComment ref="CY16" dT="2022-02-25T08:18:44.02" personId="{00000000-0000-0000-0000-000000000000}" id="{C44C81A2-AE88-4A3D-B714-389F4E9287B1}">
    <text>EERbin(Tj) = EERd(Tj) × (1 - Cdc × (1 - CR(Tj));</text>
  </threadedComment>
  <threadedComment ref="K31" dT="2022-02-25T08:18:44.02" personId="{00000000-0000-0000-0000-000000000000}" id="{45BC7AFE-8AEC-4D9C-8027-DDB3DD4A97F7}">
    <text>EERbin(Tj) = EERd(Tj) × (1 - Cdc × (1 - CR(Tj));</text>
  </threadedComment>
  <threadedComment ref="I39" dT="2022-02-27T13:12:10.64" personId="{00000000-0000-0000-0000-000000000000}" id="{FC202DBD-924A-4CB7-9F36-099AB5FAC31D}">
    <text>actually #DIV0 error</text>
  </threadedComment>
  <threadedComment ref="T39" dT="2022-02-27T13:12:10.64" personId="{00000000-0000-0000-0000-000000000000}" id="{B05466C8-15C7-45E1-8BD0-B00AA7C857E3}">
    <text>actually #DIV0 error</text>
  </threadedComment>
  <threadedComment ref="AE39" dT="2022-02-27T13:12:10.64" personId="{00000000-0000-0000-0000-000000000000}" id="{37EED35F-595E-4527-A84A-95D59ABEC651}">
    <text>actually #DIV0 error</text>
  </threadedComment>
</ThreadedComments>
</file>

<file path=xl/threadedComments/threadedComment2.xml><?xml version="1.0" encoding="utf-8"?>
<ThreadedComments xmlns="http://schemas.microsoft.com/office/spreadsheetml/2018/threadedcomments" xmlns:x="http://schemas.openxmlformats.org/spreadsheetml/2006/main">
  <threadedComment ref="K11" dT="2022-05-02T14:43:45.28" personId="{00000000-0000-0000-0000-000000000000}" id="{790D17F3-5B78-4D30-89DA-6C4CD0B44014}">
    <text>Pdesign</text>
  </threadedComment>
  <threadedComment ref="AC31" dT="2022-04-22T07:27:40.20" personId="{00000000-0000-0000-0000-000000000000}" id="{FF4C7EAC-8EEC-47A5-ADA9-AE2871B5FF59}">
    <text>CRh(Tj)=(pl(Tj)*Pdesignh)/(Pdh(Tj))</text>
  </threadedComment>
  <threadedComment ref="AD31" dT="2022-04-22T07:33:29.88" personId="{00000000-0000-0000-0000-000000000000}" id="{2E4F9A1A-695D-4FC6-B933-7BE4FE90C730}">
    <text>(1-(Cdh*(1-(min⁡(CRh(Tj);1)))))</text>
  </threadedComment>
  <threadedComment ref="AE31" dT="2022-04-22T07:27:53.59" personId="{00000000-0000-0000-0000-000000000000}" id="{EC2A4479-D94F-447C-A4BA-4FB6470F8A9A}">
    <text>COPinf(Tj)=COPd(Tj)*Pinfh(Tj)/Pdh(Tj)   *(1-(Cdh*(1-(min⁡(CRh(Tj);1)))))</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646F2-3238-4D41-9B56-11ED381DDD3F}">
  <sheetPr codeName="Sheet1">
    <tabColor theme="4" tint="-0.249977111117893"/>
  </sheetPr>
  <dimension ref="A1:CY119"/>
  <sheetViews>
    <sheetView tabSelected="1" zoomScale="70" zoomScaleNormal="70" workbookViewId="0">
      <selection activeCell="A15" sqref="A15"/>
    </sheetView>
  </sheetViews>
  <sheetFormatPr defaultRowHeight="15" outlineLevelCol="1"/>
  <cols>
    <col min="1" max="1" width="19" style="7" customWidth="1"/>
    <col min="2" max="2" width="11.85546875" style="7" customWidth="1"/>
    <col min="3" max="3" width="15.5703125" style="7" customWidth="1"/>
    <col min="4" max="4" width="8.5703125" style="7" customWidth="1" outlineLevel="1"/>
    <col min="5" max="10" width="9.140625" style="7" customWidth="1" outlineLevel="1"/>
    <col min="11" max="11" width="12" style="7" customWidth="1" outlineLevel="1"/>
    <col min="12" max="12" width="9.5703125" style="7" customWidth="1" outlineLevel="1"/>
    <col min="15" max="21" width="9.140625" style="7" customWidth="1" outlineLevel="1"/>
    <col min="22" max="22" width="12.42578125" style="7" customWidth="1" outlineLevel="1"/>
    <col min="23" max="23" width="9.140625" style="7" customWidth="1" outlineLevel="1"/>
    <col min="25" max="25" width="9.140625" style="7"/>
    <col min="26" max="34" width="9.140625" style="7" customWidth="1" outlineLevel="1"/>
    <col min="35" max="36" width="9.140625" style="7"/>
    <col min="37" max="45" width="9.140625" style="7" customWidth="1" outlineLevel="1"/>
    <col min="46" max="47" width="9.140625" style="7"/>
    <col min="48" max="50" width="9.140625" style="7" customWidth="1" outlineLevel="1"/>
    <col min="51" max="51" width="10" style="7" customWidth="1" outlineLevel="1"/>
    <col min="52" max="59" width="9.140625" style="7" customWidth="1" outlineLevel="1"/>
    <col min="60" max="60" width="10.140625" style="7" customWidth="1" outlineLevel="1"/>
    <col min="61" max="61" width="9.140625" style="7" customWidth="1" outlineLevel="1"/>
    <col min="62" max="68" width="9.140625" style="7"/>
    <col min="69" max="69" width="9.7109375" style="7" customWidth="1"/>
    <col min="70" max="70" width="9.140625" style="7"/>
    <col min="71" max="71" width="12.85546875" style="7" customWidth="1"/>
    <col min="72" max="86" width="9.140625" style="7"/>
    <col min="87" max="87" width="8.28515625" style="7" customWidth="1"/>
    <col min="88" max="88" width="10.28515625" style="7" customWidth="1"/>
    <col min="89" max="89" width="10.5703125" style="7" customWidth="1"/>
    <col min="90" max="16384" width="9.140625" style="7"/>
  </cols>
  <sheetData>
    <row r="1" spans="1:103" ht="179.25" customHeight="1">
      <c r="A1" s="365" t="s">
        <v>489</v>
      </c>
      <c r="B1" s="88"/>
      <c r="C1" s="88"/>
      <c r="D1" s="88"/>
      <c r="E1" s="88"/>
      <c r="F1" s="88"/>
      <c r="G1" s="88"/>
      <c r="H1" s="88"/>
      <c r="I1" s="88"/>
      <c r="J1" s="88"/>
      <c r="K1" s="88"/>
      <c r="L1" s="88"/>
      <c r="M1" s="203"/>
      <c r="N1" s="203"/>
      <c r="O1" s="88"/>
      <c r="P1" s="88"/>
      <c r="Q1" s="88"/>
      <c r="R1" s="88"/>
      <c r="S1" s="88"/>
      <c r="T1" s="88"/>
      <c r="U1" s="88"/>
      <c r="V1" s="88"/>
      <c r="W1" s="88"/>
      <c r="X1" s="203"/>
      <c r="Y1" s="88"/>
      <c r="Z1" s="91"/>
      <c r="AA1" s="88"/>
      <c r="AB1" s="88"/>
      <c r="AC1" s="88"/>
      <c r="AD1" s="88"/>
      <c r="AE1" s="88"/>
      <c r="AF1" s="88"/>
      <c r="AG1" s="88"/>
      <c r="AH1" s="88"/>
      <c r="AI1" s="88"/>
      <c r="AJ1" s="108"/>
      <c r="AK1" s="10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91"/>
      <c r="BM1" s="88"/>
      <c r="BN1" s="88"/>
      <c r="BO1" s="92" t="s">
        <v>231</v>
      </c>
      <c r="BP1" s="88"/>
      <c r="BQ1" s="88"/>
      <c r="BR1" s="88"/>
      <c r="BS1" s="88"/>
      <c r="BT1" s="88"/>
      <c r="BU1" s="88"/>
      <c r="BV1" s="88"/>
      <c r="BW1" s="88"/>
      <c r="BX1" s="88"/>
      <c r="BY1" s="88"/>
      <c r="BZ1" s="88"/>
      <c r="CA1" s="88"/>
      <c r="CB1" s="130"/>
    </row>
    <row r="2" spans="1:103" ht="27" thickBot="1">
      <c r="A2" s="328" t="s">
        <v>473</v>
      </c>
      <c r="B2" s="107"/>
      <c r="C2" s="328" t="s">
        <v>55</v>
      </c>
      <c r="D2" s="33" t="s">
        <v>372</v>
      </c>
      <c r="E2" s="34"/>
      <c r="F2" s="34"/>
      <c r="G2" s="34"/>
      <c r="H2" s="34"/>
      <c r="I2" s="34"/>
      <c r="J2" s="34"/>
      <c r="K2" s="34"/>
      <c r="L2" s="34"/>
      <c r="M2" s="232"/>
      <c r="N2" s="230" t="s">
        <v>404</v>
      </c>
      <c r="O2" s="33" t="s">
        <v>373</v>
      </c>
      <c r="P2" s="34"/>
      <c r="Q2" s="34"/>
      <c r="R2" s="34"/>
      <c r="S2" s="34"/>
      <c r="T2" s="34"/>
      <c r="U2" s="34"/>
      <c r="V2" s="34"/>
      <c r="W2" s="34"/>
      <c r="X2" s="232">
        <v>2</v>
      </c>
      <c r="Y2" s="92" t="s">
        <v>405</v>
      </c>
      <c r="Z2" s="45" t="s">
        <v>146</v>
      </c>
      <c r="AA2" s="36"/>
      <c r="AB2" s="36"/>
      <c r="AC2" s="36"/>
      <c r="AD2" s="36"/>
      <c r="AE2" s="36"/>
      <c r="AF2" s="36"/>
      <c r="AG2" s="36"/>
      <c r="AH2" s="36"/>
      <c r="AI2" s="91"/>
      <c r="AJ2" s="92" t="s">
        <v>406</v>
      </c>
      <c r="AK2" s="45" t="s">
        <v>159</v>
      </c>
      <c r="AL2" s="36"/>
      <c r="AM2" s="36"/>
      <c r="AN2" s="36"/>
      <c r="AO2" s="36"/>
      <c r="AP2" s="36"/>
      <c r="AQ2" s="36"/>
      <c r="AR2" s="36"/>
      <c r="AS2" s="36"/>
      <c r="AT2" s="91"/>
      <c r="AU2" s="88" t="s">
        <v>407</v>
      </c>
      <c r="AV2" s="43" t="s">
        <v>370</v>
      </c>
      <c r="AW2" s="44"/>
      <c r="AX2" s="44"/>
      <c r="AY2" s="44"/>
      <c r="AZ2" s="44"/>
      <c r="BA2" s="44"/>
      <c r="BB2" s="44"/>
      <c r="BC2" s="44"/>
      <c r="BD2" s="44"/>
      <c r="BE2" s="55" t="s">
        <v>196</v>
      </c>
      <c r="BF2" s="44"/>
      <c r="BG2" s="44"/>
      <c r="BH2" s="44"/>
      <c r="BI2" s="44"/>
      <c r="BJ2" s="91"/>
      <c r="BK2" s="92" t="s">
        <v>408</v>
      </c>
      <c r="BL2" s="33" t="s">
        <v>371</v>
      </c>
      <c r="BM2" s="34"/>
      <c r="BN2" s="34"/>
      <c r="BO2" s="34"/>
      <c r="BP2" s="34"/>
      <c r="BQ2" s="34"/>
      <c r="BR2" s="34"/>
      <c r="BS2" s="92" t="s">
        <v>409</v>
      </c>
      <c r="BT2" s="59" t="s">
        <v>322</v>
      </c>
      <c r="BU2" s="60"/>
      <c r="BV2" s="60"/>
      <c r="BW2" s="60"/>
      <c r="BX2" s="60"/>
      <c r="BY2" s="60"/>
      <c r="BZ2" s="60"/>
      <c r="CA2" s="91"/>
      <c r="CB2" s="130"/>
    </row>
    <row r="3" spans="1:103" ht="19.5" thickBot="1">
      <c r="A3" s="328" t="s">
        <v>474</v>
      </c>
      <c r="B3" s="107"/>
      <c r="C3" s="88"/>
      <c r="D3" s="354"/>
      <c r="E3" s="342" t="s">
        <v>184</v>
      </c>
      <c r="F3" s="322" t="s">
        <v>183</v>
      </c>
      <c r="G3" s="343" t="s">
        <v>182</v>
      </c>
      <c r="H3" s="344" t="s">
        <v>202</v>
      </c>
      <c r="I3" s="95" t="s">
        <v>135</v>
      </c>
      <c r="J3" s="92" t="s">
        <v>125</v>
      </c>
      <c r="K3" s="196">
        <v>1.2</v>
      </c>
      <c r="L3" s="88" t="s">
        <v>132</v>
      </c>
      <c r="M3" s="232"/>
      <c r="N3" s="203"/>
      <c r="O3" s="354"/>
      <c r="P3" s="342" t="s">
        <v>184</v>
      </c>
      <c r="Q3" s="322" t="s">
        <v>183</v>
      </c>
      <c r="R3" s="343" t="s">
        <v>182</v>
      </c>
      <c r="S3" s="344" t="s">
        <v>202</v>
      </c>
      <c r="T3" s="95" t="s">
        <v>135</v>
      </c>
      <c r="U3" s="92" t="s">
        <v>125</v>
      </c>
      <c r="V3" s="25">
        <v>1.2</v>
      </c>
      <c r="W3" s="88" t="s">
        <v>132</v>
      </c>
      <c r="X3" s="232">
        <v>3</v>
      </c>
      <c r="Y3" s="88"/>
      <c r="Z3" s="341"/>
      <c r="AA3" s="342" t="s">
        <v>184</v>
      </c>
      <c r="AB3" s="322" t="s">
        <v>183</v>
      </c>
      <c r="AC3" s="343" t="s">
        <v>182</v>
      </c>
      <c r="AD3" s="344" t="s">
        <v>202</v>
      </c>
      <c r="AE3" s="37" t="s">
        <v>135</v>
      </c>
      <c r="AF3" s="39" t="s">
        <v>125</v>
      </c>
      <c r="AG3" s="40">
        <v>1.2</v>
      </c>
      <c r="AH3" s="88" t="s">
        <v>132</v>
      </c>
      <c r="AI3" s="91"/>
      <c r="AJ3" s="88"/>
      <c r="AK3" s="354"/>
      <c r="AL3" s="342" t="s">
        <v>184</v>
      </c>
      <c r="AM3" s="322" t="s">
        <v>183</v>
      </c>
      <c r="AN3" s="343" t="s">
        <v>182</v>
      </c>
      <c r="AO3" s="344" t="s">
        <v>202</v>
      </c>
      <c r="AP3" s="37" t="s">
        <v>135</v>
      </c>
      <c r="AQ3" s="39" t="s">
        <v>125</v>
      </c>
      <c r="AR3" s="40">
        <v>1.2</v>
      </c>
      <c r="AS3" s="88" t="s">
        <v>132</v>
      </c>
      <c r="AT3" s="91"/>
      <c r="AU3" s="88"/>
      <c r="AV3" s="354" t="s">
        <v>134</v>
      </c>
      <c r="AW3" s="342" t="s">
        <v>411</v>
      </c>
      <c r="AX3" s="322" t="s">
        <v>183</v>
      </c>
      <c r="AY3" s="343" t="s">
        <v>182</v>
      </c>
      <c r="AZ3" s="344" t="s">
        <v>190</v>
      </c>
      <c r="BA3" s="37" t="s">
        <v>135</v>
      </c>
      <c r="BB3" s="39" t="s">
        <v>125</v>
      </c>
      <c r="BC3" s="40">
        <v>1.2</v>
      </c>
      <c r="BD3" s="88" t="s">
        <v>132</v>
      </c>
      <c r="BE3" s="223" t="s">
        <v>194</v>
      </c>
      <c r="BF3" s="224" t="s">
        <v>184</v>
      </c>
      <c r="BG3" s="229" t="s">
        <v>183</v>
      </c>
      <c r="BH3" s="224" t="s">
        <v>182</v>
      </c>
      <c r="BI3" s="234"/>
      <c r="BJ3" s="91"/>
      <c r="BK3" s="88"/>
      <c r="BL3" s="87" t="s">
        <v>375</v>
      </c>
      <c r="BM3" s="88"/>
      <c r="BN3" s="88" t="s">
        <v>319</v>
      </c>
      <c r="BO3" s="89" t="s">
        <v>318</v>
      </c>
      <c r="BP3" s="90" t="s">
        <v>317</v>
      </c>
      <c r="BQ3" s="490" t="s">
        <v>234</v>
      </c>
      <c r="BR3" s="491"/>
      <c r="BS3" s="88"/>
      <c r="BT3" s="88" t="str">
        <f>BN3</f>
        <v>description</v>
      </c>
      <c r="BU3" s="88" t="str">
        <f>BO3</f>
        <v>parameter</v>
      </c>
      <c r="BV3" s="90" t="str">
        <f>BP3</f>
        <v>unit</v>
      </c>
      <c r="BW3" s="490" t="s">
        <v>238</v>
      </c>
      <c r="BX3" s="491"/>
      <c r="BY3" s="490" t="s">
        <v>237</v>
      </c>
      <c r="BZ3" s="492"/>
      <c r="CA3" s="91"/>
      <c r="CB3" s="130"/>
    </row>
    <row r="4" spans="1:103" ht="15.75" thickBot="1">
      <c r="A4" s="9" t="s">
        <v>477</v>
      </c>
      <c r="B4" s="88"/>
      <c r="C4" s="92"/>
      <c r="D4" s="193" t="s">
        <v>134</v>
      </c>
      <c r="E4" s="108" t="s">
        <v>201</v>
      </c>
      <c r="F4" s="345">
        <v>2.6</v>
      </c>
      <c r="G4" s="346">
        <v>3</v>
      </c>
      <c r="H4" s="347" t="s">
        <v>123</v>
      </c>
      <c r="I4" s="95" t="s">
        <v>135</v>
      </c>
      <c r="J4" s="92" t="s">
        <v>126</v>
      </c>
      <c r="K4" s="196">
        <v>1.17</v>
      </c>
      <c r="L4" s="88" t="s">
        <v>132</v>
      </c>
      <c r="M4" s="232"/>
      <c r="N4" s="203"/>
      <c r="O4" s="193" t="s">
        <v>134</v>
      </c>
      <c r="P4" s="112" t="s">
        <v>201</v>
      </c>
      <c r="Q4" s="345">
        <v>2.6</v>
      </c>
      <c r="R4" s="346">
        <v>3</v>
      </c>
      <c r="S4" s="347" t="s">
        <v>123</v>
      </c>
      <c r="T4" s="95" t="s">
        <v>135</v>
      </c>
      <c r="U4" s="92" t="s">
        <v>126</v>
      </c>
      <c r="V4" s="25">
        <v>1.17</v>
      </c>
      <c r="W4" s="88" t="s">
        <v>132</v>
      </c>
      <c r="X4" s="232">
        <v>4</v>
      </c>
      <c r="Y4" s="88"/>
      <c r="Z4" s="193" t="s">
        <v>134</v>
      </c>
      <c r="AA4" s="112" t="s">
        <v>201</v>
      </c>
      <c r="AB4" s="345">
        <v>2.6</v>
      </c>
      <c r="AC4" s="346">
        <v>2.6</v>
      </c>
      <c r="AD4" s="347" t="s">
        <v>123</v>
      </c>
      <c r="AE4" s="37" t="s">
        <v>135</v>
      </c>
      <c r="AF4" s="39" t="s">
        <v>126</v>
      </c>
      <c r="AG4" s="40">
        <v>1.17</v>
      </c>
      <c r="AH4" s="88" t="s">
        <v>132</v>
      </c>
      <c r="AI4" s="91"/>
      <c r="AJ4" s="88"/>
      <c r="AK4" s="193" t="s">
        <v>134</v>
      </c>
      <c r="AL4" s="112" t="s">
        <v>201</v>
      </c>
      <c r="AM4" s="355">
        <f>AB4</f>
        <v>2.6</v>
      </c>
      <c r="AN4" s="355">
        <f>AC4</f>
        <v>2.6</v>
      </c>
      <c r="AO4" s="347" t="s">
        <v>161</v>
      </c>
      <c r="AP4" s="37" t="s">
        <v>135</v>
      </c>
      <c r="AQ4" s="39" t="s">
        <v>126</v>
      </c>
      <c r="AR4" s="40">
        <v>1.17</v>
      </c>
      <c r="AS4" s="88" t="s">
        <v>147</v>
      </c>
      <c r="AT4" s="91"/>
      <c r="AU4" s="88"/>
      <c r="AV4" s="193" t="s">
        <v>134</v>
      </c>
      <c r="AW4" s="324">
        <v>35</v>
      </c>
      <c r="AX4" s="52">
        <f>IF($AX$8="on/off",BG4,BG8)</f>
        <v>2.5</v>
      </c>
      <c r="AY4" s="360">
        <v>5</v>
      </c>
      <c r="AZ4" s="130" t="s">
        <v>186</v>
      </c>
      <c r="BA4" s="37" t="s">
        <v>135</v>
      </c>
      <c r="BB4" s="39" t="s">
        <v>126</v>
      </c>
      <c r="BC4" s="40">
        <v>1.17</v>
      </c>
      <c r="BD4" s="88" t="s">
        <v>147</v>
      </c>
      <c r="BE4" s="225" t="s">
        <v>192</v>
      </c>
      <c r="BF4" s="226">
        <v>35</v>
      </c>
      <c r="BG4" s="51">
        <v>2.5</v>
      </c>
      <c r="BH4" s="53">
        <v>3</v>
      </c>
      <c r="BI4" s="108" t="s">
        <v>186</v>
      </c>
      <c r="BJ4" s="91"/>
      <c r="BK4" s="88"/>
      <c r="BL4" s="91"/>
      <c r="BM4" s="88"/>
      <c r="BN4" s="88"/>
      <c r="BO4" s="89"/>
      <c r="BP4" s="90"/>
      <c r="BQ4" s="91" t="s">
        <v>214</v>
      </c>
      <c r="BR4" s="88" t="s">
        <v>229</v>
      </c>
      <c r="BS4" s="91"/>
      <c r="BT4" s="88"/>
      <c r="BU4" s="88"/>
      <c r="BV4" s="90"/>
      <c r="BW4" s="91" t="s">
        <v>214</v>
      </c>
      <c r="BX4" s="108" t="s">
        <v>229</v>
      </c>
      <c r="BY4" s="91" t="s">
        <v>214</v>
      </c>
      <c r="BZ4" s="130" t="s">
        <v>229</v>
      </c>
      <c r="CA4" s="91"/>
      <c r="CB4" s="130"/>
    </row>
    <row r="5" spans="1:103">
      <c r="A5" s="88"/>
      <c r="B5" s="88"/>
      <c r="C5" s="88"/>
      <c r="D5" s="193" t="s">
        <v>134</v>
      </c>
      <c r="E5" s="108" t="s">
        <v>142</v>
      </c>
      <c r="F5" s="357" t="s">
        <v>181</v>
      </c>
      <c r="G5" s="357" t="s">
        <v>181</v>
      </c>
      <c r="H5" s="347" t="s">
        <v>162</v>
      </c>
      <c r="I5" s="95" t="s">
        <v>135</v>
      </c>
      <c r="J5" s="92" t="s">
        <v>127</v>
      </c>
      <c r="K5" s="196">
        <v>1.1499999999999999</v>
      </c>
      <c r="L5" s="88" t="s">
        <v>132</v>
      </c>
      <c r="M5" s="232"/>
      <c r="N5" s="203"/>
      <c r="O5" s="193" t="s">
        <v>134</v>
      </c>
      <c r="P5" s="112" t="s">
        <v>142</v>
      </c>
      <c r="Q5" s="357" t="s">
        <v>181</v>
      </c>
      <c r="R5" s="357" t="s">
        <v>181</v>
      </c>
      <c r="S5" s="347" t="s">
        <v>162</v>
      </c>
      <c r="T5" s="95" t="s">
        <v>135</v>
      </c>
      <c r="U5" s="92" t="s">
        <v>127</v>
      </c>
      <c r="V5" s="25">
        <v>1.1499999999999999</v>
      </c>
      <c r="W5" s="88" t="s">
        <v>132</v>
      </c>
      <c r="X5" s="232">
        <v>5</v>
      </c>
      <c r="Y5" s="88"/>
      <c r="Z5" s="193" t="s">
        <v>134</v>
      </c>
      <c r="AA5" s="112" t="s">
        <v>142</v>
      </c>
      <c r="AB5" s="348">
        <v>2.4</v>
      </c>
      <c r="AC5" s="349">
        <v>2.4</v>
      </c>
      <c r="AD5" s="347" t="s">
        <v>162</v>
      </c>
      <c r="AE5" s="37" t="s">
        <v>135</v>
      </c>
      <c r="AF5" s="39" t="s">
        <v>127</v>
      </c>
      <c r="AG5" s="40">
        <v>1.1499999999999999</v>
      </c>
      <c r="AH5" s="88" t="s">
        <v>132</v>
      </c>
      <c r="AI5" s="91"/>
      <c r="AJ5" s="88"/>
      <c r="AK5" s="193" t="s">
        <v>134</v>
      </c>
      <c r="AL5" s="112" t="s">
        <v>142</v>
      </c>
      <c r="AM5" s="355">
        <f>AB5</f>
        <v>2.4</v>
      </c>
      <c r="AN5" s="355">
        <f>AC5</f>
        <v>2.4</v>
      </c>
      <c r="AO5" s="347" t="s">
        <v>162</v>
      </c>
      <c r="AP5" s="37" t="s">
        <v>135</v>
      </c>
      <c r="AQ5" s="39" t="s">
        <v>127</v>
      </c>
      <c r="AR5" s="40">
        <v>1.1499999999999999</v>
      </c>
      <c r="AS5" s="88" t="s">
        <v>148</v>
      </c>
      <c r="AT5" s="91"/>
      <c r="AU5" s="88"/>
      <c r="AV5" s="193" t="s">
        <v>134</v>
      </c>
      <c r="AW5" s="324">
        <v>30</v>
      </c>
      <c r="AX5" s="360">
        <f t="shared" ref="AX5:AX7" si="0">IF($AX$8="on/off",BG5,BG9)</f>
        <v>2.2000000000000002</v>
      </c>
      <c r="AY5" s="360">
        <f t="shared" ref="AY5:AY7" si="1">IF($AX$8="on/off",BH5,BH9)</f>
        <v>5.5</v>
      </c>
      <c r="AZ5" s="130" t="s">
        <v>187</v>
      </c>
      <c r="BA5" s="37" t="s">
        <v>135</v>
      </c>
      <c r="BB5" s="39" t="s">
        <v>127</v>
      </c>
      <c r="BC5" s="40">
        <v>1.1499999999999999</v>
      </c>
      <c r="BD5" s="88" t="s">
        <v>148</v>
      </c>
      <c r="BE5" s="225" t="s">
        <v>192</v>
      </c>
      <c r="BF5" s="108">
        <v>30</v>
      </c>
      <c r="BG5" s="53">
        <v>2.6</v>
      </c>
      <c r="BH5" s="53">
        <f>BH4*1.1</f>
        <v>3.3000000000000003</v>
      </c>
      <c r="BI5" s="108" t="s">
        <v>187</v>
      </c>
      <c r="BJ5" s="91"/>
      <c r="BK5" s="88"/>
      <c r="BL5" s="91"/>
      <c r="BM5" s="92"/>
      <c r="BN5" s="92"/>
      <c r="BO5" s="89"/>
      <c r="BP5" s="90"/>
      <c r="BQ5" s="91" t="s">
        <v>230</v>
      </c>
      <c r="BR5" s="88" t="s">
        <v>228</v>
      </c>
      <c r="BS5" s="91"/>
      <c r="BT5" s="88"/>
      <c r="BU5" s="88"/>
      <c r="BV5" s="90"/>
      <c r="BW5" s="119" t="s">
        <v>230</v>
      </c>
      <c r="BX5" s="103" t="s">
        <v>228</v>
      </c>
      <c r="BY5" s="119" t="s">
        <v>230</v>
      </c>
      <c r="BZ5" s="187" t="s">
        <v>228</v>
      </c>
      <c r="CA5" s="91"/>
      <c r="CB5" s="130"/>
    </row>
    <row r="6" spans="1:103">
      <c r="A6" s="88"/>
      <c r="B6" s="88"/>
      <c r="C6" s="88"/>
      <c r="D6" s="350" t="s">
        <v>134</v>
      </c>
      <c r="E6" s="103" t="s">
        <v>143</v>
      </c>
      <c r="F6" s="351" t="s">
        <v>181</v>
      </c>
      <c r="G6" s="351" t="s">
        <v>181</v>
      </c>
      <c r="H6" s="353" t="s">
        <v>167</v>
      </c>
      <c r="I6" s="95" t="s">
        <v>135</v>
      </c>
      <c r="J6" s="92" t="s">
        <v>128</v>
      </c>
      <c r="K6" s="196">
        <v>42.2</v>
      </c>
      <c r="L6" s="88" t="s">
        <v>131</v>
      </c>
      <c r="M6" s="232"/>
      <c r="N6" s="203"/>
      <c r="O6" s="350" t="s">
        <v>134</v>
      </c>
      <c r="P6" s="207" t="s">
        <v>143</v>
      </c>
      <c r="Q6" s="358">
        <v>2</v>
      </c>
      <c r="R6" s="358">
        <v>6</v>
      </c>
      <c r="S6" s="353" t="s">
        <v>167</v>
      </c>
      <c r="T6" s="95" t="s">
        <v>135</v>
      </c>
      <c r="U6" s="92" t="s">
        <v>128</v>
      </c>
      <c r="V6" s="25">
        <v>42.2</v>
      </c>
      <c r="W6" s="88" t="s">
        <v>131</v>
      </c>
      <c r="X6" s="232">
        <v>6</v>
      </c>
      <c r="Y6" s="88"/>
      <c r="Z6" s="350" t="s">
        <v>134</v>
      </c>
      <c r="AA6" s="207" t="s">
        <v>143</v>
      </c>
      <c r="AB6" s="351" t="s">
        <v>181</v>
      </c>
      <c r="AC6" s="352" t="s">
        <v>181</v>
      </c>
      <c r="AD6" s="353" t="s">
        <v>167</v>
      </c>
      <c r="AE6" s="37" t="s">
        <v>135</v>
      </c>
      <c r="AF6" s="39" t="s">
        <v>128</v>
      </c>
      <c r="AG6" s="40">
        <v>42.2</v>
      </c>
      <c r="AH6" s="88" t="s">
        <v>131</v>
      </c>
      <c r="AI6" s="91"/>
      <c r="AJ6" s="88"/>
      <c r="AK6" s="350" t="s">
        <v>134</v>
      </c>
      <c r="AL6" s="207" t="s">
        <v>143</v>
      </c>
      <c r="AM6" s="356">
        <v>1</v>
      </c>
      <c r="AN6" s="356">
        <v>3.2</v>
      </c>
      <c r="AO6" s="353" t="s">
        <v>167</v>
      </c>
      <c r="AP6" s="37" t="s">
        <v>135</v>
      </c>
      <c r="AQ6" s="39" t="s">
        <v>128</v>
      </c>
      <c r="AR6" s="40">
        <v>42.2</v>
      </c>
      <c r="AS6" s="88" t="s">
        <v>131</v>
      </c>
      <c r="AT6" s="91"/>
      <c r="AU6" s="88"/>
      <c r="AV6" s="193" t="s">
        <v>134</v>
      </c>
      <c r="AW6" s="324">
        <v>25</v>
      </c>
      <c r="AX6" s="360">
        <f t="shared" si="0"/>
        <v>2</v>
      </c>
      <c r="AY6" s="360">
        <f t="shared" si="1"/>
        <v>6.0500000000000007</v>
      </c>
      <c r="AZ6" s="130" t="s">
        <v>188</v>
      </c>
      <c r="BA6" s="37" t="s">
        <v>135</v>
      </c>
      <c r="BB6" s="39" t="s">
        <v>128</v>
      </c>
      <c r="BC6" s="40">
        <v>42.2</v>
      </c>
      <c r="BD6" s="88" t="s">
        <v>131</v>
      </c>
      <c r="BE6" s="225" t="s">
        <v>192</v>
      </c>
      <c r="BF6" s="108">
        <v>25</v>
      </c>
      <c r="BG6" s="53">
        <v>2.7</v>
      </c>
      <c r="BH6" s="53">
        <f t="shared" ref="BH6:BH7" si="2">BH5*1.1</f>
        <v>3.6300000000000008</v>
      </c>
      <c r="BI6" s="108" t="s">
        <v>188</v>
      </c>
      <c r="BJ6" s="91"/>
      <c r="BK6" s="88"/>
      <c r="BL6" s="91"/>
      <c r="BM6" s="92"/>
      <c r="BN6" s="89" t="s">
        <v>320</v>
      </c>
      <c r="BO6" s="92" t="s">
        <v>321</v>
      </c>
      <c r="BP6" s="90" t="s">
        <v>216</v>
      </c>
      <c r="BQ6" s="320">
        <v>80</v>
      </c>
      <c r="BR6" s="321">
        <v>80</v>
      </c>
      <c r="BS6" s="91"/>
      <c r="BT6" s="88"/>
      <c r="BU6" s="88"/>
      <c r="BV6" s="90" t="str">
        <f>BP6</f>
        <v>ºF</v>
      </c>
      <c r="BW6" s="320">
        <v>80</v>
      </c>
      <c r="BX6" s="322">
        <v>95</v>
      </c>
      <c r="BY6" s="320">
        <v>80</v>
      </c>
      <c r="BZ6" s="321">
        <v>83</v>
      </c>
      <c r="CA6" s="91"/>
      <c r="CB6" s="130"/>
    </row>
    <row r="7" spans="1:103" ht="15.75" thickBot="1">
      <c r="A7" s="88"/>
      <c r="B7" s="88"/>
      <c r="C7" s="88"/>
      <c r="D7" s="193"/>
      <c r="E7" s="88"/>
      <c r="F7" s="88"/>
      <c r="G7" s="197"/>
      <c r="H7" s="88"/>
      <c r="I7" s="95" t="s">
        <v>135</v>
      </c>
      <c r="J7" s="92" t="s">
        <v>129</v>
      </c>
      <c r="K7" s="196">
        <v>54.2</v>
      </c>
      <c r="L7" s="88" t="s">
        <v>131</v>
      </c>
      <c r="M7" s="232"/>
      <c r="N7" s="203"/>
      <c r="O7" s="193"/>
      <c r="P7" s="88"/>
      <c r="Q7" s="88"/>
      <c r="R7" s="197"/>
      <c r="S7" s="88"/>
      <c r="T7" s="95" t="s">
        <v>135</v>
      </c>
      <c r="U7" s="92" t="s">
        <v>129</v>
      </c>
      <c r="V7" s="25">
        <v>54.2</v>
      </c>
      <c r="W7" s="88" t="s">
        <v>131</v>
      </c>
      <c r="X7" s="232">
        <v>7</v>
      </c>
      <c r="Y7" s="88"/>
      <c r="Z7" s="193"/>
      <c r="AA7" s="88"/>
      <c r="AB7" s="88"/>
      <c r="AC7" s="197"/>
      <c r="AD7" s="88"/>
      <c r="AE7" s="37" t="s">
        <v>135</v>
      </c>
      <c r="AF7" s="39" t="s">
        <v>129</v>
      </c>
      <c r="AG7" s="40">
        <v>54.2</v>
      </c>
      <c r="AH7" s="88" t="s">
        <v>131</v>
      </c>
      <c r="AI7" s="91"/>
      <c r="AJ7" s="88"/>
      <c r="AK7" s="193"/>
      <c r="AL7" s="88"/>
      <c r="AM7" s="88"/>
      <c r="AN7" s="197"/>
      <c r="AO7" s="197"/>
      <c r="AP7" s="37" t="s">
        <v>135</v>
      </c>
      <c r="AQ7" s="39" t="s">
        <v>129</v>
      </c>
      <c r="AR7" s="40">
        <v>54.2</v>
      </c>
      <c r="AS7" s="88" t="s">
        <v>131</v>
      </c>
      <c r="AT7" s="91"/>
      <c r="AU7" s="88"/>
      <c r="AV7" s="350" t="s">
        <v>134</v>
      </c>
      <c r="AW7" s="204">
        <v>20</v>
      </c>
      <c r="AX7" s="361">
        <f t="shared" si="0"/>
        <v>1.8</v>
      </c>
      <c r="AY7" s="361">
        <f t="shared" si="1"/>
        <v>6.6550000000000011</v>
      </c>
      <c r="AZ7" s="187" t="s">
        <v>189</v>
      </c>
      <c r="BA7" s="37" t="s">
        <v>135</v>
      </c>
      <c r="BB7" s="39" t="s">
        <v>129</v>
      </c>
      <c r="BC7" s="40">
        <v>54.2</v>
      </c>
      <c r="BD7" s="88" t="s">
        <v>131</v>
      </c>
      <c r="BE7" s="225" t="s">
        <v>192</v>
      </c>
      <c r="BF7" s="108">
        <v>20</v>
      </c>
      <c r="BG7" s="53">
        <v>2.8</v>
      </c>
      <c r="BH7" s="53">
        <f t="shared" si="2"/>
        <v>3.9930000000000012</v>
      </c>
      <c r="BI7" s="108" t="s">
        <v>189</v>
      </c>
      <c r="BJ7" s="91"/>
      <c r="BK7" s="88"/>
      <c r="BL7" s="91"/>
      <c r="BM7" s="92"/>
      <c r="BN7" s="92"/>
      <c r="BO7" s="93"/>
      <c r="BP7" s="94" t="s">
        <v>49</v>
      </c>
      <c r="BQ7" s="148">
        <f>CONVERT(BQ6,"F","C")</f>
        <v>26.666666666666664</v>
      </c>
      <c r="BR7" s="149">
        <f>CONVERT(BR6,"F","C")</f>
        <v>26.666666666666664</v>
      </c>
      <c r="BS7" s="91"/>
      <c r="BT7" s="92"/>
      <c r="BU7" s="89"/>
      <c r="BV7" s="94" t="str">
        <f>BP7</f>
        <v>ºC</v>
      </c>
      <c r="BW7" s="148">
        <f>CONVERT(BW6,"F","C")</f>
        <v>26.666666666666664</v>
      </c>
      <c r="BX7" s="149">
        <f>CONVERT(BX6,"F","C")</f>
        <v>35</v>
      </c>
      <c r="BY7" s="148">
        <f>CONVERT(BY6,"F","C")</f>
        <v>26.666666666666664</v>
      </c>
      <c r="BZ7" s="149">
        <f>CONVERT(BZ6,"F","C")</f>
        <v>28.333333333333332</v>
      </c>
      <c r="CA7" s="91"/>
      <c r="CB7" s="130"/>
    </row>
    <row r="8" spans="1:103" ht="19.5" thickBot="1">
      <c r="A8" s="88"/>
      <c r="B8" s="88"/>
      <c r="C8" s="88"/>
      <c r="D8" s="193"/>
      <c r="E8" s="88"/>
      <c r="F8" s="88"/>
      <c r="G8" s="197"/>
      <c r="H8" s="88"/>
      <c r="I8" s="95" t="s">
        <v>135</v>
      </c>
      <c r="J8" s="92" t="s">
        <v>130</v>
      </c>
      <c r="K8" s="196">
        <v>72.5</v>
      </c>
      <c r="L8" s="88" t="s">
        <v>131</v>
      </c>
      <c r="M8" s="232"/>
      <c r="N8" s="203"/>
      <c r="O8" s="193"/>
      <c r="P8" s="88"/>
      <c r="Q8" s="88"/>
      <c r="R8" s="197"/>
      <c r="S8" s="88"/>
      <c r="T8" s="95" t="s">
        <v>135</v>
      </c>
      <c r="U8" s="92" t="s">
        <v>130</v>
      </c>
      <c r="V8" s="25">
        <v>72.5</v>
      </c>
      <c r="W8" s="88" t="s">
        <v>131</v>
      </c>
      <c r="X8" s="232">
        <v>8</v>
      </c>
      <c r="Y8" s="88"/>
      <c r="Z8" s="193"/>
      <c r="AA8" s="88"/>
      <c r="AB8" s="88"/>
      <c r="AC8" s="231"/>
      <c r="AD8" s="88"/>
      <c r="AE8" s="37" t="s">
        <v>135</v>
      </c>
      <c r="AF8" s="39" t="s">
        <v>130</v>
      </c>
      <c r="AG8" s="40">
        <v>72.5</v>
      </c>
      <c r="AH8" s="88" t="s">
        <v>131</v>
      </c>
      <c r="AI8" s="91"/>
      <c r="AJ8" s="88"/>
      <c r="AK8" s="88"/>
      <c r="AL8" s="88"/>
      <c r="AM8" s="88"/>
      <c r="AN8" s="88"/>
      <c r="AO8" s="88"/>
      <c r="AP8" s="37" t="s">
        <v>135</v>
      </c>
      <c r="AQ8" s="39" t="s">
        <v>130</v>
      </c>
      <c r="AR8" s="40">
        <v>72.5</v>
      </c>
      <c r="AS8" s="88" t="s">
        <v>131</v>
      </c>
      <c r="AT8" s="91"/>
      <c r="AU8" s="88"/>
      <c r="AV8" s="193" t="s">
        <v>134</v>
      </c>
      <c r="AW8" s="364" t="s">
        <v>194</v>
      </c>
      <c r="AX8" s="359" t="s">
        <v>193</v>
      </c>
      <c r="AY8" s="221" t="s">
        <v>195</v>
      </c>
      <c r="AZ8" s="88"/>
      <c r="BA8" s="37" t="s">
        <v>135</v>
      </c>
      <c r="BB8" s="39" t="s">
        <v>130</v>
      </c>
      <c r="BC8" s="40">
        <v>72.5</v>
      </c>
      <c r="BD8" s="88" t="s">
        <v>131</v>
      </c>
      <c r="BE8" s="225" t="s">
        <v>193</v>
      </c>
      <c r="BF8" s="226">
        <v>35</v>
      </c>
      <c r="BG8" s="51">
        <v>2.5</v>
      </c>
      <c r="BH8" s="53">
        <v>5</v>
      </c>
      <c r="BI8" s="108" t="s">
        <v>186</v>
      </c>
      <c r="BJ8" s="91"/>
      <c r="BK8" s="88"/>
      <c r="BL8" s="91"/>
      <c r="BM8" s="92"/>
      <c r="BN8" s="95" t="s">
        <v>394</v>
      </c>
      <c r="BO8" s="93" t="s">
        <v>342</v>
      </c>
      <c r="BP8" s="90" t="s">
        <v>227</v>
      </c>
      <c r="BQ8" s="496">
        <f>CONVERT(BQ9,"Wh","BTU")</f>
        <v>8871.5682461326487</v>
      </c>
      <c r="BR8" s="497"/>
      <c r="BS8" s="91"/>
      <c r="BT8" s="88"/>
      <c r="BU8" s="89" t="s">
        <v>217</v>
      </c>
      <c r="BV8" s="90" t="str">
        <f>BP8</f>
        <v>BTUh</v>
      </c>
      <c r="BW8" s="496">
        <f>CONVERT(BW9,"Wh","BTU")</f>
        <v>8189.1399195070599</v>
      </c>
      <c r="BX8" s="497"/>
      <c r="BY8" s="496">
        <f>CONVERT(BY9,"Wh","BTU")</f>
        <v>8871.5682461326487</v>
      </c>
      <c r="BZ8" s="561"/>
      <c r="CA8" s="91">
        <f>0.2*BW8 + 0.8*BY8</f>
        <v>8735.0825808075315</v>
      </c>
      <c r="CB8" s="130" t="s">
        <v>339</v>
      </c>
    </row>
    <row r="9" spans="1:103">
      <c r="A9" s="88"/>
      <c r="B9" s="88"/>
      <c r="C9" s="88"/>
      <c r="D9" s="193" t="s">
        <v>166</v>
      </c>
      <c r="E9" s="194" t="s">
        <v>74</v>
      </c>
      <c r="F9" s="19">
        <v>0.25</v>
      </c>
      <c r="G9" s="202" t="s">
        <v>203</v>
      </c>
      <c r="H9" s="88"/>
      <c r="I9" s="488" t="s">
        <v>139</v>
      </c>
      <c r="J9" s="489"/>
      <c r="K9" s="118" t="s">
        <v>67</v>
      </c>
      <c r="L9" s="331" t="s">
        <v>37</v>
      </c>
      <c r="M9" s="232"/>
      <c r="N9" s="203"/>
      <c r="O9" s="193" t="s">
        <v>166</v>
      </c>
      <c r="P9" s="194" t="s">
        <v>74</v>
      </c>
      <c r="Q9" s="19">
        <v>0.25</v>
      </c>
      <c r="R9" s="202" t="s">
        <v>203</v>
      </c>
      <c r="S9" s="88"/>
      <c r="T9" s="488" t="s">
        <v>139</v>
      </c>
      <c r="U9" s="489"/>
      <c r="V9" s="118" t="s">
        <v>67</v>
      </c>
      <c r="W9" s="331" t="s">
        <v>37</v>
      </c>
      <c r="X9" s="232"/>
      <c r="Y9" s="88"/>
      <c r="Z9" s="193" t="s">
        <v>166</v>
      </c>
      <c r="AA9" s="194" t="s">
        <v>74</v>
      </c>
      <c r="AB9" s="19">
        <v>0.25</v>
      </c>
      <c r="AC9" s="202" t="s">
        <v>203</v>
      </c>
      <c r="AD9" s="88"/>
      <c r="AE9" s="488" t="s">
        <v>139</v>
      </c>
      <c r="AF9" s="489"/>
      <c r="AG9" s="118" t="s">
        <v>67</v>
      </c>
      <c r="AH9" s="331" t="s">
        <v>37</v>
      </c>
      <c r="AI9" s="91"/>
      <c r="AJ9" s="88"/>
      <c r="AK9" s="193" t="s">
        <v>166</v>
      </c>
      <c r="AL9" s="92" t="s">
        <v>74</v>
      </c>
      <c r="AM9" s="9">
        <v>0.25</v>
      </c>
      <c r="AN9" s="202" t="s">
        <v>203</v>
      </c>
      <c r="AO9" s="88"/>
      <c r="AP9" s="488" t="s">
        <v>139</v>
      </c>
      <c r="AQ9" s="489"/>
      <c r="AR9" s="118" t="s">
        <v>479</v>
      </c>
      <c r="AS9" s="331" t="s">
        <v>37</v>
      </c>
      <c r="AT9" s="91"/>
      <c r="AU9" s="88"/>
      <c r="AV9" s="193" t="s">
        <v>166</v>
      </c>
      <c r="AW9" s="92" t="s">
        <v>74</v>
      </c>
      <c r="AX9" s="9">
        <v>0.25</v>
      </c>
      <c r="AY9" s="122"/>
      <c r="AZ9" s="88"/>
      <c r="BA9" s="488" t="s">
        <v>139</v>
      </c>
      <c r="BB9" s="489"/>
      <c r="BC9" s="29" t="s">
        <v>67</v>
      </c>
      <c r="BD9" s="118" t="s">
        <v>37</v>
      </c>
      <c r="BE9" s="225" t="s">
        <v>193</v>
      </c>
      <c r="BF9" s="108">
        <v>30</v>
      </c>
      <c r="BG9" s="53">
        <v>2.2000000000000002</v>
      </c>
      <c r="BH9" s="53">
        <f>BH8*1.1</f>
        <v>5.5</v>
      </c>
      <c r="BI9" s="108" t="s">
        <v>187</v>
      </c>
      <c r="BJ9" s="91"/>
      <c r="BK9" s="88"/>
      <c r="BL9" s="91"/>
      <c r="BM9" s="92"/>
      <c r="BN9" s="96" t="s">
        <v>394</v>
      </c>
      <c r="BO9" s="97" t="s">
        <v>342</v>
      </c>
      <c r="BP9" s="98" t="s">
        <v>226</v>
      </c>
      <c r="BQ9" s="65">
        <f>F4*1000</f>
        <v>2600</v>
      </c>
      <c r="BR9" s="88"/>
      <c r="BS9" s="117" t="s">
        <v>374</v>
      </c>
      <c r="BT9" s="88"/>
      <c r="BU9" s="88"/>
      <c r="BV9" s="94" t="str">
        <f>BP9</f>
        <v>W</v>
      </c>
      <c r="BW9" s="553">
        <f>AB5*1000</f>
        <v>2400</v>
      </c>
      <c r="BX9" s="554"/>
      <c r="BY9" s="559">
        <f>AB4*1000</f>
        <v>2600</v>
      </c>
      <c r="BZ9" s="560"/>
      <c r="CA9" s="117" t="s">
        <v>374</v>
      </c>
      <c r="CB9" s="130"/>
    </row>
    <row r="10" spans="1:103">
      <c r="A10" s="88"/>
      <c r="B10" s="88"/>
      <c r="C10" s="88"/>
      <c r="D10" s="193" t="s">
        <v>134</v>
      </c>
      <c r="E10" s="92" t="s">
        <v>25</v>
      </c>
      <c r="F10" s="9">
        <f>24/1000</f>
        <v>2.4E-2</v>
      </c>
      <c r="G10" s="88" t="s">
        <v>28</v>
      </c>
      <c r="H10" s="88"/>
      <c r="I10" s="95" t="s">
        <v>135</v>
      </c>
      <c r="J10" s="92" t="s">
        <v>32</v>
      </c>
      <c r="K10" s="142">
        <v>218</v>
      </c>
      <c r="L10" s="332">
        <v>218</v>
      </c>
      <c r="M10" s="232"/>
      <c r="N10" s="203"/>
      <c r="O10" s="193" t="s">
        <v>134</v>
      </c>
      <c r="P10" s="92" t="s">
        <v>25</v>
      </c>
      <c r="Q10" s="9">
        <f>50/1000</f>
        <v>0.05</v>
      </c>
      <c r="R10" s="88" t="s">
        <v>28</v>
      </c>
      <c r="S10" s="88"/>
      <c r="T10" s="95" t="s">
        <v>135</v>
      </c>
      <c r="U10" s="92" t="s">
        <v>32</v>
      </c>
      <c r="V10" s="335">
        <f>K10</f>
        <v>218</v>
      </c>
      <c r="W10" s="336">
        <f>L10</f>
        <v>218</v>
      </c>
      <c r="X10" s="232"/>
      <c r="Y10" s="88"/>
      <c r="Z10" s="193" t="s">
        <v>134</v>
      </c>
      <c r="AA10" s="92" t="s">
        <v>25</v>
      </c>
      <c r="AB10" s="9">
        <f>50/1000</f>
        <v>0.05</v>
      </c>
      <c r="AC10" s="88" t="s">
        <v>28</v>
      </c>
      <c r="AD10" s="88"/>
      <c r="AE10" s="95" t="s">
        <v>135</v>
      </c>
      <c r="AF10" s="92" t="s">
        <v>32</v>
      </c>
      <c r="AG10" s="335">
        <f>V10</f>
        <v>218</v>
      </c>
      <c r="AH10" s="336">
        <f>W10</f>
        <v>218</v>
      </c>
      <c r="AI10" s="91"/>
      <c r="AJ10" s="88"/>
      <c r="AK10" s="193" t="s">
        <v>134</v>
      </c>
      <c r="AL10" s="92" t="s">
        <v>25</v>
      </c>
      <c r="AM10" s="9">
        <f>50/1000</f>
        <v>0.05</v>
      </c>
      <c r="AN10" s="88" t="s">
        <v>28</v>
      </c>
      <c r="AO10" s="88"/>
      <c r="AP10" s="95" t="s">
        <v>135</v>
      </c>
      <c r="AQ10" s="92" t="s">
        <v>32</v>
      </c>
      <c r="AR10" s="335">
        <f>AG10</f>
        <v>218</v>
      </c>
      <c r="AS10" s="336">
        <f>AH10</f>
        <v>218</v>
      </c>
      <c r="AT10" s="91"/>
      <c r="AU10" s="88"/>
      <c r="AV10" s="193" t="s">
        <v>134</v>
      </c>
      <c r="AW10" s="92" t="s">
        <v>25</v>
      </c>
      <c r="AX10" s="9">
        <f>50/1000</f>
        <v>0.05</v>
      </c>
      <c r="AY10" s="88" t="s">
        <v>28</v>
      </c>
      <c r="AZ10" s="88"/>
      <c r="BA10" s="362" t="s">
        <v>135</v>
      </c>
      <c r="BB10" s="92" t="s">
        <v>32</v>
      </c>
      <c r="BC10" s="334">
        <v>221</v>
      </c>
      <c r="BD10" s="334">
        <v>221</v>
      </c>
      <c r="BE10" s="225" t="s">
        <v>193</v>
      </c>
      <c r="BF10" s="108">
        <v>25</v>
      </c>
      <c r="BG10" s="53">
        <v>2</v>
      </c>
      <c r="BH10" s="53">
        <f t="shared" ref="BH10:BH11" si="3">BH9*1.1</f>
        <v>6.0500000000000007</v>
      </c>
      <c r="BI10" s="108" t="s">
        <v>188</v>
      </c>
      <c r="BJ10" s="91"/>
      <c r="BK10" s="88"/>
      <c r="BL10" s="91"/>
      <c r="BM10" s="88"/>
      <c r="BN10" s="96" t="s">
        <v>343</v>
      </c>
      <c r="BO10" s="99" t="s">
        <v>399</v>
      </c>
      <c r="BP10" s="98" t="s">
        <v>203</v>
      </c>
      <c r="BQ10" s="66">
        <f>G4</f>
        <v>3</v>
      </c>
      <c r="BR10" s="123"/>
      <c r="BS10" s="117" t="s">
        <v>374</v>
      </c>
      <c r="BT10" s="123"/>
      <c r="BU10" s="123"/>
      <c r="BV10" s="94" t="str">
        <f t="shared" ref="BV10:BV11" si="4">BP10</f>
        <v>(-)</v>
      </c>
      <c r="BW10" s="555">
        <f>AC5</f>
        <v>2.4</v>
      </c>
      <c r="BX10" s="556"/>
      <c r="BY10" s="555">
        <f>AC4</f>
        <v>2.6</v>
      </c>
      <c r="BZ10" s="556"/>
      <c r="CA10" s="117" t="s">
        <v>374</v>
      </c>
      <c r="CB10" s="130"/>
    </row>
    <row r="11" spans="1:103" ht="15.75" thickBot="1">
      <c r="A11" s="88"/>
      <c r="B11" s="88"/>
      <c r="C11" s="88"/>
      <c r="D11" s="193" t="s">
        <v>134</v>
      </c>
      <c r="E11" s="92" t="s">
        <v>24</v>
      </c>
      <c r="F11" s="9">
        <f>3/1000</f>
        <v>3.0000000000000001E-3</v>
      </c>
      <c r="G11" s="88" t="s">
        <v>28</v>
      </c>
      <c r="H11" s="88"/>
      <c r="I11" s="95" t="s">
        <v>135</v>
      </c>
      <c r="J11" s="92" t="s">
        <v>33</v>
      </c>
      <c r="K11" s="142">
        <v>750</v>
      </c>
      <c r="L11" s="332">
        <v>750</v>
      </c>
      <c r="M11" s="232"/>
      <c r="N11" s="203"/>
      <c r="O11" s="193" t="s">
        <v>134</v>
      </c>
      <c r="P11" s="92" t="s">
        <v>24</v>
      </c>
      <c r="Q11" s="9">
        <f>3/1000</f>
        <v>3.0000000000000001E-3</v>
      </c>
      <c r="R11" s="88" t="s">
        <v>28</v>
      </c>
      <c r="S11" s="88"/>
      <c r="T11" s="95" t="s">
        <v>135</v>
      </c>
      <c r="U11" s="92" t="s">
        <v>33</v>
      </c>
      <c r="V11" s="335">
        <f>K11</f>
        <v>750</v>
      </c>
      <c r="W11" s="336">
        <f>L11</f>
        <v>750</v>
      </c>
      <c r="X11" s="232"/>
      <c r="Y11" s="88"/>
      <c r="Z11" s="193" t="s">
        <v>134</v>
      </c>
      <c r="AA11" s="92" t="s">
        <v>24</v>
      </c>
      <c r="AB11" s="9">
        <f>3/1000</f>
        <v>3.0000000000000001E-3</v>
      </c>
      <c r="AC11" s="88" t="s">
        <v>28</v>
      </c>
      <c r="AD11" s="88"/>
      <c r="AE11" s="95" t="s">
        <v>135</v>
      </c>
      <c r="AF11" s="92" t="s">
        <v>33</v>
      </c>
      <c r="AG11" s="335">
        <f>V11</f>
        <v>750</v>
      </c>
      <c r="AH11" s="336">
        <f>W11</f>
        <v>750</v>
      </c>
      <c r="AI11" s="91"/>
      <c r="AJ11" s="88"/>
      <c r="AK11" s="193" t="s">
        <v>134</v>
      </c>
      <c r="AL11" s="92" t="s">
        <v>24</v>
      </c>
      <c r="AM11" s="9">
        <f>3/1000</f>
        <v>3.0000000000000001E-3</v>
      </c>
      <c r="AN11" s="88" t="s">
        <v>28</v>
      </c>
      <c r="AO11" s="88"/>
      <c r="AP11" s="95" t="s">
        <v>135</v>
      </c>
      <c r="AQ11" s="92" t="s">
        <v>33</v>
      </c>
      <c r="AR11" s="335">
        <f>AG11</f>
        <v>750</v>
      </c>
      <c r="AS11" s="336">
        <f>AH11</f>
        <v>750</v>
      </c>
      <c r="AT11" s="91"/>
      <c r="AU11" s="88"/>
      <c r="AV11" s="193" t="s">
        <v>134</v>
      </c>
      <c r="AW11" s="92" t="s">
        <v>24</v>
      </c>
      <c r="AX11" s="9">
        <f>3/1000</f>
        <v>3.0000000000000001E-3</v>
      </c>
      <c r="AY11" s="88" t="s">
        <v>28</v>
      </c>
      <c r="AZ11" s="88"/>
      <c r="BA11" s="362" t="s">
        <v>135</v>
      </c>
      <c r="BB11" s="92" t="s">
        <v>33</v>
      </c>
      <c r="BC11" s="334">
        <v>2142</v>
      </c>
      <c r="BD11" s="334">
        <v>2142</v>
      </c>
      <c r="BE11" s="227" t="s">
        <v>193</v>
      </c>
      <c r="BF11" s="228">
        <v>20</v>
      </c>
      <c r="BG11" s="54">
        <v>1.8</v>
      </c>
      <c r="BH11" s="54">
        <f t="shared" si="3"/>
        <v>6.6550000000000011</v>
      </c>
      <c r="BI11" s="228" t="s">
        <v>189</v>
      </c>
      <c r="BJ11" s="91"/>
      <c r="BK11" s="88"/>
      <c r="BL11" s="91"/>
      <c r="BM11" s="88"/>
      <c r="BN11" s="95" t="s">
        <v>344</v>
      </c>
      <c r="BO11" s="100" t="s">
        <v>89</v>
      </c>
      <c r="BP11" s="94" t="s">
        <v>345</v>
      </c>
      <c r="BQ11" s="144">
        <f>BQ9/BQ10</f>
        <v>866.66666666666663</v>
      </c>
      <c r="BR11" s="143"/>
      <c r="BS11" s="91"/>
      <c r="BT11" s="88"/>
      <c r="BU11" s="88"/>
      <c r="BV11" s="94" t="str">
        <f t="shared" si="4"/>
        <v>W_elec</v>
      </c>
      <c r="BW11" s="557">
        <f>BW9/BW10</f>
        <v>1000</v>
      </c>
      <c r="BX11" s="558"/>
      <c r="BY11" s="557">
        <f>BY9/BY10</f>
        <v>1000</v>
      </c>
      <c r="BZ11" s="558"/>
      <c r="CA11" s="91"/>
      <c r="CB11" s="130"/>
    </row>
    <row r="12" spans="1:103">
      <c r="A12" s="88"/>
      <c r="B12" s="88"/>
      <c r="C12" s="88"/>
      <c r="D12" s="193" t="s">
        <v>134</v>
      </c>
      <c r="E12" s="92" t="s">
        <v>26</v>
      </c>
      <c r="F12" s="327" t="s">
        <v>181</v>
      </c>
      <c r="G12" s="88" t="s">
        <v>28</v>
      </c>
      <c r="H12" s="88"/>
      <c r="I12" s="95" t="s">
        <v>135</v>
      </c>
      <c r="J12" s="198" t="s">
        <v>34</v>
      </c>
      <c r="K12" s="330">
        <v>2363</v>
      </c>
      <c r="L12" s="333">
        <v>2363</v>
      </c>
      <c r="M12" s="232"/>
      <c r="N12" s="203"/>
      <c r="O12" s="193" t="s">
        <v>134</v>
      </c>
      <c r="P12" s="92" t="s">
        <v>26</v>
      </c>
      <c r="Q12" s="327" t="s">
        <v>181</v>
      </c>
      <c r="R12" s="88" t="s">
        <v>28</v>
      </c>
      <c r="S12" s="88"/>
      <c r="T12" s="95" t="s">
        <v>135</v>
      </c>
      <c r="U12" s="35" t="s">
        <v>34</v>
      </c>
      <c r="V12" s="337">
        <v>2363</v>
      </c>
      <c r="W12" s="338">
        <v>2363</v>
      </c>
      <c r="X12" s="232"/>
      <c r="Y12" s="88"/>
      <c r="Z12" s="163" t="s">
        <v>134</v>
      </c>
      <c r="AA12" s="92" t="s">
        <v>26</v>
      </c>
      <c r="AB12" s="327" t="s">
        <v>181</v>
      </c>
      <c r="AC12" s="88" t="s">
        <v>28</v>
      </c>
      <c r="AD12" s="88"/>
      <c r="AE12" s="37" t="s">
        <v>135</v>
      </c>
      <c r="AF12" s="37" t="s">
        <v>34</v>
      </c>
      <c r="AG12" s="339">
        <v>2363</v>
      </c>
      <c r="AH12" s="340">
        <v>2363</v>
      </c>
      <c r="AI12" s="91"/>
      <c r="AJ12" s="88"/>
      <c r="AK12" s="163" t="s">
        <v>134</v>
      </c>
      <c r="AL12" s="92" t="s">
        <v>26</v>
      </c>
      <c r="AM12" s="327" t="s">
        <v>181</v>
      </c>
      <c r="AN12" s="88" t="s">
        <v>28</v>
      </c>
      <c r="AO12" s="88"/>
      <c r="AP12" s="37" t="s">
        <v>135</v>
      </c>
      <c r="AQ12" s="37" t="s">
        <v>34</v>
      </c>
      <c r="AR12" s="339">
        <v>2363</v>
      </c>
      <c r="AS12" s="340">
        <v>2363</v>
      </c>
      <c r="AT12" s="91"/>
      <c r="AU12" s="88"/>
      <c r="AV12" s="193" t="s">
        <v>134</v>
      </c>
      <c r="AW12" s="92" t="s">
        <v>26</v>
      </c>
      <c r="AX12" s="9">
        <f>5/1000</f>
        <v>5.0000000000000001E-3</v>
      </c>
      <c r="AY12" s="88" t="s">
        <v>28</v>
      </c>
      <c r="AZ12" s="88"/>
      <c r="BA12" s="362" t="s">
        <v>135</v>
      </c>
      <c r="BB12" s="92" t="s">
        <v>34</v>
      </c>
      <c r="BC12" s="334">
        <v>2363</v>
      </c>
      <c r="BD12" s="334">
        <v>2363</v>
      </c>
      <c r="BE12" s="88"/>
      <c r="BF12" s="88"/>
      <c r="BG12" s="88"/>
      <c r="BH12" s="88"/>
      <c r="BI12" s="88"/>
      <c r="BJ12" s="91"/>
      <c r="BK12" s="88"/>
      <c r="BL12" s="91"/>
      <c r="BM12" s="88"/>
      <c r="BN12" s="89"/>
      <c r="BO12" s="92"/>
      <c r="BP12" s="94"/>
      <c r="BQ12" s="144"/>
      <c r="BR12" s="143"/>
      <c r="BS12" s="91"/>
      <c r="BT12" s="88"/>
      <c r="BU12" s="88"/>
      <c r="BV12" s="88"/>
      <c r="BW12" s="144"/>
      <c r="BX12" s="137"/>
      <c r="BY12" s="144"/>
      <c r="BZ12" s="137"/>
      <c r="CA12" s="91"/>
      <c r="CB12" s="130"/>
    </row>
    <row r="13" spans="1:103">
      <c r="A13" s="88"/>
      <c r="B13" s="88"/>
      <c r="C13" s="88"/>
      <c r="D13" s="193" t="s">
        <v>134</v>
      </c>
      <c r="E13" s="92" t="s">
        <v>27</v>
      </c>
      <c r="F13" s="327" t="s">
        <v>181</v>
      </c>
      <c r="G13" s="88" t="s">
        <v>28</v>
      </c>
      <c r="H13" s="88"/>
      <c r="I13" s="95" t="s">
        <v>135</v>
      </c>
      <c r="J13" s="198" t="s">
        <v>36</v>
      </c>
      <c r="K13" s="330">
        <v>5088</v>
      </c>
      <c r="L13" s="333">
        <v>0</v>
      </c>
      <c r="M13" s="232"/>
      <c r="N13" s="203"/>
      <c r="O13" s="193" t="s">
        <v>134</v>
      </c>
      <c r="P13" s="92" t="s">
        <v>27</v>
      </c>
      <c r="Q13" s="327" t="s">
        <v>181</v>
      </c>
      <c r="R13" s="88" t="s">
        <v>28</v>
      </c>
      <c r="S13" s="88"/>
      <c r="T13" s="95" t="s">
        <v>135</v>
      </c>
      <c r="U13" s="35" t="s">
        <v>36</v>
      </c>
      <c r="V13" s="337">
        <v>5088</v>
      </c>
      <c r="W13" s="338">
        <v>0</v>
      </c>
      <c r="X13" s="232"/>
      <c r="Y13" s="88"/>
      <c r="Z13" s="163" t="s">
        <v>134</v>
      </c>
      <c r="AA13" s="92" t="s">
        <v>27</v>
      </c>
      <c r="AB13" s="327" t="s">
        <v>181</v>
      </c>
      <c r="AC13" s="88" t="s">
        <v>28</v>
      </c>
      <c r="AD13" s="88"/>
      <c r="AE13" s="37" t="s">
        <v>135</v>
      </c>
      <c r="AF13" s="37" t="s">
        <v>36</v>
      </c>
      <c r="AG13" s="339">
        <v>5088</v>
      </c>
      <c r="AH13" s="340">
        <v>0</v>
      </c>
      <c r="AI13" s="91"/>
      <c r="AJ13" s="88"/>
      <c r="AK13" s="163" t="s">
        <v>134</v>
      </c>
      <c r="AL13" s="92" t="s">
        <v>27</v>
      </c>
      <c r="AM13" s="327" t="s">
        <v>181</v>
      </c>
      <c r="AN13" s="88" t="s">
        <v>28</v>
      </c>
      <c r="AO13" s="88"/>
      <c r="AP13" s="37" t="s">
        <v>135</v>
      </c>
      <c r="AQ13" s="37" t="s">
        <v>36</v>
      </c>
      <c r="AR13" s="339">
        <v>5088</v>
      </c>
      <c r="AS13" s="340">
        <v>0</v>
      </c>
      <c r="AT13" s="91"/>
      <c r="AU13" s="88"/>
      <c r="AV13" s="193" t="s">
        <v>134</v>
      </c>
      <c r="AW13" s="92" t="s">
        <v>27</v>
      </c>
      <c r="AX13" s="9">
        <f>1/1000</f>
        <v>1E-3</v>
      </c>
      <c r="AY13" s="88" t="s">
        <v>28</v>
      </c>
      <c r="AZ13" s="88"/>
      <c r="BA13" s="362" t="s">
        <v>135</v>
      </c>
      <c r="BB13" s="92" t="s">
        <v>36</v>
      </c>
      <c r="BC13" s="334">
        <v>5088</v>
      </c>
      <c r="BD13" s="334">
        <v>0</v>
      </c>
      <c r="BE13" s="88"/>
      <c r="BF13" s="88"/>
      <c r="BG13" s="88"/>
      <c r="BH13" s="88"/>
      <c r="BI13" s="88"/>
      <c r="BJ13" s="91"/>
      <c r="BK13" s="88"/>
      <c r="BL13" s="88"/>
      <c r="BM13" s="88"/>
      <c r="BN13" s="88" t="s">
        <v>369</v>
      </c>
      <c r="BO13" s="101" t="s">
        <v>398</v>
      </c>
      <c r="BP13" s="88" t="s">
        <v>368</v>
      </c>
      <c r="BQ13" s="145">
        <f>BQ8/BQ11</f>
        <v>10.236424899383826</v>
      </c>
      <c r="BR13" s="88"/>
      <c r="BS13" s="117" t="s">
        <v>392</v>
      </c>
      <c r="BT13" s="88"/>
      <c r="BU13" s="88"/>
      <c r="BV13" s="88"/>
      <c r="BW13" s="498">
        <f>BW8/BW11</f>
        <v>8.1891399195070598</v>
      </c>
      <c r="BX13" s="499"/>
      <c r="BY13" s="498">
        <f>BY8/BY11</f>
        <v>8.8715682461326484</v>
      </c>
      <c r="BZ13" s="500"/>
      <c r="CA13" s="91"/>
      <c r="CB13" s="88"/>
    </row>
    <row r="14" spans="1:103">
      <c r="A14" s="88"/>
      <c r="B14" s="88"/>
      <c r="C14" s="88"/>
      <c r="D14" s="193" t="s">
        <v>134</v>
      </c>
      <c r="E14" s="92" t="s">
        <v>73</v>
      </c>
      <c r="F14" s="21">
        <f>F4*200/3600</f>
        <v>0.14444444444444443</v>
      </c>
      <c r="G14" s="88" t="s">
        <v>51</v>
      </c>
      <c r="H14" s="88"/>
      <c r="I14" s="95" t="s">
        <v>135</v>
      </c>
      <c r="J14" s="198" t="s">
        <v>137</v>
      </c>
      <c r="K14" s="330">
        <v>350</v>
      </c>
      <c r="L14" s="333">
        <v>350</v>
      </c>
      <c r="M14" s="232"/>
      <c r="N14" s="203"/>
      <c r="O14" s="193" t="s">
        <v>134</v>
      </c>
      <c r="P14" s="92" t="s">
        <v>73</v>
      </c>
      <c r="Q14" s="21">
        <f>Q4*200/3600</f>
        <v>0.14444444444444443</v>
      </c>
      <c r="R14" s="88" t="s">
        <v>51</v>
      </c>
      <c r="S14" s="88"/>
      <c r="T14" s="95" t="s">
        <v>135</v>
      </c>
      <c r="U14" s="35" t="s">
        <v>137</v>
      </c>
      <c r="V14" s="337">
        <v>350</v>
      </c>
      <c r="W14" s="338">
        <v>350</v>
      </c>
      <c r="X14" s="232"/>
      <c r="Y14" s="88"/>
      <c r="Z14" s="163" t="s">
        <v>134</v>
      </c>
      <c r="AA14" s="92" t="s">
        <v>73</v>
      </c>
      <c r="AB14" s="327" t="s">
        <v>181</v>
      </c>
      <c r="AC14" s="88" t="s">
        <v>51</v>
      </c>
      <c r="AD14" s="88"/>
      <c r="AE14" s="37" t="s">
        <v>135</v>
      </c>
      <c r="AF14" s="37" t="s">
        <v>137</v>
      </c>
      <c r="AG14" s="339">
        <v>350</v>
      </c>
      <c r="AH14" s="340">
        <v>350</v>
      </c>
      <c r="AI14" s="91"/>
      <c r="AJ14" s="88"/>
      <c r="AK14" s="163" t="s">
        <v>134</v>
      </c>
      <c r="AL14" s="92" t="s">
        <v>73</v>
      </c>
      <c r="AM14" s="327" t="s">
        <v>181</v>
      </c>
      <c r="AN14" s="88" t="s">
        <v>51</v>
      </c>
      <c r="AO14" s="88"/>
      <c r="AP14" s="37" t="s">
        <v>135</v>
      </c>
      <c r="AQ14" s="37" t="s">
        <v>137</v>
      </c>
      <c r="AR14" s="339">
        <v>350</v>
      </c>
      <c r="AS14" s="340">
        <v>350</v>
      </c>
      <c r="AT14" s="91"/>
      <c r="AU14" s="88"/>
      <c r="AV14" s="193" t="s">
        <v>134</v>
      </c>
      <c r="AW14" s="92" t="s">
        <v>73</v>
      </c>
      <c r="AX14" s="327" t="s">
        <v>181</v>
      </c>
      <c r="AY14" s="88" t="s">
        <v>51</v>
      </c>
      <c r="AZ14" s="88"/>
      <c r="BA14" s="362" t="s">
        <v>135</v>
      </c>
      <c r="BB14" s="92" t="s">
        <v>137</v>
      </c>
      <c r="BC14" s="334">
        <v>350</v>
      </c>
      <c r="BD14" s="334">
        <v>350</v>
      </c>
      <c r="BE14" s="88"/>
      <c r="BF14" s="88"/>
      <c r="BG14" s="88"/>
      <c r="BH14" s="88"/>
      <c r="BI14" s="88"/>
      <c r="BJ14" s="91"/>
      <c r="BK14" s="88"/>
      <c r="BL14" s="88"/>
      <c r="BM14" s="88"/>
      <c r="BN14" s="88"/>
      <c r="BO14" s="88"/>
      <c r="BP14" s="88"/>
      <c r="BQ14" s="91"/>
      <c r="BR14" s="88"/>
      <c r="BS14" s="91"/>
      <c r="BT14" s="88"/>
      <c r="BU14" s="88"/>
      <c r="BV14" s="88"/>
      <c r="BW14" s="142"/>
      <c r="BX14" s="147"/>
      <c r="BY14" s="142"/>
      <c r="BZ14" s="147"/>
      <c r="CA14" s="91"/>
      <c r="CB14" s="88"/>
    </row>
    <row r="15" spans="1:103">
      <c r="A15" s="88"/>
      <c r="B15" s="88"/>
      <c r="C15" s="88"/>
      <c r="D15" s="134" t="s">
        <v>141</v>
      </c>
      <c r="E15" s="92" t="s">
        <v>43</v>
      </c>
      <c r="F15" s="10">
        <v>0.95</v>
      </c>
      <c r="G15" s="88"/>
      <c r="H15" s="88"/>
      <c r="I15" s="95" t="s">
        <v>135</v>
      </c>
      <c r="J15" s="92" t="s">
        <v>20</v>
      </c>
      <c r="K15" s="196">
        <v>35</v>
      </c>
      <c r="L15" s="88"/>
      <c r="M15" s="232"/>
      <c r="N15" s="203"/>
      <c r="O15" s="134" t="s">
        <v>141</v>
      </c>
      <c r="P15" s="92" t="s">
        <v>43</v>
      </c>
      <c r="Q15" s="10">
        <v>0.95</v>
      </c>
      <c r="R15" s="88"/>
      <c r="S15" s="88"/>
      <c r="T15" s="95" t="s">
        <v>135</v>
      </c>
      <c r="U15" s="92" t="s">
        <v>20</v>
      </c>
      <c r="V15" s="47">
        <v>35</v>
      </c>
      <c r="W15" s="88"/>
      <c r="X15" s="232"/>
      <c r="Y15" s="88"/>
      <c r="Z15" s="134" t="s">
        <v>141</v>
      </c>
      <c r="AA15" s="92" t="s">
        <v>43</v>
      </c>
      <c r="AB15" s="10">
        <v>0.95</v>
      </c>
      <c r="AC15" s="222" t="s">
        <v>53</v>
      </c>
      <c r="AD15" s="88"/>
      <c r="AE15" s="95" t="s">
        <v>135</v>
      </c>
      <c r="AF15" s="92" t="s">
        <v>20</v>
      </c>
      <c r="AG15" s="47">
        <v>35</v>
      </c>
      <c r="AH15" s="88" t="s">
        <v>49</v>
      </c>
      <c r="AI15" s="91"/>
      <c r="AJ15" s="88"/>
      <c r="AK15" s="134" t="s">
        <v>141</v>
      </c>
      <c r="AL15" s="92" t="s">
        <v>43</v>
      </c>
      <c r="AM15" s="10">
        <v>0.95</v>
      </c>
      <c r="AN15" s="222" t="s">
        <v>53</v>
      </c>
      <c r="AO15" s="88"/>
      <c r="AP15" s="95" t="s">
        <v>135</v>
      </c>
      <c r="AQ15" s="92" t="s">
        <v>20</v>
      </c>
      <c r="AR15" s="47">
        <v>35</v>
      </c>
      <c r="AS15" s="88" t="s">
        <v>49</v>
      </c>
      <c r="AT15" s="91"/>
      <c r="AU15" s="88"/>
      <c r="AV15" s="134" t="s">
        <v>141</v>
      </c>
      <c r="AW15" s="92" t="s">
        <v>43</v>
      </c>
      <c r="AX15" s="20">
        <v>0.95</v>
      </c>
      <c r="AY15" s="222" t="s">
        <v>53</v>
      </c>
      <c r="AZ15" s="88"/>
      <c r="BA15" s="362" t="s">
        <v>135</v>
      </c>
      <c r="BB15" s="92" t="s">
        <v>20</v>
      </c>
      <c r="BC15" s="38">
        <v>35</v>
      </c>
      <c r="BD15" s="88" t="s">
        <v>49</v>
      </c>
      <c r="BE15" s="88"/>
      <c r="BF15" s="88"/>
      <c r="BG15" s="88"/>
      <c r="BH15" s="88"/>
      <c r="BI15" s="88"/>
      <c r="BJ15" s="91"/>
      <c r="BK15" s="88"/>
      <c r="BL15" s="102" t="s">
        <v>243</v>
      </c>
      <c r="BM15" s="88"/>
      <c r="BN15" s="88"/>
      <c r="BO15" s="89"/>
      <c r="BP15" s="90"/>
      <c r="BQ15" s="493" t="s">
        <v>242</v>
      </c>
      <c r="BR15" s="495"/>
      <c r="BS15" s="91"/>
      <c r="BT15" s="88"/>
      <c r="BU15" s="88"/>
      <c r="BV15" s="90"/>
      <c r="BW15" s="152" t="s">
        <v>239</v>
      </c>
      <c r="BX15" s="101" t="s">
        <v>240</v>
      </c>
      <c r="BY15" s="152" t="s">
        <v>239</v>
      </c>
      <c r="BZ15" s="101" t="s">
        <v>240</v>
      </c>
      <c r="CA15" s="91"/>
      <c r="CB15" s="130"/>
    </row>
    <row r="16" spans="1:103">
      <c r="A16" s="329" t="s">
        <v>478</v>
      </c>
      <c r="B16" s="88"/>
      <c r="C16" s="88"/>
      <c r="D16" s="193" t="s">
        <v>136</v>
      </c>
      <c r="E16" s="92" t="s">
        <v>75</v>
      </c>
      <c r="F16" s="42">
        <f>$F$14*(K5*K8 - K4*K7)</f>
        <v>2.883255555555555</v>
      </c>
      <c r="G16" s="88">
        <f>(1.15*72.5 - 1.17*54.2)</f>
        <v>19.960999999999999</v>
      </c>
      <c r="H16" s="88"/>
      <c r="I16" s="95" t="s">
        <v>135</v>
      </c>
      <c r="J16" s="92" t="s">
        <v>122</v>
      </c>
      <c r="K16" s="196">
        <v>23</v>
      </c>
      <c r="L16" s="88"/>
      <c r="M16" s="232"/>
      <c r="N16" s="203"/>
      <c r="O16" s="193" t="s">
        <v>136</v>
      </c>
      <c r="P16" s="92" t="s">
        <v>75</v>
      </c>
      <c r="Q16" s="42">
        <f>$Q$14*(V5*V8 - V4*V7)</f>
        <v>2.883255555555555</v>
      </c>
      <c r="R16" s="88">
        <f>(1.15*72.5 - 1.17*54.2)</f>
        <v>19.960999999999999</v>
      </c>
      <c r="S16" s="88"/>
      <c r="T16" s="95" t="s">
        <v>135</v>
      </c>
      <c r="U16" s="92" t="s">
        <v>122</v>
      </c>
      <c r="V16" s="47">
        <v>23</v>
      </c>
      <c r="W16" s="88"/>
      <c r="X16" s="232"/>
      <c r="Y16" s="88"/>
      <c r="Z16" s="193" t="s">
        <v>136</v>
      </c>
      <c r="AA16" s="194" t="s">
        <v>75</v>
      </c>
      <c r="AB16" s="327" t="s">
        <v>181</v>
      </c>
      <c r="AC16" s="88">
        <f>(1.15*72.5 - 1.17*54.2)</f>
        <v>19.960999999999999</v>
      </c>
      <c r="AD16" s="88"/>
      <c r="AE16" s="95" t="s">
        <v>135</v>
      </c>
      <c r="AF16" s="92" t="s">
        <v>122</v>
      </c>
      <c r="AG16" s="47">
        <v>16</v>
      </c>
      <c r="AH16" s="88" t="s">
        <v>49</v>
      </c>
      <c r="AI16" s="91"/>
      <c r="AJ16" s="88"/>
      <c r="AK16" s="193" t="s">
        <v>136</v>
      </c>
      <c r="AL16" s="194" t="s">
        <v>75</v>
      </c>
      <c r="AM16" s="327" t="s">
        <v>181</v>
      </c>
      <c r="AN16" s="88">
        <f>(1.15*72.5 - 1.17*54.2)</f>
        <v>19.960999999999999</v>
      </c>
      <c r="AO16" s="88"/>
      <c r="AP16" s="95" t="s">
        <v>135</v>
      </c>
      <c r="AQ16" s="92" t="s">
        <v>122</v>
      </c>
      <c r="AR16" s="47">
        <v>16</v>
      </c>
      <c r="AS16" s="88" t="s">
        <v>49</v>
      </c>
      <c r="AT16" s="91"/>
      <c r="AU16" s="88"/>
      <c r="AV16" s="193" t="s">
        <v>136</v>
      </c>
      <c r="AW16" s="202" t="s">
        <v>75</v>
      </c>
      <c r="AX16" s="327" t="s">
        <v>181</v>
      </c>
      <c r="AY16" s="88">
        <f>(1.15*72.5 - 1.17*54.2)</f>
        <v>19.960999999999999</v>
      </c>
      <c r="AZ16" s="88"/>
      <c r="BA16" s="362" t="s">
        <v>135</v>
      </c>
      <c r="BB16" s="92" t="s">
        <v>122</v>
      </c>
      <c r="BC16" s="38">
        <v>16</v>
      </c>
      <c r="BD16" s="88" t="s">
        <v>49</v>
      </c>
      <c r="BE16" s="88"/>
      <c r="BF16" s="88"/>
      <c r="BG16" s="88"/>
      <c r="BH16" s="88"/>
      <c r="BI16" s="88"/>
      <c r="BJ16" s="91"/>
      <c r="BK16" s="88"/>
      <c r="BL16" s="91"/>
      <c r="BM16" s="92"/>
      <c r="BN16" s="89" t="s">
        <v>220</v>
      </c>
      <c r="BO16" s="88"/>
      <c r="BP16" s="90" t="s">
        <v>218</v>
      </c>
      <c r="BQ16" s="145">
        <f>CONVERT(BQ17,"m","ft")</f>
        <v>0.39370078740157483</v>
      </c>
      <c r="BR16" s="88"/>
      <c r="BS16" s="91"/>
      <c r="BT16" s="92"/>
      <c r="BU16" s="89" t="s">
        <v>220</v>
      </c>
      <c r="BV16" s="90" t="str">
        <f>BP16</f>
        <v>ft</v>
      </c>
      <c r="BW16" s="145">
        <f>CONVERT(BW17,"m","ft")</f>
        <v>0.39370078740157483</v>
      </c>
      <c r="BX16" s="151">
        <f>CONVERT(BX17,"m","ft")</f>
        <v>0.39370078740157483</v>
      </c>
      <c r="BY16" s="145">
        <f>CONVERT(BY17,"m","ft")</f>
        <v>0.39370078740157483</v>
      </c>
      <c r="BZ16" s="151">
        <f>CONVERT(BZ17,"m","ft")</f>
        <v>0.39370078740157483</v>
      </c>
      <c r="CA16" s="91"/>
      <c r="CB16" s="130"/>
      <c r="CW16" s="7" t="s">
        <v>269</v>
      </c>
    </row>
    <row r="17" spans="1:103">
      <c r="A17" s="88"/>
      <c r="B17" s="92"/>
      <c r="C17" s="92"/>
      <c r="D17" s="193" t="s">
        <v>136</v>
      </c>
      <c r="E17" s="92" t="s">
        <v>76</v>
      </c>
      <c r="F17" s="42">
        <f>$F$14*(K4*K7 - K3*K6)</f>
        <v>1.8451333333333333</v>
      </c>
      <c r="G17" s="88">
        <f>(1.17*54.2 - 1.2*42.2)</f>
        <v>12.774000000000001</v>
      </c>
      <c r="H17" s="88"/>
      <c r="I17" s="95" t="s">
        <v>135</v>
      </c>
      <c r="J17" s="199" t="s">
        <v>91</v>
      </c>
      <c r="K17" s="327">
        <v>549</v>
      </c>
      <c r="L17" s="96" t="s">
        <v>88</v>
      </c>
      <c r="M17" s="232"/>
      <c r="N17" s="203"/>
      <c r="O17" s="193" t="s">
        <v>136</v>
      </c>
      <c r="P17" s="92" t="s">
        <v>76</v>
      </c>
      <c r="Q17" s="42">
        <f>$Q$14*(V4*V7 - V3*V6)</f>
        <v>1.8451333333333333</v>
      </c>
      <c r="R17" s="88">
        <f>(1.17*54.2 - 1.2*42.2)</f>
        <v>12.774000000000001</v>
      </c>
      <c r="S17" s="88"/>
      <c r="T17" s="95" t="s">
        <v>135</v>
      </c>
      <c r="U17" s="199" t="s">
        <v>91</v>
      </c>
      <c r="V17" s="327">
        <v>549</v>
      </c>
      <c r="W17" s="96" t="s">
        <v>88</v>
      </c>
      <c r="X17" s="232"/>
      <c r="Y17" s="88"/>
      <c r="Z17" s="193" t="s">
        <v>136</v>
      </c>
      <c r="AA17" s="194" t="s">
        <v>76</v>
      </c>
      <c r="AB17" s="327" t="s">
        <v>181</v>
      </c>
      <c r="AC17" s="88">
        <f>(1.17*54.2 - 1.2*42.2)</f>
        <v>12.774000000000001</v>
      </c>
      <c r="AD17" s="88"/>
      <c r="AE17" s="95" t="s">
        <v>135</v>
      </c>
      <c r="AF17" s="199" t="s">
        <v>91</v>
      </c>
      <c r="AG17" s="327" t="s">
        <v>181</v>
      </c>
      <c r="AH17" s="96" t="s">
        <v>88</v>
      </c>
      <c r="AI17" s="91"/>
      <c r="AJ17" s="88"/>
      <c r="AK17" s="193" t="s">
        <v>136</v>
      </c>
      <c r="AL17" s="194" t="s">
        <v>76</v>
      </c>
      <c r="AM17" s="327" t="s">
        <v>181</v>
      </c>
      <c r="AN17" s="88">
        <f>(1.17*54.2 - 1.2*42.2)</f>
        <v>12.774000000000001</v>
      </c>
      <c r="AO17" s="88"/>
      <c r="AP17" s="95" t="s">
        <v>135</v>
      </c>
      <c r="AQ17" s="199" t="s">
        <v>91</v>
      </c>
      <c r="AR17" s="327" t="s">
        <v>181</v>
      </c>
      <c r="AS17" s="96" t="s">
        <v>88</v>
      </c>
      <c r="AT17" s="91"/>
      <c r="AU17" s="88"/>
      <c r="AV17" s="193" t="s">
        <v>136</v>
      </c>
      <c r="AW17" s="202" t="s">
        <v>76</v>
      </c>
      <c r="AX17" s="327" t="s">
        <v>181</v>
      </c>
      <c r="AY17" s="88">
        <f>(1.17*54.2 - 1.2*42.2)</f>
        <v>12.774000000000001</v>
      </c>
      <c r="AZ17" s="88"/>
      <c r="BA17" s="95" t="s">
        <v>135</v>
      </c>
      <c r="BB17" s="199" t="s">
        <v>91</v>
      </c>
      <c r="BC17" s="327" t="s">
        <v>181</v>
      </c>
      <c r="BD17" s="96" t="s">
        <v>88</v>
      </c>
      <c r="BE17" s="88"/>
      <c r="BF17" s="88"/>
      <c r="BG17" s="219"/>
      <c r="BH17" s="88"/>
      <c r="BI17" s="88"/>
      <c r="BJ17" s="91"/>
      <c r="BK17" s="88"/>
      <c r="BL17" s="91"/>
      <c r="BM17" s="88"/>
      <c r="BN17" s="89"/>
      <c r="BO17" s="88"/>
      <c r="BP17" s="94" t="s">
        <v>219</v>
      </c>
      <c r="BQ17" s="146">
        <v>0.12</v>
      </c>
      <c r="BR17" s="88"/>
      <c r="BS17" s="91"/>
      <c r="BT17" s="88"/>
      <c r="BU17" s="88"/>
      <c r="BV17" s="94" t="str">
        <f t="shared" ref="BV17:BV36" si="5">BP17</f>
        <v>m</v>
      </c>
      <c r="BW17" s="153">
        <v>0.12</v>
      </c>
      <c r="BX17" s="154">
        <v>0.12</v>
      </c>
      <c r="BY17" s="153">
        <v>0.12</v>
      </c>
      <c r="BZ17" s="154">
        <v>0.12</v>
      </c>
      <c r="CA17" s="91"/>
      <c r="CB17" s="130"/>
      <c r="CW17" s="7" t="s">
        <v>215</v>
      </c>
      <c r="CX17" s="7">
        <v>100</v>
      </c>
      <c r="CY17" s="13">
        <f>CONVERT(CX17,"F","C")</f>
        <v>37.777777777777779</v>
      </c>
    </row>
    <row r="18" spans="1:103">
      <c r="A18" s="88"/>
      <c r="B18" s="88"/>
      <c r="C18" s="88"/>
      <c r="D18" s="193" t="s">
        <v>136</v>
      </c>
      <c r="E18" s="92" t="s">
        <v>71</v>
      </c>
      <c r="F18" s="323">
        <f>(F4 + 27/(35-27)*F16 + 23/(35-23)*F4)/((F4/(35-23) + F16/(35-27)))</f>
        <v>30.003660711492131</v>
      </c>
      <c r="G18" s="88" t="s">
        <v>49</v>
      </c>
      <c r="H18" s="88"/>
      <c r="I18" s="95" t="s">
        <v>135</v>
      </c>
      <c r="J18" s="199" t="s">
        <v>92</v>
      </c>
      <c r="K18" s="327">
        <v>750</v>
      </c>
      <c r="L18" s="96" t="s">
        <v>88</v>
      </c>
      <c r="M18" s="232"/>
      <c r="N18" s="203"/>
      <c r="O18" s="193" t="s">
        <v>136</v>
      </c>
      <c r="P18" s="92" t="s">
        <v>71</v>
      </c>
      <c r="Q18" s="49">
        <f>(Q4 + 27/(35-27)*Q16 + 23/(35-23)*Q4)/((Q4/(35-23) + Q16/(35-27)))</f>
        <v>30.003660711492131</v>
      </c>
      <c r="R18" s="88" t="s">
        <v>49</v>
      </c>
      <c r="S18" s="88"/>
      <c r="T18" s="95" t="s">
        <v>135</v>
      </c>
      <c r="U18" s="199" t="s">
        <v>92</v>
      </c>
      <c r="V18" s="327">
        <v>750</v>
      </c>
      <c r="W18" s="96" t="s">
        <v>88</v>
      </c>
      <c r="X18" s="232"/>
      <c r="Y18" s="88"/>
      <c r="Z18" s="193" t="s">
        <v>136</v>
      </c>
      <c r="AA18" s="92" t="s">
        <v>71</v>
      </c>
      <c r="AB18" s="327" t="s">
        <v>181</v>
      </c>
      <c r="AC18" s="88" t="s">
        <v>49</v>
      </c>
      <c r="AD18" s="202"/>
      <c r="AE18" s="95" t="s">
        <v>135</v>
      </c>
      <c r="AF18" s="199" t="s">
        <v>92</v>
      </c>
      <c r="AG18" s="327" t="s">
        <v>181</v>
      </c>
      <c r="AH18" s="96" t="s">
        <v>88</v>
      </c>
      <c r="AI18" s="91"/>
      <c r="AJ18" s="88"/>
      <c r="AK18" s="193" t="s">
        <v>136</v>
      </c>
      <c r="AL18" s="92" t="s">
        <v>71</v>
      </c>
      <c r="AM18" s="327" t="s">
        <v>181</v>
      </c>
      <c r="AN18" s="88" t="s">
        <v>49</v>
      </c>
      <c r="AO18" s="88"/>
      <c r="AP18" s="95" t="s">
        <v>135</v>
      </c>
      <c r="AQ18" s="199" t="s">
        <v>92</v>
      </c>
      <c r="AR18" s="327" t="s">
        <v>181</v>
      </c>
      <c r="AS18" s="96" t="s">
        <v>88</v>
      </c>
      <c r="AT18" s="91"/>
      <c r="AU18" s="88"/>
      <c r="AV18" s="193" t="s">
        <v>136</v>
      </c>
      <c r="AW18" s="95" t="s">
        <v>71</v>
      </c>
      <c r="AX18" s="327" t="s">
        <v>181</v>
      </c>
      <c r="AY18" s="88" t="s">
        <v>49</v>
      </c>
      <c r="AZ18" s="88"/>
      <c r="BA18" s="95" t="s">
        <v>135</v>
      </c>
      <c r="BB18" s="199" t="s">
        <v>92</v>
      </c>
      <c r="BC18" s="327" t="s">
        <v>181</v>
      </c>
      <c r="BD18" s="96" t="s">
        <v>88</v>
      </c>
      <c r="BE18" s="88"/>
      <c r="BF18" s="88"/>
      <c r="BG18" s="220"/>
      <c r="BH18" s="88"/>
      <c r="BI18" s="88"/>
      <c r="BJ18" s="91"/>
      <c r="BK18" s="88"/>
      <c r="BL18" s="91"/>
      <c r="BM18" s="88"/>
      <c r="BN18" s="89" t="s">
        <v>241</v>
      </c>
      <c r="BO18" s="88"/>
      <c r="BP18" s="90" t="s">
        <v>218</v>
      </c>
      <c r="BQ18" s="145">
        <f>CONVERT(BQ19,"m","ft")</f>
        <v>3.9370078740157481</v>
      </c>
      <c r="BR18" s="88"/>
      <c r="BS18" s="91"/>
      <c r="BT18" s="88"/>
      <c r="BU18" s="89" t="s">
        <v>241</v>
      </c>
      <c r="BV18" s="90" t="str">
        <f t="shared" si="5"/>
        <v>ft</v>
      </c>
      <c r="BW18" s="145">
        <f>CONVERT(BW19,"m","ft")</f>
        <v>3.9370078740157481</v>
      </c>
      <c r="BX18" s="151">
        <f>CONVERT(BX19,"m","ft")</f>
        <v>3.9370078740157481</v>
      </c>
      <c r="BY18" s="145">
        <f>CONVERT(BY19,"m","ft")</f>
        <v>3.9370078740157481</v>
      </c>
      <c r="BZ18" s="151">
        <f>CONVERT(BZ19,"m","ft")</f>
        <v>3.9370078740157481</v>
      </c>
      <c r="CA18" s="91"/>
      <c r="CB18" s="130"/>
      <c r="CW18" s="7">
        <v>1.135</v>
      </c>
      <c r="CX18" s="7" t="s">
        <v>132</v>
      </c>
    </row>
    <row r="19" spans="1:103">
      <c r="A19" s="88"/>
      <c r="B19" s="88"/>
      <c r="C19" s="88"/>
      <c r="D19" s="193" t="s">
        <v>136</v>
      </c>
      <c r="E19" s="230" t="s">
        <v>124</v>
      </c>
      <c r="F19" s="318">
        <f>_xlfn.XLOOKUP($F$18,$C$33:$C$56,$G$33:$G$56,,1,1)</f>
        <v>1.1583722222222226</v>
      </c>
      <c r="G19" s="88" t="s">
        <v>28</v>
      </c>
      <c r="H19" s="88"/>
      <c r="I19" s="95" t="s">
        <v>135</v>
      </c>
      <c r="J19" s="88" t="s">
        <v>45</v>
      </c>
      <c r="K19" s="47">
        <v>2.1</v>
      </c>
      <c r="L19" s="88"/>
      <c r="M19" s="232"/>
      <c r="N19" s="203"/>
      <c r="O19" s="193" t="s">
        <v>136</v>
      </c>
      <c r="P19" s="230" t="s">
        <v>124</v>
      </c>
      <c r="Q19" s="49">
        <f>_xlfn.XLOOKUP($Q$18,$C$33:$C$56,$R$33:$R$56,,1,1)</f>
        <v>1.1583722222222226</v>
      </c>
      <c r="R19" s="88"/>
      <c r="S19" s="88"/>
      <c r="T19" s="95" t="s">
        <v>135</v>
      </c>
      <c r="U19" s="88" t="s">
        <v>45</v>
      </c>
      <c r="V19" s="25">
        <v>2.1</v>
      </c>
      <c r="W19" s="88"/>
      <c r="X19" s="232"/>
      <c r="Y19" s="88"/>
      <c r="Z19" s="193" t="s">
        <v>136</v>
      </c>
      <c r="AA19" s="230" t="s">
        <v>124</v>
      </c>
      <c r="AB19" s="327" t="s">
        <v>181</v>
      </c>
      <c r="AC19" s="88" t="s">
        <v>28</v>
      </c>
      <c r="AD19" s="88"/>
      <c r="AE19" s="95" t="s">
        <v>135</v>
      </c>
      <c r="AF19" s="88" t="s">
        <v>45</v>
      </c>
      <c r="AG19" s="38">
        <v>2.1</v>
      </c>
      <c r="AI19" s="91"/>
      <c r="AJ19" s="88"/>
      <c r="AK19" s="193" t="s">
        <v>136</v>
      </c>
      <c r="AL19" s="230" t="s">
        <v>124</v>
      </c>
      <c r="AM19" s="327" t="s">
        <v>181</v>
      </c>
      <c r="AN19" s="88" t="s">
        <v>28</v>
      </c>
      <c r="AO19" s="88"/>
      <c r="AP19" s="95" t="s">
        <v>135</v>
      </c>
      <c r="AQ19" s="88" t="s">
        <v>45</v>
      </c>
      <c r="AR19" s="38">
        <v>2.1</v>
      </c>
      <c r="AS19" s="88"/>
      <c r="AT19" s="91"/>
      <c r="AU19" s="88"/>
      <c r="AV19" s="193" t="s">
        <v>136</v>
      </c>
      <c r="AW19" s="195" t="s">
        <v>124</v>
      </c>
      <c r="AX19" s="327" t="s">
        <v>181</v>
      </c>
      <c r="AY19" s="88" t="s">
        <v>28</v>
      </c>
      <c r="AZ19" s="88"/>
      <c r="BA19" s="363" t="s">
        <v>160</v>
      </c>
      <c r="BB19" s="88" t="s">
        <v>45</v>
      </c>
      <c r="BC19" s="38">
        <v>2.1</v>
      </c>
      <c r="BD19" s="88"/>
      <c r="BE19" s="88"/>
      <c r="BF19" s="88"/>
      <c r="BG19" s="220"/>
      <c r="BH19" s="88"/>
      <c r="BI19" s="88"/>
      <c r="BJ19" s="91"/>
      <c r="BK19" s="88"/>
      <c r="BL19" s="91"/>
      <c r="BM19" s="88"/>
      <c r="BN19" s="89"/>
      <c r="BO19" s="88"/>
      <c r="BP19" s="94" t="s">
        <v>219</v>
      </c>
      <c r="BQ19" s="146">
        <v>1.2</v>
      </c>
      <c r="BR19" s="88"/>
      <c r="BS19" s="91"/>
      <c r="BT19" s="88"/>
      <c r="BU19" s="88"/>
      <c r="BV19" s="94" t="str">
        <f t="shared" si="5"/>
        <v>m</v>
      </c>
      <c r="BW19" s="148">
        <v>1.2</v>
      </c>
      <c r="BX19" s="154">
        <v>1.2</v>
      </c>
      <c r="BY19" s="148">
        <v>1.2</v>
      </c>
      <c r="BZ19" s="154">
        <v>1.2</v>
      </c>
      <c r="CA19" s="91"/>
      <c r="CB19" s="130"/>
      <c r="CW19" s="7">
        <v>7.0889999999999995E-2</v>
      </c>
      <c r="CX19" s="7" t="s">
        <v>251</v>
      </c>
    </row>
    <row r="20" spans="1:103">
      <c r="A20" s="88"/>
      <c r="B20" s="88"/>
      <c r="C20" s="88"/>
      <c r="D20" s="193" t="s">
        <v>136</v>
      </c>
      <c r="E20" s="92" t="s">
        <v>138</v>
      </c>
      <c r="F20" s="49">
        <f>SUMPRODUCT(F10:F11,K10:K11)</f>
        <v>7.4820000000000002</v>
      </c>
      <c r="G20" s="88" t="s">
        <v>95</v>
      </c>
      <c r="H20" s="88"/>
      <c r="I20" s="88"/>
      <c r="J20" s="88"/>
      <c r="K20" s="88"/>
      <c r="L20" s="88"/>
      <c r="M20" s="232"/>
      <c r="N20" s="203"/>
      <c r="O20" s="193" t="s">
        <v>136</v>
      </c>
      <c r="P20" s="92" t="s">
        <v>138</v>
      </c>
      <c r="Q20" s="49">
        <f>SUMPRODUCT(Q10:Q11,V10:V11)</f>
        <v>13.15</v>
      </c>
      <c r="R20" s="88"/>
      <c r="S20" s="88"/>
      <c r="T20" s="88"/>
      <c r="U20" s="88"/>
      <c r="V20" s="88"/>
      <c r="W20" s="88"/>
      <c r="X20" s="232"/>
      <c r="Y20" s="88"/>
      <c r="Z20" s="193" t="s">
        <v>136</v>
      </c>
      <c r="AA20" s="92" t="s">
        <v>138</v>
      </c>
      <c r="AB20" s="49">
        <f>SUMPRODUCT(AB10:AB11,AG10:AG11)</f>
        <v>13.15</v>
      </c>
      <c r="AC20" s="88" t="s">
        <v>95</v>
      </c>
      <c r="AD20" s="88"/>
      <c r="AE20" s="88"/>
      <c r="AF20" s="88"/>
      <c r="AG20" s="88"/>
      <c r="AH20" s="88"/>
      <c r="AI20" s="91"/>
      <c r="AJ20" s="88"/>
      <c r="AK20" s="193" t="s">
        <v>136</v>
      </c>
      <c r="AL20" s="92" t="s">
        <v>138</v>
      </c>
      <c r="AM20" s="49">
        <f>SUMPRODUCT(AM10:AM11,AR10:AR11)</f>
        <v>13.15</v>
      </c>
      <c r="AN20" s="88" t="s">
        <v>95</v>
      </c>
      <c r="AO20" s="88"/>
      <c r="AP20" s="88"/>
      <c r="AQ20" s="88"/>
      <c r="AR20" s="88"/>
      <c r="AS20" s="88"/>
      <c r="AT20" s="91"/>
      <c r="AU20" s="88"/>
      <c r="AV20" s="193" t="s">
        <v>136</v>
      </c>
      <c r="AW20" s="88" t="s">
        <v>138</v>
      </c>
      <c r="AX20" s="50">
        <f>SUMPRODUCT(AX10:AX13,BC10:BC13)</f>
        <v>34.378999999999998</v>
      </c>
      <c r="AY20" s="88" t="s">
        <v>95</v>
      </c>
      <c r="AZ20" s="88"/>
      <c r="BA20" s="88"/>
      <c r="BB20" s="88"/>
      <c r="BC20" s="88"/>
      <c r="BD20" s="88"/>
      <c r="BE20" s="88"/>
      <c r="BF20" s="88"/>
      <c r="BG20" s="220"/>
      <c r="BH20" s="88"/>
      <c r="BI20" s="88"/>
      <c r="BJ20" s="91"/>
      <c r="BK20" s="88"/>
      <c r="BL20" s="91"/>
      <c r="BM20" s="88"/>
      <c r="BN20" s="89" t="s">
        <v>221</v>
      </c>
      <c r="BO20" s="88"/>
      <c r="BP20" s="90" t="s">
        <v>222</v>
      </c>
      <c r="BQ20" s="145">
        <f>PI()*BQ16*BQ18</f>
        <v>4.8694783520208835</v>
      </c>
      <c r="BR20" s="88"/>
      <c r="BS20" s="91"/>
      <c r="BT20" s="88"/>
      <c r="BU20" s="89" t="s">
        <v>221</v>
      </c>
      <c r="BV20" s="90" t="str">
        <f t="shared" si="5"/>
        <v>ft2</v>
      </c>
      <c r="BW20" s="145">
        <f>PI()*BW16*BW18</f>
        <v>4.8694783520208835</v>
      </c>
      <c r="BX20" s="151">
        <f>PI()*BX16*BX18</f>
        <v>4.8694783520208835</v>
      </c>
      <c r="BY20" s="145">
        <f>PI()*BY16*BY18</f>
        <v>4.8694783520208835</v>
      </c>
      <c r="BZ20" s="151">
        <f>PI()*BZ16*BZ18</f>
        <v>4.8694783520208835</v>
      </c>
      <c r="CA20" s="91"/>
      <c r="CB20" s="130"/>
      <c r="CW20" s="7" t="s">
        <v>270</v>
      </c>
    </row>
    <row r="21" spans="1:103">
      <c r="A21" s="88"/>
      <c r="B21" s="88"/>
      <c r="C21" s="88"/>
      <c r="D21" s="193" t="s">
        <v>136</v>
      </c>
      <c r="E21" s="92" t="s">
        <v>72</v>
      </c>
      <c r="F21" s="201" t="s">
        <v>181</v>
      </c>
      <c r="G21" s="88"/>
      <c r="H21" s="88"/>
      <c r="I21" s="88"/>
      <c r="J21" s="88"/>
      <c r="K21" s="88"/>
      <c r="L21" s="88"/>
      <c r="M21" s="232"/>
      <c r="N21" s="203"/>
      <c r="O21" s="193" t="s">
        <v>136</v>
      </c>
      <c r="P21" s="92" t="s">
        <v>72</v>
      </c>
      <c r="Q21" s="41">
        <f>((R6-R4)/R4) / ((Q4-Q6)/Q4)</f>
        <v>4.333333333333333</v>
      </c>
      <c r="R21" s="88" t="s">
        <v>165</v>
      </c>
      <c r="S21" s="88"/>
      <c r="T21" s="88"/>
      <c r="U21" s="88"/>
      <c r="V21" s="88"/>
      <c r="W21" s="88"/>
      <c r="X21" s="232"/>
      <c r="Y21" s="88"/>
      <c r="Z21" s="193" t="s">
        <v>136</v>
      </c>
      <c r="AA21" s="92" t="s">
        <v>72</v>
      </c>
      <c r="AB21" s="327" t="s">
        <v>181</v>
      </c>
      <c r="AC21" s="88"/>
      <c r="AD21" s="88"/>
      <c r="AE21" s="88"/>
      <c r="AF21" s="88"/>
      <c r="AG21" s="88"/>
      <c r="AH21" s="88"/>
      <c r="AI21" s="91"/>
      <c r="AJ21" s="88"/>
      <c r="AK21" s="193" t="s">
        <v>136</v>
      </c>
      <c r="AL21" s="92" t="s">
        <v>72</v>
      </c>
      <c r="AM21" s="41">
        <f>((AN6-AN4)/AN4) / ((AM4-AM6)/AM4)</f>
        <v>0.375</v>
      </c>
      <c r="AN21" s="88" t="s">
        <v>165</v>
      </c>
      <c r="AO21" s="88"/>
      <c r="AP21" s="88"/>
      <c r="AQ21" s="88"/>
      <c r="AR21" s="88"/>
      <c r="AS21" s="88"/>
      <c r="AT21" s="91"/>
      <c r="AU21" s="88"/>
      <c r="AV21" s="193" t="s">
        <v>136</v>
      </c>
      <c r="AW21" s="88" t="s">
        <v>72</v>
      </c>
      <c r="AX21" s="327" t="s">
        <v>181</v>
      </c>
      <c r="AY21" s="88" t="s">
        <v>165</v>
      </c>
      <c r="AZ21" s="88"/>
      <c r="BA21" s="88"/>
      <c r="BB21" s="88"/>
      <c r="BC21" s="88"/>
      <c r="BD21" s="88"/>
      <c r="BE21" s="88"/>
      <c r="BF21" s="88"/>
      <c r="BG21" s="220"/>
      <c r="BH21" s="88"/>
      <c r="BI21" s="88"/>
      <c r="BJ21" s="91"/>
      <c r="BK21" s="88"/>
      <c r="BL21" s="91"/>
      <c r="BM21" s="88"/>
      <c r="BN21" s="89" t="s">
        <v>224</v>
      </c>
      <c r="BO21" s="92" t="s">
        <v>385</v>
      </c>
      <c r="BP21" s="90" t="s">
        <v>223</v>
      </c>
      <c r="BQ21" s="144">
        <v>3</v>
      </c>
      <c r="BR21" s="88"/>
      <c r="BS21" s="91"/>
      <c r="BT21" s="92"/>
      <c r="BU21" s="89" t="s">
        <v>224</v>
      </c>
      <c r="BV21" s="90" t="str">
        <f t="shared" si="5"/>
        <v>Btu/h per ft2</v>
      </c>
      <c r="BW21" s="142">
        <v>3</v>
      </c>
      <c r="BX21" s="147">
        <v>3</v>
      </c>
      <c r="BY21" s="142">
        <v>3</v>
      </c>
      <c r="BZ21" s="147">
        <v>3</v>
      </c>
      <c r="CA21" s="91"/>
      <c r="CB21" s="130"/>
      <c r="CW21" s="7" t="s">
        <v>271</v>
      </c>
    </row>
    <row r="22" spans="1:103">
      <c r="A22" s="88"/>
      <c r="B22" s="88"/>
      <c r="C22" s="88"/>
      <c r="D22" s="91"/>
      <c r="E22" s="88"/>
      <c r="F22" s="88"/>
      <c r="G22" s="88"/>
      <c r="I22" s="88"/>
      <c r="J22" s="200" t="s">
        <v>403</v>
      </c>
      <c r="K22" s="88"/>
      <c r="L22" s="88"/>
      <c r="M22" s="91"/>
      <c r="N22" s="88"/>
      <c r="O22" s="91"/>
      <c r="P22" s="88"/>
      <c r="Q22" s="88"/>
      <c r="R22" s="88"/>
      <c r="S22" s="88"/>
      <c r="T22" s="88"/>
      <c r="U22" s="88"/>
      <c r="V22" s="88"/>
      <c r="W22" s="88"/>
      <c r="X22" s="91"/>
      <c r="Y22" s="88"/>
      <c r="Z22" s="88"/>
      <c r="AA22" s="88"/>
      <c r="AB22" s="88"/>
      <c r="AC22" s="122"/>
      <c r="AD22" s="88"/>
      <c r="AE22" s="88"/>
      <c r="AF22" s="88"/>
      <c r="AG22" s="88"/>
      <c r="AH22" s="88"/>
      <c r="AI22" s="91"/>
      <c r="AJ22" s="88"/>
      <c r="AK22" s="88"/>
      <c r="AL22" s="88"/>
      <c r="AM22" s="88"/>
      <c r="AN22" s="88"/>
      <c r="AO22" s="88"/>
      <c r="AP22" s="88"/>
      <c r="AQ22" s="88"/>
      <c r="AR22" s="88"/>
      <c r="AS22" s="88"/>
      <c r="AT22" s="91"/>
      <c r="AU22" s="88"/>
      <c r="AV22" s="88"/>
      <c r="AW22" s="88"/>
      <c r="AX22" s="88"/>
      <c r="AY22" s="88"/>
      <c r="AZ22" s="88"/>
      <c r="BA22" s="88"/>
      <c r="BB22" s="88"/>
      <c r="BC22" s="88"/>
      <c r="BD22" s="88"/>
      <c r="BE22" s="88"/>
      <c r="BF22" s="88"/>
      <c r="BG22" s="220"/>
      <c r="BH22" s="88"/>
      <c r="BI22" s="88"/>
      <c r="BJ22" s="91"/>
      <c r="BK22" s="88"/>
      <c r="BL22" s="91"/>
      <c r="BM22" s="88"/>
      <c r="BN22" s="89" t="s">
        <v>225</v>
      </c>
      <c r="BO22" s="92" t="s">
        <v>382</v>
      </c>
      <c r="BP22" s="90" t="s">
        <v>216</v>
      </c>
      <c r="BQ22" s="144">
        <f>CONVERT(BQ23,"C","F")</f>
        <v>86</v>
      </c>
      <c r="BR22" s="88"/>
      <c r="BS22" s="91"/>
      <c r="BT22" s="92"/>
      <c r="BU22" s="89" t="s">
        <v>315</v>
      </c>
      <c r="BV22" s="90" t="str">
        <f t="shared" si="5"/>
        <v>ºF</v>
      </c>
      <c r="BW22" s="144">
        <f>CONVERT(BW23,"C","F")</f>
        <v>95</v>
      </c>
      <c r="BX22" s="144">
        <f>CONVERT(BX23,"C","F")</f>
        <v>104</v>
      </c>
      <c r="BY22" s="144">
        <f>CONVERT(BY23,"C","F")</f>
        <v>83</v>
      </c>
      <c r="BZ22" s="144">
        <f>CONVERT(BZ23,"C","F")</f>
        <v>92</v>
      </c>
      <c r="CA22" s="91"/>
      <c r="CB22" s="130"/>
      <c r="CN22" s="18" t="s">
        <v>274</v>
      </c>
      <c r="CO22" s="7">
        <f>CO24/CO26</f>
        <v>6.2458149779735676E-2</v>
      </c>
      <c r="CP22" s="7">
        <f t="shared" ref="CP22:CS22" si="6">CP24/CP26</f>
        <v>6.2430795847750867E-2</v>
      </c>
      <c r="CQ22" s="7">
        <f t="shared" si="6"/>
        <v>6.2446898895497018E-2</v>
      </c>
      <c r="CR22" s="7">
        <f t="shared" si="6"/>
        <v>6.2443703085904925E-2</v>
      </c>
      <c r="CS22" s="7">
        <f t="shared" si="6"/>
        <v>6.2446808510638302E-2</v>
      </c>
    </row>
    <row r="23" spans="1:103">
      <c r="A23" s="328" t="s">
        <v>475</v>
      </c>
      <c r="B23" s="107"/>
      <c r="C23" s="88"/>
      <c r="D23" s="91"/>
      <c r="E23" s="92" t="s">
        <v>70</v>
      </c>
      <c r="F23" s="23">
        <f>10/24*(SUMPRODUCT(B39:B56,H39:H56))</f>
        <v>346.92242361111107</v>
      </c>
      <c r="G23" s="88"/>
      <c r="H23" s="88"/>
      <c r="I23" s="88"/>
      <c r="J23" s="88"/>
      <c r="K23" s="88"/>
      <c r="L23" s="88"/>
      <c r="M23" s="232"/>
      <c r="N23" s="203"/>
      <c r="O23" s="91"/>
      <c r="P23" s="92" t="s">
        <v>70</v>
      </c>
      <c r="Q23" s="23">
        <f>10/24*(SUMPRODUCT(B39:B56,S39:S56))</f>
        <v>346.92242361111107</v>
      </c>
      <c r="R23" s="88"/>
      <c r="S23" s="88"/>
      <c r="T23" s="88"/>
      <c r="U23" s="88"/>
      <c r="V23" s="88"/>
      <c r="W23" s="88"/>
      <c r="X23" s="232"/>
      <c r="Y23" s="88"/>
      <c r="Z23" s="91"/>
      <c r="AA23" s="92" t="s">
        <v>70</v>
      </c>
      <c r="AB23" s="23">
        <f>10/24*(SUMPRODUCT(B33:B56,AC33:AC56))</f>
        <v>2928.1875000000005</v>
      </c>
      <c r="AC23" s="88"/>
      <c r="AD23" s="88"/>
      <c r="AE23" s="88"/>
      <c r="AF23" s="88"/>
      <c r="AG23" s="88"/>
      <c r="AH23" s="88"/>
      <c r="AI23" s="91"/>
      <c r="AJ23" s="88"/>
      <c r="AK23" s="91"/>
      <c r="AL23" s="92" t="s">
        <v>70</v>
      </c>
      <c r="AM23" s="23">
        <f>10/24*(SUMPRODUCT($B33:$B56,AN33:AN56))</f>
        <v>2928.1875000000005</v>
      </c>
      <c r="AN23" s="88"/>
      <c r="AO23" s="88"/>
      <c r="AP23" s="88"/>
      <c r="AQ23" s="88"/>
      <c r="AR23" s="88"/>
      <c r="AS23" s="88"/>
      <c r="AT23" s="91"/>
      <c r="AU23" s="88"/>
      <c r="AV23" s="91"/>
      <c r="AW23" s="92" t="s">
        <v>70</v>
      </c>
      <c r="AX23" s="23">
        <f>AX4*BD14</f>
        <v>875</v>
      </c>
      <c r="AY23" s="88" t="s">
        <v>191</v>
      </c>
      <c r="AZ23" s="88"/>
      <c r="BA23" s="88"/>
      <c r="BB23" s="88"/>
      <c r="BC23" s="88"/>
      <c r="BD23" s="88"/>
      <c r="BE23" s="88"/>
      <c r="BF23" s="88"/>
      <c r="BG23" s="220"/>
      <c r="BH23" s="88"/>
      <c r="BI23" s="88"/>
      <c r="BJ23" s="91"/>
      <c r="BK23" s="88"/>
      <c r="BL23" s="91"/>
      <c r="BM23" s="88"/>
      <c r="BN23" s="89"/>
      <c r="BO23" s="92"/>
      <c r="BP23" s="94" t="s">
        <v>49</v>
      </c>
      <c r="BQ23" s="81">
        <v>30</v>
      </c>
      <c r="BR23" s="88"/>
      <c r="BS23" s="91"/>
      <c r="BT23" s="88"/>
      <c r="BU23" s="88"/>
      <c r="BV23" s="94" t="str">
        <f t="shared" si="5"/>
        <v>ºC</v>
      </c>
      <c r="BW23" s="75">
        <f>BX7</f>
        <v>35</v>
      </c>
      <c r="BX23" s="76">
        <f>BX7+5</f>
        <v>40</v>
      </c>
      <c r="BY23" s="75">
        <f>BZ7</f>
        <v>28.333333333333332</v>
      </c>
      <c r="BZ23" s="132">
        <f>BZ7+5</f>
        <v>33.333333333333329</v>
      </c>
      <c r="CA23" s="91"/>
      <c r="CB23" s="130"/>
      <c r="CW23" s="7" t="s">
        <v>266</v>
      </c>
    </row>
    <row r="24" spans="1:103">
      <c r="A24" s="23" t="s">
        <v>476</v>
      </c>
      <c r="B24" s="88"/>
      <c r="C24" s="88"/>
      <c r="D24" s="91"/>
      <c r="E24" s="92" t="s">
        <v>90</v>
      </c>
      <c r="F24" s="22">
        <f>SUMPRODUCT($B$39:$B$56,$H$39:$H$56)/(SUMPRODUCT($B$39:$B$56,$L$39:$L$56))</f>
        <v>2.0117111973853494</v>
      </c>
      <c r="G24" s="88"/>
      <c r="H24" s="88"/>
      <c r="I24" s="88"/>
      <c r="J24" s="88"/>
      <c r="K24" s="88"/>
      <c r="L24" s="88"/>
      <c r="M24" s="232"/>
      <c r="N24" s="203"/>
      <c r="O24" s="91"/>
      <c r="P24" s="92" t="s">
        <v>90</v>
      </c>
      <c r="Q24" s="22">
        <f>SUMPRODUCT($B$39:$B$56,$S$39:$S$56)/(SUMPRODUCT($B$39:$B$56,$W$39:$W$56))</f>
        <v>3.3975603247316402</v>
      </c>
      <c r="R24" s="88"/>
      <c r="S24" s="88"/>
      <c r="T24" s="88"/>
      <c r="U24" s="88"/>
      <c r="V24" s="88"/>
      <c r="W24" s="88"/>
      <c r="X24" s="232"/>
      <c r="Y24" s="88"/>
      <c r="Z24" s="91"/>
      <c r="AA24" s="92" t="s">
        <v>90</v>
      </c>
      <c r="AB24" s="22">
        <f>SUMPRODUCT($B$33:$B$56,$AA$33:$AA$56)/(SUMPRODUCT($B$33:$B$56,$AG$33:$AG$56))</f>
        <v>2.2768985782206457</v>
      </c>
      <c r="AC24" s="88"/>
      <c r="AD24" s="88"/>
      <c r="AE24" s="88"/>
      <c r="AF24" s="88"/>
      <c r="AG24" s="88"/>
      <c r="AH24" s="88"/>
      <c r="AI24" s="91"/>
      <c r="AJ24" s="88"/>
      <c r="AK24" s="91"/>
      <c r="AL24" s="92" t="s">
        <v>90</v>
      </c>
      <c r="AM24" s="22">
        <f>SUMPRODUCT($B$33:$B$56,$AL$33:$AL$56)/(SUMPRODUCT($B$33:$B$56,$AR$33:$AR$56))</f>
        <v>3.0234146386157632</v>
      </c>
      <c r="AN24" s="88"/>
      <c r="AO24" s="88"/>
      <c r="AP24" s="88"/>
      <c r="AQ24" s="88"/>
      <c r="AR24" s="88"/>
      <c r="AS24" s="88"/>
      <c r="AT24" s="91"/>
      <c r="AU24" s="88"/>
      <c r="AV24" s="91"/>
      <c r="AW24" s="92" t="s">
        <v>90</v>
      </c>
      <c r="AX24" s="22">
        <f>SUMPRODUCT($B$33:$B$56,$AW$33:$AW$56)/(SUMPRODUCT($B$33:$B$56,$BB$33:$BB$56))</f>
        <v>5.3660515250556582</v>
      </c>
      <c r="AY24" s="88"/>
      <c r="AZ24" s="88"/>
      <c r="BA24" s="88"/>
      <c r="BB24" s="88"/>
      <c r="BC24" s="88"/>
      <c r="BD24" s="88"/>
      <c r="BE24" s="88"/>
      <c r="BF24" s="88"/>
      <c r="BG24" s="220"/>
      <c r="BH24" s="88"/>
      <c r="BI24" s="88"/>
      <c r="BJ24" s="91"/>
      <c r="BK24" s="88"/>
      <c r="BL24" s="91"/>
      <c r="BM24" s="88"/>
      <c r="BN24" s="89" t="s">
        <v>384</v>
      </c>
      <c r="BO24" s="92" t="s">
        <v>383</v>
      </c>
      <c r="BP24" s="90" t="s">
        <v>216</v>
      </c>
      <c r="BQ24" s="61">
        <v>80</v>
      </c>
      <c r="BR24" s="88"/>
      <c r="BS24" s="91"/>
      <c r="BT24" s="88"/>
      <c r="BU24" s="89" t="s">
        <v>232</v>
      </c>
      <c r="BV24" s="90" t="str">
        <f t="shared" si="5"/>
        <v>ºF</v>
      </c>
      <c r="BW24" s="61">
        <v>80</v>
      </c>
      <c r="BX24" s="8">
        <v>80</v>
      </c>
      <c r="BY24" s="61">
        <v>80</v>
      </c>
      <c r="BZ24" s="8">
        <v>80</v>
      </c>
      <c r="CA24" s="91"/>
      <c r="CB24" s="130"/>
      <c r="CN24" s="18" t="s">
        <v>272</v>
      </c>
      <c r="CO24" s="7">
        <f>CW19</f>
        <v>7.0889999999999995E-2</v>
      </c>
      <c r="CP24" s="7">
        <f>CW26</f>
        <v>7.2169999999999998E-2</v>
      </c>
      <c r="CQ24" s="7">
        <f>CW33</f>
        <v>7.3499999999999996E-2</v>
      </c>
      <c r="CR24" s="7">
        <f>CW40</f>
        <v>7.4870000000000006E-2</v>
      </c>
      <c r="CS24" s="7">
        <f>CW47</f>
        <v>7.6310000000000003E-2</v>
      </c>
      <c r="CW24" s="7" t="s">
        <v>215</v>
      </c>
      <c r="CX24" s="7">
        <v>90</v>
      </c>
      <c r="CY24" s="13">
        <f>CONVERT(CX24,"F","C")</f>
        <v>32.222222222222221</v>
      </c>
    </row>
    <row r="25" spans="1:103" ht="15.75" thickBot="1">
      <c r="A25" s="88"/>
      <c r="B25" s="88"/>
      <c r="C25" s="88"/>
      <c r="D25" s="91"/>
      <c r="E25" s="92" t="s">
        <v>101</v>
      </c>
      <c r="F25" s="24">
        <f>(F23/F24)+F20</f>
        <v>179.93340558048851</v>
      </c>
      <c r="G25" s="248" t="s">
        <v>410</v>
      </c>
      <c r="H25" s="88"/>
      <c r="I25" s="88"/>
      <c r="J25" s="88"/>
      <c r="K25" s="88"/>
      <c r="L25" s="88"/>
      <c r="M25" s="232"/>
      <c r="N25" s="203"/>
      <c r="O25" s="91"/>
      <c r="P25" s="92" t="s">
        <v>101</v>
      </c>
      <c r="Q25" s="24">
        <f>(Q23/Q24)+Q20</f>
        <v>115.25927561338094</v>
      </c>
      <c r="R25" s="248" t="s">
        <v>410</v>
      </c>
      <c r="S25" s="88"/>
      <c r="T25" s="88"/>
      <c r="U25" s="88"/>
      <c r="V25" s="88"/>
      <c r="W25" s="88"/>
      <c r="X25" s="232"/>
      <c r="Y25" s="88"/>
      <c r="Z25" s="91"/>
      <c r="AA25" s="92" t="s">
        <v>101</v>
      </c>
      <c r="AB25" s="24">
        <f>(AB23/AB24)+AB20</f>
        <v>1299.1921311731528</v>
      </c>
      <c r="AC25" s="248" t="s">
        <v>410</v>
      </c>
      <c r="AD25" s="88"/>
      <c r="AE25" s="88"/>
      <c r="AF25" s="88"/>
      <c r="AG25" s="88"/>
      <c r="AH25" s="88"/>
      <c r="AI25" s="91"/>
      <c r="AJ25" s="88"/>
      <c r="AK25" s="91"/>
      <c r="AL25" s="92" t="s">
        <v>101</v>
      </c>
      <c r="AM25" s="24">
        <f>(AM23/AM24)+AM20</f>
        <v>981.6534472614178</v>
      </c>
      <c r="AN25" s="248" t="s">
        <v>410</v>
      </c>
      <c r="AO25" s="88"/>
      <c r="AP25" s="88"/>
      <c r="AQ25" s="88"/>
      <c r="AR25" s="88"/>
      <c r="AS25" s="88"/>
      <c r="AT25" s="91"/>
      <c r="AU25" s="88"/>
      <c r="AV25" s="91"/>
      <c r="AW25" s="92" t="s">
        <v>101</v>
      </c>
      <c r="AX25" s="24">
        <f>(AX23/AX24)+AX20</f>
        <v>197.44116888048316</v>
      </c>
      <c r="AY25" s="248" t="s">
        <v>410</v>
      </c>
      <c r="AZ25" s="88"/>
      <c r="BA25" s="88"/>
      <c r="BB25" s="88"/>
      <c r="BC25" s="88"/>
      <c r="BD25" s="88"/>
      <c r="BE25" s="88"/>
      <c r="BF25" s="88"/>
      <c r="BG25" s="220"/>
      <c r="BH25" s="88"/>
      <c r="BI25" s="88"/>
      <c r="BJ25" s="91"/>
      <c r="BK25" s="88"/>
      <c r="BL25" s="91"/>
      <c r="BM25" s="88"/>
      <c r="BN25" s="89"/>
      <c r="BO25" s="88"/>
      <c r="BP25" s="94" t="s">
        <v>49</v>
      </c>
      <c r="BQ25" s="150">
        <f>BQ7</f>
        <v>26.666666666666664</v>
      </c>
      <c r="BR25" s="88"/>
      <c r="BS25" s="91"/>
      <c r="BT25" s="88"/>
      <c r="BU25" s="89"/>
      <c r="BV25" s="94" t="str">
        <f t="shared" si="5"/>
        <v>ºC</v>
      </c>
      <c r="BW25" s="75">
        <f>CONVERT(BW24,"F","C")</f>
        <v>26.666666666666664</v>
      </c>
      <c r="BX25" s="75">
        <f>CONVERT(BX24,"F","C")</f>
        <v>26.666666666666664</v>
      </c>
      <c r="BY25" s="75">
        <f>CONVERT(BY24,"F","C")</f>
        <v>26.666666666666664</v>
      </c>
      <c r="BZ25" s="133">
        <f>CONVERT(BZ24,"F","C")</f>
        <v>26.666666666666664</v>
      </c>
      <c r="CA25" s="91"/>
      <c r="CB25" s="130"/>
      <c r="CN25" s="18" t="s">
        <v>216</v>
      </c>
      <c r="CO25" s="7">
        <v>100</v>
      </c>
      <c r="CP25" s="7">
        <v>90</v>
      </c>
      <c r="CQ25" s="7">
        <v>80</v>
      </c>
      <c r="CR25" s="7">
        <v>70</v>
      </c>
      <c r="CS25" s="7">
        <v>60</v>
      </c>
      <c r="CW25" s="7">
        <v>1.1559999999999999</v>
      </c>
      <c r="CX25" s="7" t="s">
        <v>132</v>
      </c>
    </row>
    <row r="26" spans="1:103" ht="19.5" thickBot="1">
      <c r="A26" s="88"/>
      <c r="B26" s="88"/>
      <c r="C26" s="88"/>
      <c r="D26" s="91"/>
      <c r="E26" s="92" t="s">
        <v>93</v>
      </c>
      <c r="F26" s="246">
        <f>F23/F25</f>
        <v>1.9280601203089238</v>
      </c>
      <c r="G26" s="247">
        <f>F26/G4</f>
        <v>0.64268670676964124</v>
      </c>
      <c r="H26" s="88"/>
      <c r="I26" s="88"/>
      <c r="J26" s="88"/>
      <c r="K26" s="88"/>
      <c r="L26" s="88"/>
      <c r="M26" s="232"/>
      <c r="N26" s="203"/>
      <c r="O26" s="91"/>
      <c r="P26" s="92" t="s">
        <v>93</v>
      </c>
      <c r="Q26" s="246">
        <f>Q23/Q25</f>
        <v>3.0099306261025589</v>
      </c>
      <c r="R26" s="247">
        <f>Q26/R4</f>
        <v>1.003310208700853</v>
      </c>
      <c r="S26" s="88"/>
      <c r="T26" s="88"/>
      <c r="U26" s="88"/>
      <c r="V26" s="88"/>
      <c r="W26" s="88"/>
      <c r="X26" s="232"/>
      <c r="Y26" s="88"/>
      <c r="Z26" s="91"/>
      <c r="AA26" s="92" t="s">
        <v>93</v>
      </c>
      <c r="AB26" s="246">
        <f>AB23/AB25</f>
        <v>2.2538525517052563</v>
      </c>
      <c r="AC26" s="247">
        <f>AB26/AC4</f>
        <v>0.86686636604048317</v>
      </c>
      <c r="AD26" s="88"/>
      <c r="AE26" s="88"/>
      <c r="AF26" s="88"/>
      <c r="AG26" s="88"/>
      <c r="AH26" s="88"/>
      <c r="AI26" s="91"/>
      <c r="AJ26" s="88"/>
      <c r="AK26" s="91"/>
      <c r="AL26" s="92" t="s">
        <v>93</v>
      </c>
      <c r="AM26" s="57">
        <f>AM23/AM25</f>
        <v>2.9829136832035323</v>
      </c>
      <c r="AN26" s="247">
        <f>AM26/AN4</f>
        <v>1.14727449353982</v>
      </c>
      <c r="AO26" s="88"/>
      <c r="AP26" s="88"/>
      <c r="AQ26" s="88"/>
      <c r="AR26" s="88"/>
      <c r="AS26" s="88"/>
      <c r="AT26" s="91"/>
      <c r="AU26" s="88"/>
      <c r="AV26" s="91"/>
      <c r="AW26" s="92" t="s">
        <v>93</v>
      </c>
      <c r="AX26" s="246">
        <f>AX23/AX25</f>
        <v>4.4316998575391473</v>
      </c>
      <c r="AY26" s="247">
        <f>AX26/AY4</f>
        <v>0.8863399715078295</v>
      </c>
      <c r="AZ26" s="88"/>
      <c r="BA26" s="88"/>
      <c r="BB26" s="88"/>
      <c r="BC26" s="88"/>
      <c r="BD26" s="88"/>
      <c r="BE26" s="88"/>
      <c r="BF26" s="88"/>
      <c r="BG26" s="108"/>
      <c r="BH26" s="88"/>
      <c r="BI26" s="88"/>
      <c r="BJ26" s="91"/>
      <c r="BK26" s="88"/>
      <c r="BL26" s="91"/>
      <c r="BM26" s="88"/>
      <c r="BN26" s="88"/>
      <c r="BO26" s="88"/>
      <c r="BP26" s="90"/>
      <c r="BQ26" s="91"/>
      <c r="BR26" s="88"/>
      <c r="BS26" s="91"/>
      <c r="BT26" s="88"/>
      <c r="BU26" s="88"/>
      <c r="BV26" s="90"/>
      <c r="BW26" s="144">
        <f t="shared" ref="BW26:BZ26" si="7">BW21*BW20*(BW22-BW24)</f>
        <v>219.12652584093973</v>
      </c>
      <c r="BX26" s="137">
        <f t="shared" si="7"/>
        <v>350.60244134550362</v>
      </c>
      <c r="BY26" s="144">
        <f t="shared" si="7"/>
        <v>43.825305168187953</v>
      </c>
      <c r="BZ26" s="137">
        <f t="shared" si="7"/>
        <v>175.30122067275181</v>
      </c>
      <c r="CA26" s="91"/>
      <c r="CB26" s="130"/>
      <c r="CN26" s="18" t="s">
        <v>273</v>
      </c>
      <c r="CO26" s="7">
        <f>CW18</f>
        <v>1.135</v>
      </c>
      <c r="CP26" s="7">
        <f>CW25</f>
        <v>1.1559999999999999</v>
      </c>
      <c r="CQ26" s="7">
        <f>CW32</f>
        <v>1.177</v>
      </c>
      <c r="CR26" s="7">
        <f>CW39</f>
        <v>1.1990000000000001</v>
      </c>
      <c r="CS26" s="7">
        <f>CW46</f>
        <v>1.222</v>
      </c>
      <c r="CT26" s="64" t="s">
        <v>275</v>
      </c>
      <c r="CU26" s="63">
        <f t="array" ref="CU26:CV26">LINEST(CO24:CS24,CO27:CS27,TRUE,)</f>
        <v>-2.4372000000000047E-4</v>
      </c>
      <c r="CV26" s="63">
        <v>8.0047199999999999E-2</v>
      </c>
      <c r="CW26" s="7">
        <v>7.2169999999999998E-2</v>
      </c>
      <c r="CX26" s="7" t="s">
        <v>251</v>
      </c>
    </row>
    <row r="27" spans="1:103">
      <c r="A27" s="88"/>
      <c r="B27" s="88"/>
      <c r="C27" s="147"/>
      <c r="D27" s="91"/>
      <c r="E27" s="92" t="s">
        <v>140</v>
      </c>
      <c r="F27" s="27">
        <f>F26/$K$19 *$F$15</f>
        <v>0.87221767347308454</v>
      </c>
      <c r="G27" s="88"/>
      <c r="H27" s="88"/>
      <c r="I27" s="88"/>
      <c r="J27" s="88"/>
      <c r="K27" s="88"/>
      <c r="L27" s="88"/>
      <c r="M27" s="232"/>
      <c r="N27" s="203"/>
      <c r="O27" s="91"/>
      <c r="P27" s="92" t="s">
        <v>140</v>
      </c>
      <c r="Q27" s="27">
        <f>Q26/$V$19 *$Q$15</f>
        <v>1.3616352832368719</v>
      </c>
      <c r="R27" s="88"/>
      <c r="S27" s="88"/>
      <c r="T27" s="88"/>
      <c r="U27" s="88"/>
      <c r="V27" s="88"/>
      <c r="W27" s="88"/>
      <c r="X27" s="232"/>
      <c r="Y27" s="88"/>
      <c r="Z27" s="91"/>
      <c r="AA27" s="92" t="s">
        <v>140</v>
      </c>
      <c r="AB27" s="27">
        <f>AB26/$AG$19 *$AB$15</f>
        <v>1.0195999638666635</v>
      </c>
      <c r="AC27" s="88"/>
      <c r="AD27" s="88"/>
      <c r="AE27" s="88"/>
      <c r="AF27" s="88"/>
      <c r="AG27" s="88"/>
      <c r="AH27" s="88"/>
      <c r="AI27" s="91"/>
      <c r="AJ27" s="88"/>
      <c r="AK27" s="91"/>
      <c r="AL27" s="92" t="s">
        <v>140</v>
      </c>
      <c r="AM27" s="27">
        <f>AM26/$AR$19 *$AM$15</f>
        <v>1.3494133328777884</v>
      </c>
      <c r="AN27" s="88"/>
      <c r="AO27" s="88"/>
      <c r="AP27" s="88"/>
      <c r="AQ27" s="88"/>
      <c r="AR27" s="88"/>
      <c r="AS27" s="88"/>
      <c r="AT27" s="91"/>
      <c r="AU27" s="88"/>
      <c r="AV27" s="91"/>
      <c r="AW27" s="92" t="s">
        <v>140</v>
      </c>
      <c r="AX27" s="27">
        <f>AX26/$BC$19 *$AX$15</f>
        <v>2.0048166022200906</v>
      </c>
      <c r="AY27" s="88"/>
      <c r="AZ27" s="88"/>
      <c r="BA27" s="88"/>
      <c r="BB27" s="88"/>
      <c r="BC27" s="88"/>
      <c r="BD27" s="88"/>
      <c r="BE27" s="88"/>
      <c r="BF27" s="88"/>
      <c r="BG27" s="108"/>
      <c r="BH27" s="88"/>
      <c r="BI27" s="88"/>
      <c r="BJ27" s="91"/>
      <c r="BK27" s="88"/>
      <c r="BL27" s="91"/>
      <c r="BM27" s="88"/>
      <c r="BN27" s="89"/>
      <c r="BO27" s="88"/>
      <c r="BP27" s="90"/>
      <c r="BQ27" s="493" t="s">
        <v>233</v>
      </c>
      <c r="BR27" s="495"/>
      <c r="BS27" s="118"/>
      <c r="BT27" s="92"/>
      <c r="BU27" s="93"/>
      <c r="BV27" s="100"/>
      <c r="BW27" s="493" t="s">
        <v>235</v>
      </c>
      <c r="BX27" s="494"/>
      <c r="BY27" s="493" t="s">
        <v>236</v>
      </c>
      <c r="BZ27" s="495"/>
      <c r="CA27" s="91"/>
      <c r="CB27" s="130"/>
      <c r="CN27" s="18" t="s">
        <v>49</v>
      </c>
      <c r="CO27" s="13">
        <f>CONVERT(CO25,"F","C")</f>
        <v>37.777777777777779</v>
      </c>
      <c r="CP27" s="13">
        <f t="shared" ref="CP27:CS27" si="8">CONVERT(CP25,"F","C")</f>
        <v>32.222222222222221</v>
      </c>
      <c r="CQ27" s="13">
        <f t="shared" si="8"/>
        <v>26.666666666666664</v>
      </c>
      <c r="CR27" s="13">
        <f t="shared" si="8"/>
        <v>21.111111111111111</v>
      </c>
      <c r="CS27" s="13">
        <f t="shared" si="8"/>
        <v>15.555555555555555</v>
      </c>
      <c r="CW27" s="7" t="s">
        <v>267</v>
      </c>
    </row>
    <row r="28" spans="1:103">
      <c r="A28" s="88"/>
      <c r="B28" s="88"/>
      <c r="C28" s="88"/>
      <c r="D28" s="119"/>
      <c r="E28" s="88"/>
      <c r="F28" s="88"/>
      <c r="G28" s="88"/>
      <c r="H28" s="88"/>
      <c r="I28" s="88"/>
      <c r="J28" s="88"/>
      <c r="K28" s="88"/>
      <c r="L28" s="88"/>
      <c r="M28" s="232"/>
      <c r="N28" s="203"/>
      <c r="O28" s="119"/>
      <c r="P28" s="88"/>
      <c r="Q28" s="88"/>
      <c r="R28" s="88"/>
      <c r="S28" s="88"/>
      <c r="T28" s="88"/>
      <c r="U28" s="88"/>
      <c r="V28" s="88"/>
      <c r="W28" s="88"/>
      <c r="X28" s="232"/>
      <c r="Y28" s="88"/>
      <c r="Z28" s="91"/>
      <c r="AA28" s="88"/>
      <c r="AB28" s="88"/>
      <c r="AC28" s="88"/>
      <c r="AD28" s="88"/>
      <c r="AE28" s="88"/>
      <c r="AF28" s="88"/>
      <c r="AG28" s="88"/>
      <c r="AH28" s="88"/>
      <c r="AI28" s="91"/>
      <c r="AJ28" s="88"/>
      <c r="AK28" s="91"/>
      <c r="AL28" s="88"/>
      <c r="AM28" s="88"/>
      <c r="AN28" s="88"/>
      <c r="AO28" s="88"/>
      <c r="AP28" s="88"/>
      <c r="AQ28" s="88"/>
      <c r="AR28" s="88"/>
      <c r="AS28" s="88"/>
      <c r="AT28" s="91"/>
      <c r="AU28" s="88"/>
      <c r="AV28" s="88"/>
      <c r="AW28" s="88"/>
      <c r="AX28" s="88"/>
      <c r="AY28" s="88"/>
      <c r="AZ28" s="88"/>
      <c r="BA28" s="88"/>
      <c r="BB28" s="88"/>
      <c r="BC28" s="88"/>
      <c r="BD28" s="88"/>
      <c r="BE28" s="88"/>
      <c r="BF28" s="88"/>
      <c r="BG28" s="88"/>
      <c r="BH28" s="88"/>
      <c r="BI28" s="88"/>
      <c r="BJ28" s="91"/>
      <c r="BK28" s="88"/>
      <c r="BL28" s="91"/>
      <c r="BM28" s="103"/>
      <c r="BN28" s="103"/>
      <c r="BO28" s="104" t="s">
        <v>314</v>
      </c>
      <c r="BP28" s="105"/>
      <c r="BQ28" s="510">
        <f>BQ21*BQ20*(BQ22-BQ24)</f>
        <v>87.650610336375905</v>
      </c>
      <c r="BR28" s="511"/>
      <c r="BS28" s="119"/>
      <c r="BT28" s="103"/>
      <c r="BU28" s="103"/>
      <c r="BV28" s="105"/>
      <c r="BW28" s="501">
        <f>SUM(BW26:BX26)</f>
        <v>569.72896718644336</v>
      </c>
      <c r="BX28" s="502"/>
      <c r="BY28" s="501">
        <f>SUM(BY26:BZ26)</f>
        <v>219.12652584093976</v>
      </c>
      <c r="BZ28" s="503"/>
      <c r="CA28" s="91"/>
      <c r="CB28" s="130"/>
      <c r="CW28" s="7" t="s">
        <v>268</v>
      </c>
    </row>
    <row r="29" spans="1:103" s="17" customFormat="1" ht="32.25">
      <c r="A29" s="328" t="s">
        <v>480</v>
      </c>
      <c r="B29" s="107"/>
      <c r="C29" s="107"/>
      <c r="D29" s="31" t="s">
        <v>144</v>
      </c>
      <c r="E29" s="32"/>
      <c r="F29" s="32"/>
      <c r="G29" s="32"/>
      <c r="H29" s="32"/>
      <c r="I29" s="32"/>
      <c r="J29" s="32"/>
      <c r="K29" s="32"/>
      <c r="L29" s="32"/>
      <c r="M29" s="233"/>
      <c r="N29" s="107"/>
      <c r="O29" s="31" t="s">
        <v>145</v>
      </c>
      <c r="P29" s="32"/>
      <c r="Q29" s="32"/>
      <c r="R29" s="32"/>
      <c r="S29" s="32"/>
      <c r="T29" s="32"/>
      <c r="U29" s="32"/>
      <c r="V29" s="32"/>
      <c r="W29" s="32"/>
      <c r="X29" s="233"/>
      <c r="Y29" s="107"/>
      <c r="Z29" s="45" t="s">
        <v>146</v>
      </c>
      <c r="AA29" s="36"/>
      <c r="AB29" s="36"/>
      <c r="AC29" s="36"/>
      <c r="AD29" s="36"/>
      <c r="AE29" s="36"/>
      <c r="AF29" s="36"/>
      <c r="AG29" s="36"/>
      <c r="AH29" s="36"/>
      <c r="AI29" s="233"/>
      <c r="AJ29" s="107"/>
      <c r="AK29" s="45" t="s">
        <v>159</v>
      </c>
      <c r="AL29" s="36"/>
      <c r="AM29" s="36"/>
      <c r="AN29" s="36"/>
      <c r="AO29" s="36"/>
      <c r="AP29" s="36"/>
      <c r="AQ29" s="36"/>
      <c r="AR29" s="36"/>
      <c r="AS29" s="36"/>
      <c r="AT29" s="233"/>
      <c r="AU29" s="107"/>
      <c r="AV29" s="43" t="s">
        <v>150</v>
      </c>
      <c r="AW29" s="44"/>
      <c r="AX29" s="44"/>
      <c r="AY29" s="44"/>
      <c r="AZ29" s="44"/>
      <c r="BA29" s="44"/>
      <c r="BB29" s="44"/>
      <c r="BC29" s="44"/>
      <c r="BD29" s="44"/>
      <c r="BE29" s="55"/>
      <c r="BF29" s="44"/>
      <c r="BG29" s="44"/>
      <c r="BH29" s="44"/>
      <c r="BI29" s="44"/>
      <c r="BJ29" s="233"/>
      <c r="BK29" s="107"/>
      <c r="BL29" s="106" t="s">
        <v>244</v>
      </c>
      <c r="BM29" s="107"/>
      <c r="BN29" s="88"/>
      <c r="BO29" s="89"/>
      <c r="BP29" s="90"/>
      <c r="BQ29" s="91"/>
      <c r="BR29" s="88"/>
      <c r="BS29" s="91"/>
      <c r="BT29" s="88"/>
      <c r="BU29" s="88"/>
      <c r="BV29" s="90"/>
      <c r="BW29" s="255" t="s">
        <v>386</v>
      </c>
      <c r="BX29" s="212" t="s">
        <v>387</v>
      </c>
      <c r="BY29" s="255" t="s">
        <v>386</v>
      </c>
      <c r="BZ29" s="212" t="s">
        <v>387</v>
      </c>
      <c r="CA29" s="91"/>
      <c r="CB29" s="130"/>
    </row>
    <row r="30" spans="1:103" ht="26.25">
      <c r="A30" s="88"/>
      <c r="B30" s="92" t="s">
        <v>77</v>
      </c>
      <c r="C30" s="88"/>
      <c r="D30" s="91"/>
      <c r="E30" s="88"/>
      <c r="F30" s="88"/>
      <c r="G30" s="88"/>
      <c r="H30" s="88"/>
      <c r="I30" s="108"/>
      <c r="J30" s="108"/>
      <c r="K30" s="108"/>
      <c r="L30" s="88"/>
      <c r="M30" s="203"/>
      <c r="N30" s="203"/>
      <c r="O30" s="185"/>
      <c r="P30" s="96"/>
      <c r="Q30" s="96"/>
      <c r="R30" s="88"/>
      <c r="S30" s="88"/>
      <c r="T30" s="88"/>
      <c r="U30" s="88"/>
      <c r="V30" s="88"/>
      <c r="W30" s="130"/>
      <c r="X30" s="203"/>
      <c r="Y30" s="88"/>
      <c r="Z30" s="91"/>
      <c r="AA30" s="88"/>
      <c r="AB30" s="88"/>
      <c r="AC30" s="88"/>
      <c r="AD30" s="88"/>
      <c r="AE30" s="88"/>
      <c r="AF30" s="88"/>
      <c r="AG30" s="88"/>
      <c r="AH30" s="88"/>
      <c r="AI30" s="88"/>
      <c r="AJ30" s="88"/>
      <c r="AK30" s="91"/>
      <c r="AL30" s="88" t="s">
        <v>163</v>
      </c>
      <c r="AM30" s="88"/>
      <c r="AN30" s="88" t="s">
        <v>164</v>
      </c>
      <c r="AO30" s="88"/>
      <c r="AP30" s="88"/>
      <c r="AQ30" s="88"/>
      <c r="AR30" s="88"/>
      <c r="AS30" s="88"/>
      <c r="AT30" s="88"/>
      <c r="AU30" s="92"/>
      <c r="AV30" s="88"/>
      <c r="AW30" s="88"/>
      <c r="AX30" s="116"/>
      <c r="AY30" s="88"/>
      <c r="AZ30" s="88"/>
      <c r="BA30" s="92" t="str">
        <f>AX8</f>
        <v>variable</v>
      </c>
      <c r="BB30" s="88"/>
      <c r="BC30" s="88"/>
      <c r="BD30" s="88"/>
      <c r="BE30" s="88"/>
      <c r="BF30" s="88"/>
      <c r="BG30" s="108"/>
      <c r="BH30" s="88"/>
      <c r="BI30" s="88"/>
      <c r="BJ30" s="88"/>
      <c r="BK30" s="88"/>
      <c r="BL30" s="91"/>
      <c r="BM30" s="88"/>
      <c r="BN30" s="88"/>
      <c r="BO30" s="89"/>
      <c r="BP30" s="90"/>
      <c r="BQ30" s="91"/>
      <c r="BR30" s="88"/>
      <c r="BS30" s="91"/>
      <c r="BT30" s="88"/>
      <c r="BU30" s="124" t="s">
        <v>325</v>
      </c>
      <c r="BV30" s="110"/>
      <c r="BW30" s="155" t="s">
        <v>277</v>
      </c>
      <c r="BX30" s="155" t="s">
        <v>278</v>
      </c>
      <c r="BY30" s="155" t="s">
        <v>279</v>
      </c>
      <c r="BZ30" s="155" t="s">
        <v>280</v>
      </c>
      <c r="CA30" s="134"/>
      <c r="CB30" s="130"/>
      <c r="CW30" s="7" t="s">
        <v>257</v>
      </c>
    </row>
    <row r="31" spans="1:103" ht="30">
      <c r="A31" s="205" t="s">
        <v>81</v>
      </c>
      <c r="B31" s="101" t="s">
        <v>82</v>
      </c>
      <c r="C31" s="101" t="str">
        <f>AU31</f>
        <v>Tj</v>
      </c>
      <c r="D31" s="118" t="s">
        <v>19</v>
      </c>
      <c r="E31" s="164" t="s">
        <v>169</v>
      </c>
      <c r="F31" s="92" t="s">
        <v>59</v>
      </c>
      <c r="G31" s="92" t="s">
        <v>133</v>
      </c>
      <c r="H31" s="92" t="s">
        <v>78</v>
      </c>
      <c r="I31" s="112" t="s">
        <v>21</v>
      </c>
      <c r="J31" s="112" t="s">
        <v>69</v>
      </c>
      <c r="K31" s="112" t="s">
        <v>94</v>
      </c>
      <c r="L31" s="164" t="s">
        <v>85</v>
      </c>
      <c r="M31" s="203"/>
      <c r="N31" s="101" t="str">
        <f>C31</f>
        <v>Tj</v>
      </c>
      <c r="O31" s="118" t="s">
        <v>19</v>
      </c>
      <c r="P31" s="164" t="s">
        <v>169</v>
      </c>
      <c r="Q31" s="92" t="s">
        <v>59</v>
      </c>
      <c r="R31" s="92" t="s">
        <v>133</v>
      </c>
      <c r="S31" s="92" t="s">
        <v>78</v>
      </c>
      <c r="T31" s="92" t="s">
        <v>21</v>
      </c>
      <c r="U31" s="112" t="s">
        <v>69</v>
      </c>
      <c r="V31" s="92" t="s">
        <v>94</v>
      </c>
      <c r="W31" s="186" t="s">
        <v>85</v>
      </c>
      <c r="X31" s="203"/>
      <c r="Y31" s="92" t="s">
        <v>61</v>
      </c>
      <c r="Z31" s="152" t="s">
        <v>19</v>
      </c>
      <c r="AA31" s="92" t="s">
        <v>83</v>
      </c>
      <c r="AB31" s="92" t="s">
        <v>80</v>
      </c>
      <c r="AC31" s="92" t="s">
        <v>79</v>
      </c>
      <c r="AD31" s="92" t="s">
        <v>69</v>
      </c>
      <c r="AE31" s="92" t="s">
        <v>21</v>
      </c>
      <c r="AF31" s="92" t="s">
        <v>84</v>
      </c>
      <c r="AG31" s="92" t="s">
        <v>149</v>
      </c>
      <c r="AH31" s="92"/>
      <c r="AI31" s="88"/>
      <c r="AJ31" s="101" t="s">
        <v>61</v>
      </c>
      <c r="AK31" s="152" t="s">
        <v>19</v>
      </c>
      <c r="AL31" s="92" t="s">
        <v>83</v>
      </c>
      <c r="AM31" s="92" t="s">
        <v>80</v>
      </c>
      <c r="AN31" s="92" t="s">
        <v>79</v>
      </c>
      <c r="AO31" s="92" t="s">
        <v>69</v>
      </c>
      <c r="AP31" s="92" t="s">
        <v>21</v>
      </c>
      <c r="AQ31" s="92" t="s">
        <v>84</v>
      </c>
      <c r="AR31" s="92" t="s">
        <v>149</v>
      </c>
      <c r="AS31" s="92"/>
      <c r="AT31" s="88"/>
      <c r="AU31" s="101" t="s">
        <v>61</v>
      </c>
      <c r="AV31" s="152" t="s">
        <v>19</v>
      </c>
      <c r="AW31" s="101" t="s">
        <v>83</v>
      </c>
      <c r="AX31" s="101" t="s">
        <v>68</v>
      </c>
      <c r="AY31" s="212" t="s">
        <v>69</v>
      </c>
      <c r="AZ31" s="92" t="s">
        <v>21</v>
      </c>
      <c r="BA31" s="101" t="s">
        <v>84</v>
      </c>
      <c r="BB31" s="92" t="s">
        <v>149</v>
      </c>
      <c r="BC31" s="92"/>
      <c r="BD31" s="92"/>
      <c r="BE31" s="92"/>
      <c r="BF31" s="92"/>
      <c r="BG31" s="92"/>
      <c r="BH31" s="92"/>
      <c r="BI31" s="92"/>
      <c r="BJ31" s="88"/>
      <c r="BK31" s="88"/>
      <c r="BL31" s="91"/>
      <c r="BM31" s="88"/>
      <c r="BN31" s="88" t="s">
        <v>389</v>
      </c>
      <c r="BO31" s="93" t="s">
        <v>247</v>
      </c>
      <c r="BP31" s="90" t="s">
        <v>250</v>
      </c>
      <c r="BQ31" s="316">
        <f>CONVERT(BQ32,"m3","ft3")/60</f>
        <v>306.06044491956777</v>
      </c>
      <c r="BR31" s="88"/>
      <c r="BS31" s="91"/>
      <c r="BT31" s="88"/>
      <c r="BU31" s="93" t="s">
        <v>311</v>
      </c>
      <c r="BV31" s="90" t="str">
        <f t="shared" si="5"/>
        <v>cfm</v>
      </c>
      <c r="BW31" s="144">
        <f>CONVERT(BW32,"m3","ft3")/60</f>
        <v>93.93701347915966</v>
      </c>
      <c r="BX31" s="144">
        <f>CONVERT(BX32,"m3","ft3")/60</f>
        <v>98.881066820168058</v>
      </c>
      <c r="BY31" s="144">
        <f>CONVERT(BY32,"m3","ft3")/60</f>
        <v>101.76509793575629</v>
      </c>
      <c r="BZ31" s="137">
        <f>CONVERT(BZ32,"m3","ft3")/60</f>
        <v>107.12115572184872</v>
      </c>
      <c r="CA31" s="91"/>
      <c r="CB31" s="130"/>
      <c r="CW31" s="7" t="s">
        <v>215</v>
      </c>
      <c r="CX31" s="7">
        <v>80</v>
      </c>
      <c r="CY31" s="13">
        <f>CONVERT(CX31,"F","C")</f>
        <v>26.666666666666664</v>
      </c>
    </row>
    <row r="32" spans="1:103">
      <c r="A32" s="206" t="s">
        <v>86</v>
      </c>
      <c r="B32" s="204" t="s">
        <v>88</v>
      </c>
      <c r="C32" s="204" t="str">
        <f>AU32</f>
        <v>°C</v>
      </c>
      <c r="D32" s="165" t="s">
        <v>53</v>
      </c>
      <c r="E32" s="166" t="s">
        <v>28</v>
      </c>
      <c r="F32" s="166" t="s">
        <v>28</v>
      </c>
      <c r="G32" s="166" t="s">
        <v>28</v>
      </c>
      <c r="H32" s="166" t="s">
        <v>28</v>
      </c>
      <c r="I32" s="166" t="s">
        <v>53</v>
      </c>
      <c r="J32" s="166" t="s">
        <v>53</v>
      </c>
      <c r="K32" s="166" t="s">
        <v>53</v>
      </c>
      <c r="L32" s="103"/>
      <c r="M32" s="203"/>
      <c r="N32" s="204" t="str">
        <f t="shared" ref="N32:N56" si="9">C32</f>
        <v>°C</v>
      </c>
      <c r="O32" s="165" t="s">
        <v>53</v>
      </c>
      <c r="P32" s="166" t="s">
        <v>28</v>
      </c>
      <c r="Q32" s="166" t="s">
        <v>28</v>
      </c>
      <c r="R32" s="166" t="s">
        <v>28</v>
      </c>
      <c r="S32" s="166" t="s">
        <v>28</v>
      </c>
      <c r="T32" s="166" t="s">
        <v>53</v>
      </c>
      <c r="U32" s="166" t="s">
        <v>53</v>
      </c>
      <c r="V32" s="166" t="s">
        <v>53</v>
      </c>
      <c r="W32" s="187"/>
      <c r="X32" s="203"/>
      <c r="Y32" s="166" t="s">
        <v>49</v>
      </c>
      <c r="Z32" s="165" t="s">
        <v>53</v>
      </c>
      <c r="AA32" s="207" t="s">
        <v>28</v>
      </c>
      <c r="AB32" s="207" t="s">
        <v>28</v>
      </c>
      <c r="AC32" s="207" t="s">
        <v>28</v>
      </c>
      <c r="AD32" s="208" t="s">
        <v>53</v>
      </c>
      <c r="AE32" s="208" t="s">
        <v>53</v>
      </c>
      <c r="AF32" s="208" t="s">
        <v>53</v>
      </c>
      <c r="AG32" s="207" t="s">
        <v>28</v>
      </c>
      <c r="AH32" s="207"/>
      <c r="AI32" s="88"/>
      <c r="AJ32" s="204" t="s">
        <v>49</v>
      </c>
      <c r="AK32" s="165" t="s">
        <v>53</v>
      </c>
      <c r="AL32" s="207" t="s">
        <v>28</v>
      </c>
      <c r="AM32" s="207" t="s">
        <v>28</v>
      </c>
      <c r="AN32" s="207" t="s">
        <v>28</v>
      </c>
      <c r="AO32" s="208" t="s">
        <v>53</v>
      </c>
      <c r="AP32" s="208" t="s">
        <v>53</v>
      </c>
      <c r="AQ32" s="208" t="s">
        <v>53</v>
      </c>
      <c r="AR32" s="207" t="s">
        <v>28</v>
      </c>
      <c r="AS32" s="207"/>
      <c r="AT32" s="88"/>
      <c r="AU32" s="204" t="s">
        <v>87</v>
      </c>
      <c r="AV32" s="165" t="s">
        <v>53</v>
      </c>
      <c r="AW32" s="204" t="s">
        <v>28</v>
      </c>
      <c r="AX32" s="204" t="s">
        <v>28</v>
      </c>
      <c r="AY32" s="204" t="s">
        <v>28</v>
      </c>
      <c r="AZ32" s="166" t="s">
        <v>53</v>
      </c>
      <c r="BA32" s="166" t="s">
        <v>53</v>
      </c>
      <c r="BB32" s="207" t="s">
        <v>28</v>
      </c>
      <c r="BC32" s="207"/>
      <c r="BD32" s="207"/>
      <c r="BE32" s="207"/>
      <c r="BF32" s="207"/>
      <c r="BG32" s="207"/>
      <c r="BH32" s="207"/>
      <c r="BI32" s="207"/>
      <c r="BJ32" s="88"/>
      <c r="BK32" s="88"/>
      <c r="BL32" s="91"/>
      <c r="BM32" s="88"/>
      <c r="BN32" s="88"/>
      <c r="BO32" s="93"/>
      <c r="BP32" s="94" t="s">
        <v>253</v>
      </c>
      <c r="BQ32" s="81">
        <f>200*BQ9/1000</f>
        <v>520</v>
      </c>
      <c r="BR32" s="88"/>
      <c r="BS32" s="120"/>
      <c r="BT32" s="125"/>
      <c r="BU32" s="126"/>
      <c r="BV32" s="94" t="str">
        <f t="shared" si="5"/>
        <v>m3/h</v>
      </c>
      <c r="BW32" s="256">
        <f>BX32*$CA$32</f>
        <v>159.6</v>
      </c>
      <c r="BX32" s="257">
        <f>70*BW9/1000</f>
        <v>168</v>
      </c>
      <c r="BY32" s="256">
        <f>BZ32*$CA$32</f>
        <v>172.9</v>
      </c>
      <c r="BZ32" s="257">
        <f>70*BY9/1000</f>
        <v>182</v>
      </c>
      <c r="CA32" s="78">
        <v>0.95</v>
      </c>
      <c r="CB32" s="130"/>
      <c r="CW32" s="7">
        <v>1.177</v>
      </c>
      <c r="CX32" s="7" t="s">
        <v>132</v>
      </c>
    </row>
    <row r="33" spans="1:103">
      <c r="A33" s="154">
        <v>1</v>
      </c>
      <c r="B33" s="147">
        <v>205</v>
      </c>
      <c r="C33" s="147">
        <v>17</v>
      </c>
      <c r="D33" s="167"/>
      <c r="E33" s="168"/>
      <c r="F33" s="169"/>
      <c r="G33" s="168"/>
      <c r="H33" s="170"/>
      <c r="I33" s="171"/>
      <c r="J33" s="108"/>
      <c r="K33" s="172"/>
      <c r="L33" s="173"/>
      <c r="M33" s="203"/>
      <c r="N33" s="147">
        <f t="shared" si="9"/>
        <v>17</v>
      </c>
      <c r="O33" s="91"/>
      <c r="P33" s="188"/>
      <c r="Q33" s="188"/>
      <c r="R33" s="173"/>
      <c r="S33" s="173"/>
      <c r="T33" s="171"/>
      <c r="U33" s="108"/>
      <c r="V33" s="172"/>
      <c r="W33" s="189"/>
      <c r="X33" s="203"/>
      <c r="Y33" s="147">
        <f t="shared" ref="Y33:Y56" si="10">C33</f>
        <v>17</v>
      </c>
      <c r="Z33" s="175">
        <f t="shared" ref="Z33:Z56" si="11">(Y33-$AG$16)/($AG$15-$AG$16)</f>
        <v>5.2631578947368418E-2</v>
      </c>
      <c r="AA33" s="209">
        <f t="shared" ref="AA33:AA56" si="12">$Z33*$AB$5</f>
        <v>0.12631578947368419</v>
      </c>
      <c r="AB33" s="210">
        <f>$AA33</f>
        <v>0.12631578947368419</v>
      </c>
      <c r="AC33" s="209">
        <f t="shared" ref="AC33:AC56" si="13">$AB$4+($AB$5-$AB$4)/8*($Y33-27)</f>
        <v>2.8500000000000005</v>
      </c>
      <c r="AD33" s="210">
        <f t="shared" ref="AD33:AD56" si="14">$AC$4+($AC$5-$AC$4)/8*($Y33-27)</f>
        <v>2.8500000000000005</v>
      </c>
      <c r="AE33" s="178">
        <f t="shared" ref="AE33:AE56" si="15">IF(AC33&lt;0,1,MIN(AB33/AC33,1))</f>
        <v>4.4321329639889183E-2</v>
      </c>
      <c r="AF33" s="211">
        <f t="shared" ref="AF33:AF56" si="16">AD33*(1-$AB$9 * (1-$AE33))</f>
        <v>2.1690789473684213</v>
      </c>
      <c r="AG33" s="209">
        <f t="shared" ref="AG33:AG56" si="17">AA33/AF33</f>
        <v>5.8234758871701528E-2</v>
      </c>
      <c r="AH33" s="209"/>
      <c r="AI33" s="88"/>
      <c r="AJ33" s="147">
        <f t="shared" ref="AJ33:AJ56" si="18">C33</f>
        <v>17</v>
      </c>
      <c r="AK33" s="175">
        <f t="shared" ref="AK33:AK56" si="19">(AJ33-$AR$16)/($AR$15-$AR$16)</f>
        <v>5.2631578947368418E-2</v>
      </c>
      <c r="AL33" s="209">
        <f t="shared" ref="AL33:AL56" si="20">$AK33*$AM$5</f>
        <v>0.12631578947368419</v>
      </c>
      <c r="AM33" s="210">
        <f>$AL33</f>
        <v>0.12631578947368419</v>
      </c>
      <c r="AN33" s="209">
        <f t="shared" ref="AN33:AN56" si="21">$AM$4+($AM$5-$AM$4)/8*($AJ33-27)</f>
        <v>2.8500000000000005</v>
      </c>
      <c r="AO33" s="210">
        <f>$AN$4+($AN$5-$AN$4)/8*($AJ33-27)</f>
        <v>2.8500000000000005</v>
      </c>
      <c r="AP33" s="178">
        <f t="shared" ref="AP33:AP56" si="22">IF(AN33&lt;0,1,MIN(AM33/AN33,1))</f>
        <v>4.4321329639889183E-2</v>
      </c>
      <c r="AQ33" s="211">
        <f t="shared" ref="AQ33:AQ56" si="23">IF($AP33&gt;=0.33,$AO33*(1+$AM$21*(1-$AP33)),$AO33*(1+$AM$21*(1-0.33))*(1-$AM$9*(1-$AP33/0.33)))</f>
        <v>2.7942837171052637</v>
      </c>
      <c r="AR33" s="209">
        <f t="shared" ref="AR33:AR56" si="24">AL33/AQ33</f>
        <v>4.5205069442461963E-2</v>
      </c>
      <c r="AS33" s="209"/>
      <c r="AT33" s="88"/>
      <c r="AU33" s="147">
        <v>17</v>
      </c>
      <c r="AV33" s="175">
        <f>(AU33-$BC$16)/($BC$15-$BC$16)</f>
        <v>5.2631578947368418E-2</v>
      </c>
      <c r="AW33" s="213">
        <f>$AX$4*AV33</f>
        <v>0.13157894736842105</v>
      </c>
      <c r="AX33" s="214">
        <f>FORECAST(AU33,$AX$6:$AX$7,$AW$6:$AW$7)</f>
        <v>1.68</v>
      </c>
      <c r="AY33" s="214">
        <f t="shared" ref="AY33:AY34" si="25">$AY$36</f>
        <v>6.6550000000000011</v>
      </c>
      <c r="AZ33" s="213">
        <f>MIN(1,AW33/AX33)</f>
        <v>7.8320802005012527E-2</v>
      </c>
      <c r="BA33" s="215">
        <f t="shared" ref="BA33:BA56" si="26">IF($AX33&gt;=$AW33,$AY33*(1-$AX$9*(1-$AZ33)),$AY33)</f>
        <v>5.1215562343358405</v>
      </c>
      <c r="BB33" s="209">
        <f t="shared" ref="BB33:BB56" si="27">AW33/BA33</f>
        <v>2.5691204264495223E-2</v>
      </c>
      <c r="BC33" s="143"/>
      <c r="BD33" s="123"/>
      <c r="BE33" s="88"/>
      <c r="BF33" s="88"/>
      <c r="BG33" s="88"/>
      <c r="BH33" s="88"/>
      <c r="BI33" s="88"/>
      <c r="BJ33" s="88"/>
      <c r="BK33" s="88"/>
      <c r="BL33" s="91"/>
      <c r="BM33" s="108"/>
      <c r="BN33" s="108" t="s">
        <v>388</v>
      </c>
      <c r="BO33" s="109" t="s">
        <v>248</v>
      </c>
      <c r="BP33" s="110" t="s">
        <v>251</v>
      </c>
      <c r="BQ33" s="141">
        <f>$CU$26*BQ34+$CV$26</f>
        <v>7.1516999999999983E-2</v>
      </c>
      <c r="BR33" s="88"/>
      <c r="BS33" s="91"/>
      <c r="BT33" s="108"/>
      <c r="BU33" s="109" t="s">
        <v>312</v>
      </c>
      <c r="BV33" s="110" t="str">
        <f t="shared" si="5"/>
        <v>lbm/ft3</v>
      </c>
      <c r="BW33" s="258">
        <f>$CU$26*BW34+$CV$26</f>
        <v>7.1516999999999983E-2</v>
      </c>
      <c r="BX33" s="259">
        <f>$CU$26*BX34+$CV$26</f>
        <v>7.0298399999999983E-2</v>
      </c>
      <c r="BY33" s="258">
        <f>$CU$26*BY34+$CV$26</f>
        <v>7.3141799999999979E-2</v>
      </c>
      <c r="BZ33" s="259">
        <f>$CU$26*BZ34+$CV$26</f>
        <v>7.1923199999999979E-2</v>
      </c>
      <c r="CA33" s="117" t="s">
        <v>396</v>
      </c>
      <c r="CB33" s="130"/>
      <c r="CW33" s="7">
        <v>7.3499999999999996E-2</v>
      </c>
      <c r="CX33" s="7" t="s">
        <v>251</v>
      </c>
    </row>
    <row r="34" spans="1:103">
      <c r="A34" s="154">
        <v>2</v>
      </c>
      <c r="B34" s="147">
        <v>227</v>
      </c>
      <c r="C34" s="147">
        <v>18</v>
      </c>
      <c r="D34" s="167"/>
      <c r="E34" s="170"/>
      <c r="F34" s="174"/>
      <c r="G34" s="170"/>
      <c r="H34" s="170"/>
      <c r="I34" s="171"/>
      <c r="J34" s="108"/>
      <c r="K34" s="172"/>
      <c r="L34" s="173"/>
      <c r="M34" s="203"/>
      <c r="N34" s="147">
        <f t="shared" si="9"/>
        <v>18</v>
      </c>
      <c r="O34" s="190"/>
      <c r="P34" s="188"/>
      <c r="Q34" s="188"/>
      <c r="R34" s="173"/>
      <c r="S34" s="173"/>
      <c r="T34" s="171"/>
      <c r="U34" s="108"/>
      <c r="V34" s="172"/>
      <c r="W34" s="189"/>
      <c r="X34" s="203"/>
      <c r="Y34" s="147">
        <f t="shared" si="10"/>
        <v>18</v>
      </c>
      <c r="Z34" s="175">
        <f t="shared" si="11"/>
        <v>0.10526315789473684</v>
      </c>
      <c r="AA34" s="209">
        <f t="shared" si="12"/>
        <v>0.25263157894736837</v>
      </c>
      <c r="AB34" s="210">
        <f t="shared" ref="AB34:AB56" si="28">$AA34</f>
        <v>0.25263157894736837</v>
      </c>
      <c r="AC34" s="209">
        <f t="shared" si="13"/>
        <v>2.8250000000000002</v>
      </c>
      <c r="AD34" s="210">
        <f t="shared" si="14"/>
        <v>2.8250000000000002</v>
      </c>
      <c r="AE34" s="178">
        <f t="shared" si="15"/>
        <v>8.9427107591988797E-2</v>
      </c>
      <c r="AF34" s="211">
        <f t="shared" si="16"/>
        <v>2.1819078947368422</v>
      </c>
      <c r="AG34" s="209">
        <f t="shared" si="17"/>
        <v>0.11578471279963815</v>
      </c>
      <c r="AH34" s="209"/>
      <c r="AI34" s="88"/>
      <c r="AJ34" s="147">
        <f t="shared" si="18"/>
        <v>18</v>
      </c>
      <c r="AK34" s="175">
        <f t="shared" si="19"/>
        <v>0.10526315789473684</v>
      </c>
      <c r="AL34" s="209">
        <f t="shared" si="20"/>
        <v>0.25263157894736837</v>
      </c>
      <c r="AM34" s="210">
        <f t="shared" ref="AM34:AM56" si="29">$AL34</f>
        <v>0.25263157894736837</v>
      </c>
      <c r="AN34" s="209">
        <f t="shared" si="21"/>
        <v>2.8250000000000002</v>
      </c>
      <c r="AO34" s="210">
        <f t="shared" ref="AO34:AO56" si="30">$AN$4+($AN$5-$AN$4)/8*($AJ34-27)</f>
        <v>2.8250000000000002</v>
      </c>
      <c r="AP34" s="178">
        <f t="shared" si="22"/>
        <v>8.9427107591988797E-2</v>
      </c>
      <c r="AQ34" s="211">
        <f>IF($AP34&gt;=0.33,$AO34*(1+$AM$21*(1-$AP34)),$AO34*(1+$AM$21*(1-0.33))*(1-$AM$9*(1-$AP34/0.33)))</f>
        <v>2.8905596217105263</v>
      </c>
      <c r="AR34" s="209">
        <f t="shared" si="24"/>
        <v>8.7398847285450679E-2</v>
      </c>
      <c r="AS34" s="209"/>
      <c r="AT34" s="88"/>
      <c r="AU34" s="147">
        <v>18</v>
      </c>
      <c r="AV34" s="175">
        <f t="shared" ref="AV34:AV56" si="31">(AU34-$BC$16)/($BC$15-$BC$16)</f>
        <v>0.10526315789473684</v>
      </c>
      <c r="AW34" s="213">
        <f t="shared" ref="AW34:AW56" si="32">$AX$4*AV34</f>
        <v>0.26315789473684209</v>
      </c>
      <c r="AX34" s="214">
        <f>FORECAST(AU34,$AX$6:$AX$7,$AW$6:$AW$7)</f>
        <v>1.7199999999999998</v>
      </c>
      <c r="AY34" s="214">
        <f t="shared" si="25"/>
        <v>6.6550000000000011</v>
      </c>
      <c r="AZ34" s="213">
        <f t="shared" ref="AZ34:AZ56" si="33">MIN(1,AW34/AX34)</f>
        <v>0.15299877600979195</v>
      </c>
      <c r="BA34" s="215">
        <f t="shared" si="26"/>
        <v>5.2458017135862915</v>
      </c>
      <c r="BB34" s="209">
        <f t="shared" si="27"/>
        <v>5.0165429252745093E-2</v>
      </c>
      <c r="BC34" s="143"/>
      <c r="BD34" s="123"/>
      <c r="BE34" s="88"/>
      <c r="BF34" s="88"/>
      <c r="BG34" s="88"/>
      <c r="BH34" s="88"/>
      <c r="BI34" s="88"/>
      <c r="BJ34" s="88"/>
      <c r="BK34" s="88"/>
      <c r="BL34" s="91"/>
      <c r="BM34" s="108"/>
      <c r="BN34" s="108"/>
      <c r="BO34" s="109"/>
      <c r="BP34" s="111" t="s">
        <v>49</v>
      </c>
      <c r="BQ34" s="81">
        <v>35</v>
      </c>
      <c r="BR34" s="88"/>
      <c r="BS34" s="120"/>
      <c r="BT34" s="127"/>
      <c r="BU34" s="128"/>
      <c r="BV34" s="111" t="str">
        <f t="shared" si="5"/>
        <v>ºC</v>
      </c>
      <c r="BW34" s="150">
        <f>BX7</f>
        <v>35</v>
      </c>
      <c r="BX34" s="159">
        <f>BW34+5</f>
        <v>40</v>
      </c>
      <c r="BY34" s="150">
        <f>BZ7</f>
        <v>28.333333333333332</v>
      </c>
      <c r="BZ34" s="159">
        <f>BY34+5</f>
        <v>33.333333333333329</v>
      </c>
      <c r="CA34" s="117" t="s">
        <v>422</v>
      </c>
      <c r="CB34" s="130"/>
      <c r="CW34" s="7" t="s">
        <v>258</v>
      </c>
    </row>
    <row r="35" spans="1:103">
      <c r="A35" s="154">
        <v>3</v>
      </c>
      <c r="B35" s="147">
        <v>225</v>
      </c>
      <c r="C35" s="147">
        <v>19</v>
      </c>
      <c r="D35" s="167"/>
      <c r="E35" s="170"/>
      <c r="F35" s="174"/>
      <c r="G35" s="170"/>
      <c r="H35" s="170"/>
      <c r="I35" s="171"/>
      <c r="J35" s="108"/>
      <c r="K35" s="172"/>
      <c r="L35" s="173"/>
      <c r="M35" s="203"/>
      <c r="N35" s="147">
        <f t="shared" si="9"/>
        <v>19</v>
      </c>
      <c r="O35" s="190"/>
      <c r="P35" s="188"/>
      <c r="Q35" s="188"/>
      <c r="R35" s="173"/>
      <c r="S35" s="173"/>
      <c r="T35" s="171"/>
      <c r="U35" s="108"/>
      <c r="V35" s="172"/>
      <c r="W35" s="189"/>
      <c r="X35" s="203"/>
      <c r="Y35" s="147">
        <f t="shared" si="10"/>
        <v>19</v>
      </c>
      <c r="Z35" s="175">
        <f t="shared" si="11"/>
        <v>0.15789473684210525</v>
      </c>
      <c r="AA35" s="209">
        <f t="shared" si="12"/>
        <v>0.37894736842105259</v>
      </c>
      <c r="AB35" s="210">
        <f t="shared" si="28"/>
        <v>0.37894736842105259</v>
      </c>
      <c r="AC35" s="209">
        <f t="shared" si="13"/>
        <v>2.8000000000000003</v>
      </c>
      <c r="AD35" s="210">
        <f t="shared" si="14"/>
        <v>2.8000000000000003</v>
      </c>
      <c r="AE35" s="178">
        <f t="shared" si="15"/>
        <v>0.13533834586466162</v>
      </c>
      <c r="AF35" s="211">
        <f t="shared" si="16"/>
        <v>2.1947368421052635</v>
      </c>
      <c r="AG35" s="209">
        <f t="shared" si="17"/>
        <v>0.17266187050359708</v>
      </c>
      <c r="AH35" s="209"/>
      <c r="AI35" s="88"/>
      <c r="AJ35" s="147">
        <f t="shared" si="18"/>
        <v>19</v>
      </c>
      <c r="AK35" s="175">
        <f t="shared" si="19"/>
        <v>0.15789473684210525</v>
      </c>
      <c r="AL35" s="209">
        <f t="shared" si="20"/>
        <v>0.37894736842105259</v>
      </c>
      <c r="AM35" s="210">
        <f t="shared" si="29"/>
        <v>0.37894736842105259</v>
      </c>
      <c r="AN35" s="209">
        <f t="shared" si="21"/>
        <v>2.8000000000000003</v>
      </c>
      <c r="AO35" s="210">
        <f t="shared" si="30"/>
        <v>2.8000000000000003</v>
      </c>
      <c r="AP35" s="178">
        <f t="shared" si="22"/>
        <v>0.13533834586466162</v>
      </c>
      <c r="AQ35" s="211">
        <f t="shared" si="23"/>
        <v>2.9868355263157897</v>
      </c>
      <c r="AR35" s="209">
        <f t="shared" si="24"/>
        <v>0.12687252615093864</v>
      </c>
      <c r="AS35" s="209"/>
      <c r="AT35" s="88"/>
      <c r="AU35" s="147">
        <v>19</v>
      </c>
      <c r="AV35" s="175">
        <f t="shared" si="31"/>
        <v>0.15789473684210525</v>
      </c>
      <c r="AW35" s="213">
        <f t="shared" si="32"/>
        <v>0.39473684210526316</v>
      </c>
      <c r="AX35" s="214">
        <f>$AX$36</f>
        <v>1.8</v>
      </c>
      <c r="AY35" s="214">
        <f>$AY$36</f>
        <v>6.6550000000000011</v>
      </c>
      <c r="AZ35" s="213">
        <f t="shared" si="33"/>
        <v>0.21929824561403508</v>
      </c>
      <c r="BA35" s="215">
        <f t="shared" si="26"/>
        <v>5.3561074561403519</v>
      </c>
      <c r="BB35" s="209">
        <f t="shared" si="27"/>
        <v>7.3698454584350939E-2</v>
      </c>
      <c r="BC35" s="143"/>
      <c r="BD35" s="123"/>
      <c r="BE35" s="88"/>
      <c r="BF35" s="88"/>
      <c r="BG35" s="88"/>
      <c r="BH35" s="88"/>
      <c r="BI35" s="88"/>
      <c r="BJ35" s="88"/>
      <c r="BK35" s="88"/>
      <c r="BL35" s="91"/>
      <c r="BM35" s="108"/>
      <c r="BN35" s="108" t="s">
        <v>390</v>
      </c>
      <c r="BO35" s="109" t="s">
        <v>249</v>
      </c>
      <c r="BP35" s="110" t="s">
        <v>252</v>
      </c>
      <c r="BQ35" s="82">
        <f>BQ36</f>
        <v>0.01</v>
      </c>
      <c r="BR35" s="88"/>
      <c r="BS35" s="91"/>
      <c r="BT35" s="108"/>
      <c r="BU35" s="109" t="s">
        <v>313</v>
      </c>
      <c r="BV35" s="110" t="str">
        <f t="shared" si="5"/>
        <v>lbw/lbda</v>
      </c>
      <c r="BW35" s="142">
        <v>0.12</v>
      </c>
      <c r="BX35" s="156">
        <f>BX36</f>
        <v>0.01</v>
      </c>
      <c r="BY35" s="142">
        <v>0.12</v>
      </c>
      <c r="BZ35" s="156">
        <f>BZ36</f>
        <v>0.01</v>
      </c>
      <c r="CA35" s="91"/>
      <c r="CB35" s="130"/>
      <c r="CW35" s="7" t="s">
        <v>259</v>
      </c>
    </row>
    <row r="36" spans="1:103">
      <c r="A36" s="154">
        <v>4</v>
      </c>
      <c r="B36" s="147">
        <v>225</v>
      </c>
      <c r="C36" s="147">
        <v>20</v>
      </c>
      <c r="D36" s="167"/>
      <c r="E36" s="170"/>
      <c r="F36" s="174"/>
      <c r="G36" s="170"/>
      <c r="H36" s="170"/>
      <c r="I36" s="171"/>
      <c r="J36" s="108"/>
      <c r="K36" s="172"/>
      <c r="L36" s="173"/>
      <c r="M36" s="203"/>
      <c r="N36" s="147">
        <f t="shared" si="9"/>
        <v>20</v>
      </c>
      <c r="O36" s="190"/>
      <c r="P36" s="188"/>
      <c r="Q36" s="188"/>
      <c r="R36" s="173"/>
      <c r="S36" s="173"/>
      <c r="T36" s="171"/>
      <c r="U36" s="108"/>
      <c r="V36" s="172"/>
      <c r="W36" s="189"/>
      <c r="X36" s="203"/>
      <c r="Y36" s="147">
        <f t="shared" si="10"/>
        <v>20</v>
      </c>
      <c r="Z36" s="175">
        <f t="shared" si="11"/>
        <v>0.21052631578947367</v>
      </c>
      <c r="AA36" s="209">
        <f t="shared" si="12"/>
        <v>0.50526315789473675</v>
      </c>
      <c r="AB36" s="210">
        <f t="shared" si="28"/>
        <v>0.50526315789473675</v>
      </c>
      <c r="AC36" s="209">
        <f t="shared" si="13"/>
        <v>2.7750000000000004</v>
      </c>
      <c r="AD36" s="210">
        <f t="shared" si="14"/>
        <v>2.7750000000000004</v>
      </c>
      <c r="AE36" s="178">
        <f t="shared" si="15"/>
        <v>0.18207681365576098</v>
      </c>
      <c r="AF36" s="211">
        <f t="shared" si="16"/>
        <v>2.2075657894736844</v>
      </c>
      <c r="AG36" s="209">
        <f t="shared" si="17"/>
        <v>0.22887796155565482</v>
      </c>
      <c r="AH36" s="209"/>
      <c r="AI36" s="88"/>
      <c r="AJ36" s="147">
        <f t="shared" si="18"/>
        <v>20</v>
      </c>
      <c r="AK36" s="175">
        <f t="shared" si="19"/>
        <v>0.21052631578947367</v>
      </c>
      <c r="AL36" s="209">
        <f t="shared" si="20"/>
        <v>0.50526315789473675</v>
      </c>
      <c r="AM36" s="210">
        <f t="shared" si="29"/>
        <v>0.50526315789473675</v>
      </c>
      <c r="AN36" s="209">
        <f t="shared" si="21"/>
        <v>2.7750000000000004</v>
      </c>
      <c r="AO36" s="210">
        <f t="shared" si="30"/>
        <v>2.7750000000000004</v>
      </c>
      <c r="AP36" s="178">
        <f t="shared" si="22"/>
        <v>0.18207681365576098</v>
      </c>
      <c r="AQ36" s="211">
        <f t="shared" si="23"/>
        <v>3.0831114309210532</v>
      </c>
      <c r="AR36" s="209">
        <f t="shared" si="24"/>
        <v>0.16388092653005204</v>
      </c>
      <c r="AS36" s="209"/>
      <c r="AT36" s="88"/>
      <c r="AU36" s="147">
        <v>20</v>
      </c>
      <c r="AV36" s="175">
        <f t="shared" si="31"/>
        <v>0.21052631578947367</v>
      </c>
      <c r="AW36" s="213">
        <f t="shared" si="32"/>
        <v>0.52631578947368418</v>
      </c>
      <c r="AX36" s="213">
        <f>_xlfn.XLOOKUP($AU36,$AW$4:$AW$7,$AX$4:$AX$7,,0,-1)</f>
        <v>1.8</v>
      </c>
      <c r="AY36" s="213">
        <f>_xlfn.XLOOKUP($AU36,$AW$4:$AW$7,$AY$4:$AY$7,,0,-1)</f>
        <v>6.6550000000000011</v>
      </c>
      <c r="AZ36" s="213">
        <f t="shared" si="33"/>
        <v>0.29239766081871343</v>
      </c>
      <c r="BA36" s="215">
        <f t="shared" si="26"/>
        <v>5.477726608187135</v>
      </c>
      <c r="BB36" s="209">
        <f t="shared" si="27"/>
        <v>9.6082887504287021E-2</v>
      </c>
      <c r="BC36" s="143"/>
      <c r="BD36" s="123"/>
      <c r="BE36" s="88"/>
      <c r="BF36" s="88"/>
      <c r="BG36" s="88"/>
      <c r="BH36" s="88"/>
      <c r="BI36" s="88"/>
      <c r="BJ36" s="88"/>
      <c r="BK36" s="88"/>
      <c r="BL36" s="91"/>
      <c r="BM36" s="108"/>
      <c r="BN36" s="108"/>
      <c r="BO36" s="109"/>
      <c r="BP36" s="111" t="s">
        <v>276</v>
      </c>
      <c r="BQ36" s="260">
        <v>0.01</v>
      </c>
      <c r="BR36" s="108"/>
      <c r="BS36" s="117" t="s">
        <v>424</v>
      </c>
      <c r="BT36" s="127"/>
      <c r="BU36" s="128"/>
      <c r="BV36" s="111" t="str">
        <f t="shared" si="5"/>
        <v>kgW/kgDA</v>
      </c>
      <c r="BW36" s="160">
        <v>1.2E-2</v>
      </c>
      <c r="BX36" s="161">
        <v>0.01</v>
      </c>
      <c r="BY36" s="160">
        <v>1.2E-2</v>
      </c>
      <c r="BZ36" s="162">
        <v>0.01</v>
      </c>
      <c r="CA36" s="117" t="s">
        <v>423</v>
      </c>
      <c r="CB36" s="130"/>
    </row>
    <row r="37" spans="1:103">
      <c r="A37" s="154">
        <v>5</v>
      </c>
      <c r="B37" s="147">
        <v>216</v>
      </c>
      <c r="C37" s="147">
        <v>21</v>
      </c>
      <c r="D37" s="167"/>
      <c r="E37" s="170"/>
      <c r="F37" s="174"/>
      <c r="G37" s="170"/>
      <c r="H37" s="170"/>
      <c r="I37" s="171"/>
      <c r="J37" s="108"/>
      <c r="K37" s="172"/>
      <c r="L37" s="173"/>
      <c r="M37" s="203"/>
      <c r="N37" s="147">
        <f t="shared" si="9"/>
        <v>21</v>
      </c>
      <c r="O37" s="190"/>
      <c r="P37" s="188"/>
      <c r="Q37" s="188"/>
      <c r="R37" s="173"/>
      <c r="S37" s="173"/>
      <c r="T37" s="171"/>
      <c r="U37" s="108"/>
      <c r="V37" s="172"/>
      <c r="W37" s="189"/>
      <c r="X37" s="203"/>
      <c r="Y37" s="147">
        <f t="shared" si="10"/>
        <v>21</v>
      </c>
      <c r="Z37" s="175">
        <f t="shared" si="11"/>
        <v>0.26315789473684209</v>
      </c>
      <c r="AA37" s="209">
        <f t="shared" si="12"/>
        <v>0.63157894736842102</v>
      </c>
      <c r="AB37" s="210">
        <f t="shared" si="28"/>
        <v>0.63157894736842102</v>
      </c>
      <c r="AC37" s="209">
        <f t="shared" si="13"/>
        <v>2.75</v>
      </c>
      <c r="AD37" s="210">
        <f t="shared" si="14"/>
        <v>2.75</v>
      </c>
      <c r="AE37" s="178">
        <f t="shared" si="15"/>
        <v>0.22966507177033491</v>
      </c>
      <c r="AF37" s="211">
        <f t="shared" si="16"/>
        <v>2.2203947368421053</v>
      </c>
      <c r="AG37" s="209">
        <f t="shared" si="17"/>
        <v>0.28444444444444444</v>
      </c>
      <c r="AH37" s="209"/>
      <c r="AI37" s="88"/>
      <c r="AJ37" s="147">
        <f t="shared" si="18"/>
        <v>21</v>
      </c>
      <c r="AK37" s="175">
        <f t="shared" si="19"/>
        <v>0.26315789473684209</v>
      </c>
      <c r="AL37" s="209">
        <f t="shared" si="20"/>
        <v>0.63157894736842102</v>
      </c>
      <c r="AM37" s="210">
        <f t="shared" si="29"/>
        <v>0.63157894736842102</v>
      </c>
      <c r="AN37" s="209">
        <f t="shared" si="21"/>
        <v>2.75</v>
      </c>
      <c r="AO37" s="210">
        <f t="shared" si="30"/>
        <v>2.75</v>
      </c>
      <c r="AP37" s="178">
        <f t="shared" si="22"/>
        <v>0.22966507177033491</v>
      </c>
      <c r="AQ37" s="211">
        <f t="shared" si="23"/>
        <v>3.1793873355263158</v>
      </c>
      <c r="AR37" s="209">
        <f t="shared" si="24"/>
        <v>0.19864800375568881</v>
      </c>
      <c r="AS37" s="209"/>
      <c r="AT37" s="88"/>
      <c r="AU37" s="147">
        <v>21</v>
      </c>
      <c r="AV37" s="175">
        <f t="shared" si="31"/>
        <v>0.26315789473684209</v>
      </c>
      <c r="AW37" s="213">
        <f t="shared" si="32"/>
        <v>0.6578947368421052</v>
      </c>
      <c r="AX37" s="214">
        <f>FORECAST(AU37,$AX$6:$AX$7,$AW$6:$AW$7)</f>
        <v>1.8399999999999999</v>
      </c>
      <c r="AY37" s="214">
        <f>FORECAST($AU37,$AY$6:$AY$7,$AW$6:$AW$7)</f>
        <v>6.5340000000000007</v>
      </c>
      <c r="AZ37" s="213">
        <f t="shared" si="33"/>
        <v>0.35755148741418763</v>
      </c>
      <c r="BA37" s="215">
        <f t="shared" si="26"/>
        <v>5.4845603546910757</v>
      </c>
      <c r="BB37" s="209">
        <f t="shared" si="27"/>
        <v>0.11995396062683349</v>
      </c>
      <c r="BC37" s="143"/>
      <c r="BD37" s="123"/>
      <c r="BE37" s="88"/>
      <c r="BF37" s="88"/>
      <c r="BG37" s="88"/>
      <c r="BH37" s="88"/>
      <c r="BI37" s="88"/>
      <c r="BJ37" s="88"/>
      <c r="BK37" s="88"/>
      <c r="BL37" s="91"/>
      <c r="BM37" s="88"/>
      <c r="BN37" s="108"/>
      <c r="BO37" s="112"/>
      <c r="BP37" s="110"/>
      <c r="BQ37" s="317">
        <v>95</v>
      </c>
      <c r="BR37" s="319">
        <v>83</v>
      </c>
      <c r="BS37" s="91"/>
      <c r="BT37" s="108"/>
      <c r="BU37" s="112"/>
      <c r="BV37" s="129" t="s">
        <v>281</v>
      </c>
      <c r="BW37" s="157">
        <f>(BW31*BW33)/(1-BW35)</f>
        <v>7.6341970374875681</v>
      </c>
      <c r="BX37" s="157">
        <f>(BX31*BX33)/(1-BX35)</f>
        <v>7.0213947351019197</v>
      </c>
      <c r="BY37" s="157">
        <f>(BY31*BY33)/(1-BY35)</f>
        <v>8.4582755002244276</v>
      </c>
      <c r="BZ37" s="158">
        <f>(BZ31*BZ33)/(1-BZ35)</f>
        <v>7.7823195022360281</v>
      </c>
      <c r="CA37" s="91"/>
      <c r="CB37" s="130"/>
      <c r="CW37" s="7" t="s">
        <v>260</v>
      </c>
    </row>
    <row r="38" spans="1:103">
      <c r="A38" s="154">
        <v>6</v>
      </c>
      <c r="B38" s="147">
        <v>215</v>
      </c>
      <c r="C38" s="147">
        <v>22</v>
      </c>
      <c r="D38" s="167"/>
      <c r="E38" s="170"/>
      <c r="F38" s="174"/>
      <c r="G38" s="170"/>
      <c r="H38" s="170"/>
      <c r="I38" s="171"/>
      <c r="J38" s="108"/>
      <c r="K38" s="172"/>
      <c r="L38" s="173"/>
      <c r="M38" s="203"/>
      <c r="N38" s="147">
        <f t="shared" si="9"/>
        <v>22</v>
      </c>
      <c r="O38" s="190"/>
      <c r="P38" s="188"/>
      <c r="Q38" s="188"/>
      <c r="R38" s="173"/>
      <c r="S38" s="88"/>
      <c r="T38" s="171"/>
      <c r="U38" s="108"/>
      <c r="V38" s="172"/>
      <c r="W38" s="191"/>
      <c r="X38" s="203"/>
      <c r="Y38" s="147">
        <f t="shared" si="10"/>
        <v>22</v>
      </c>
      <c r="Z38" s="175">
        <f t="shared" si="11"/>
        <v>0.31578947368421051</v>
      </c>
      <c r="AA38" s="209">
        <f t="shared" si="12"/>
        <v>0.75789473684210518</v>
      </c>
      <c r="AB38" s="210">
        <f t="shared" si="28"/>
        <v>0.75789473684210518</v>
      </c>
      <c r="AC38" s="209">
        <f t="shared" si="13"/>
        <v>2.7250000000000001</v>
      </c>
      <c r="AD38" s="210">
        <f t="shared" si="14"/>
        <v>2.7250000000000001</v>
      </c>
      <c r="AE38" s="178">
        <f t="shared" si="15"/>
        <v>0.2781265089328826</v>
      </c>
      <c r="AF38" s="211">
        <f t="shared" si="16"/>
        <v>2.2332236842105266</v>
      </c>
      <c r="AG38" s="209">
        <f t="shared" si="17"/>
        <v>0.33937251436146698</v>
      </c>
      <c r="AH38" s="209"/>
      <c r="AI38" s="88"/>
      <c r="AJ38" s="147">
        <f t="shared" si="18"/>
        <v>22</v>
      </c>
      <c r="AK38" s="175">
        <f t="shared" si="19"/>
        <v>0.31578947368421051</v>
      </c>
      <c r="AL38" s="209">
        <f t="shared" si="20"/>
        <v>0.75789473684210518</v>
      </c>
      <c r="AM38" s="210">
        <f t="shared" si="29"/>
        <v>0.75789473684210518</v>
      </c>
      <c r="AN38" s="209">
        <f t="shared" si="21"/>
        <v>2.7250000000000001</v>
      </c>
      <c r="AO38" s="210">
        <f t="shared" si="30"/>
        <v>2.7250000000000001</v>
      </c>
      <c r="AP38" s="178">
        <f t="shared" si="22"/>
        <v>0.2781265089328826</v>
      </c>
      <c r="AQ38" s="211">
        <f t="shared" si="23"/>
        <v>3.2756632401315784</v>
      </c>
      <c r="AR38" s="209">
        <f t="shared" si="24"/>
        <v>0.23137138383360242</v>
      </c>
      <c r="AS38" s="209"/>
      <c r="AT38" s="88"/>
      <c r="AU38" s="147">
        <v>22</v>
      </c>
      <c r="AV38" s="175">
        <f t="shared" si="31"/>
        <v>0.31578947368421051</v>
      </c>
      <c r="AW38" s="213">
        <f t="shared" si="32"/>
        <v>0.78947368421052633</v>
      </c>
      <c r="AX38" s="214">
        <f>FORECAST(AU38,$AX$6:$AX$7,$AW$6:$AW$7)</f>
        <v>1.88</v>
      </c>
      <c r="AY38" s="214">
        <f t="shared" ref="AY38:AY40" si="34">FORECAST($AU38,$AY$6:$AY$7,$AW$6:$AW$7)</f>
        <v>6.4130000000000011</v>
      </c>
      <c r="AZ38" s="213">
        <f t="shared" si="33"/>
        <v>0.41993281075027999</v>
      </c>
      <c r="BA38" s="215">
        <f t="shared" si="26"/>
        <v>5.4830072788353874</v>
      </c>
      <c r="BB38" s="209">
        <f t="shared" si="27"/>
        <v>0.14398552547211166</v>
      </c>
      <c r="BC38" s="143"/>
      <c r="BD38" s="123"/>
      <c r="BE38" s="88"/>
      <c r="BF38" s="88"/>
      <c r="BG38" s="88"/>
      <c r="BH38" s="88"/>
      <c r="BI38" s="88"/>
      <c r="BJ38" s="88"/>
      <c r="BK38" s="88"/>
      <c r="BL38" s="91"/>
      <c r="BM38" s="88"/>
      <c r="BN38" s="88"/>
      <c r="BO38" s="93"/>
      <c r="BP38" s="90"/>
      <c r="BQ38" s="507" t="s">
        <v>282</v>
      </c>
      <c r="BR38" s="508"/>
      <c r="BS38" s="118"/>
      <c r="BT38" s="92"/>
      <c r="BU38" s="92"/>
      <c r="BV38" s="100"/>
      <c r="BW38" s="507" t="s">
        <v>284</v>
      </c>
      <c r="BX38" s="508"/>
      <c r="BY38" s="507" t="s">
        <v>283</v>
      </c>
      <c r="BZ38" s="509"/>
      <c r="CA38" s="91"/>
      <c r="CB38" s="130"/>
      <c r="CW38" s="7" t="s">
        <v>215</v>
      </c>
      <c r="CX38" s="7">
        <v>70</v>
      </c>
      <c r="CY38" s="13">
        <f>CONVERT(CX38,"F","C")</f>
        <v>21.111111111111111</v>
      </c>
    </row>
    <row r="39" spans="1:103">
      <c r="A39" s="154">
        <v>7</v>
      </c>
      <c r="B39" s="147">
        <v>218</v>
      </c>
      <c r="C39" s="147">
        <v>23</v>
      </c>
      <c r="D39" s="175">
        <f>($C39-$K$16)/($K$15-$K$16)</f>
        <v>0</v>
      </c>
      <c r="E39" s="176">
        <f t="shared" ref="E39:E56" si="35">$F$4*D39</f>
        <v>0</v>
      </c>
      <c r="F39" s="177">
        <f t="shared" ref="F39:F56" si="36">IF(C39&lt;=27,((27-C39)/(27-20))*$F$14*($K$4*$K$7-$K$3*$K$6),((27-C39)/(35-27))*$F$14*($K$5*$K$8-$K$4*$K$7))</f>
        <v>1.0543619047619046</v>
      </c>
      <c r="G39" s="178">
        <f t="shared" ref="G39:G56" si="37">$F$4+F39</f>
        <v>3.6543619047619047</v>
      </c>
      <c r="H39" s="176">
        <f t="shared" ref="H39:H56" si="38">IF(C39&lt;=$F$18,E39,$F$19)</f>
        <v>0</v>
      </c>
      <c r="I39" s="179">
        <f t="shared" ref="I39:I56" si="39">IF(G39&lt;0,1,MIN(H39/G39,1))</f>
        <v>0</v>
      </c>
      <c r="J39" s="180">
        <f>IF($C39&lt;=$F$18,G39/($F$4/$G$4),$F$19/($F$4/$G$4))</f>
        <v>4.2165714285714282</v>
      </c>
      <c r="K39" s="181">
        <f t="shared" ref="K39:K56" si="40">$J39*(1-($F$9*(1-I39)))</f>
        <v>3.1624285714285714</v>
      </c>
      <c r="L39" s="178">
        <f t="shared" ref="L39:L56" si="41">H39/K39</f>
        <v>0</v>
      </c>
      <c r="M39" s="203"/>
      <c r="N39" s="147">
        <f t="shared" si="9"/>
        <v>23</v>
      </c>
      <c r="O39" s="175">
        <f t="shared" ref="O39:O56" si="42">($C39-$V$16)/($V$15-$K$16)</f>
        <v>0</v>
      </c>
      <c r="P39" s="176">
        <f t="shared" ref="P39:P56" si="43">$Q$4*O39</f>
        <v>0</v>
      </c>
      <c r="Q39" s="177">
        <f t="shared" ref="Q39:Q56" si="44">IF(C39&lt;=27,((27-C39)/(27-20))*$Q$14*($V$4*$V$7-$V$3*$V$6),((27-C39)/(35-27))*$F$14*($V$5*$V$8-$V$4*$V$7))</f>
        <v>1.0543619047619046</v>
      </c>
      <c r="R39" s="178">
        <f t="shared" ref="R39:R56" si="45">$F$4+Q39</f>
        <v>3.6543619047619047</v>
      </c>
      <c r="S39" s="176">
        <f t="shared" ref="S39:S46" si="46">IF(C39&lt;=$Q$18,P39,$Q$19)</f>
        <v>0</v>
      </c>
      <c r="T39" s="179">
        <f t="shared" ref="T39:T56" si="47">IF(R39&lt;0,1,MIN(S39/R39,1))</f>
        <v>0</v>
      </c>
      <c r="U39" s="180">
        <f>IF($N39&lt;=$Q$18,R39/($Q$4/$R$4),$Q$19/($Q$4/$R$4))</f>
        <v>4.2165714285714282</v>
      </c>
      <c r="V39" s="181">
        <f t="shared" ref="V39:V56" si="48">IF(T39&gt;=0.33,$U39*(1+$Q$21*(1-T39)),$R$4*(1+$Q$21*(1-0.33))*(1-$Q$9*(1-T39/0.33)))</f>
        <v>8.7824999999999989</v>
      </c>
      <c r="W39" s="192">
        <f t="shared" ref="W39:W56" si="49">S39/V39</f>
        <v>0</v>
      </c>
      <c r="X39" s="203"/>
      <c r="Y39" s="147">
        <f t="shared" si="10"/>
        <v>23</v>
      </c>
      <c r="Z39" s="175">
        <f t="shared" si="11"/>
        <v>0.36842105263157893</v>
      </c>
      <c r="AA39" s="209">
        <f t="shared" si="12"/>
        <v>0.88421052631578945</v>
      </c>
      <c r="AB39" s="210">
        <f t="shared" si="28"/>
        <v>0.88421052631578945</v>
      </c>
      <c r="AC39" s="209">
        <f t="shared" si="13"/>
        <v>2.7</v>
      </c>
      <c r="AD39" s="210">
        <f t="shared" si="14"/>
        <v>2.7</v>
      </c>
      <c r="AE39" s="178">
        <f t="shared" si="15"/>
        <v>0.32748538011695905</v>
      </c>
      <c r="AF39" s="211">
        <f t="shared" si="16"/>
        <v>2.2460526315789475</v>
      </c>
      <c r="AG39" s="209">
        <f t="shared" si="17"/>
        <v>0.39367311072056232</v>
      </c>
      <c r="AH39" s="209"/>
      <c r="AI39" s="88"/>
      <c r="AJ39" s="147">
        <f t="shared" si="18"/>
        <v>23</v>
      </c>
      <c r="AK39" s="175">
        <f t="shared" si="19"/>
        <v>0.36842105263157893</v>
      </c>
      <c r="AL39" s="209">
        <f t="shared" si="20"/>
        <v>0.88421052631578945</v>
      </c>
      <c r="AM39" s="210">
        <f t="shared" si="29"/>
        <v>0.88421052631578945</v>
      </c>
      <c r="AN39" s="209">
        <f>$AM$4+($AM$5-$AM$4)/8*($AJ39-27)</f>
        <v>2.7</v>
      </c>
      <c r="AO39" s="210">
        <f t="shared" si="30"/>
        <v>2.7</v>
      </c>
      <c r="AP39" s="178">
        <f t="shared" si="22"/>
        <v>0.32748538011695905</v>
      </c>
      <c r="AQ39" s="211">
        <f t="shared" si="23"/>
        <v>3.3719391447368419</v>
      </c>
      <c r="AR39" s="209">
        <f t="shared" si="24"/>
        <v>0.2622261222287855</v>
      </c>
      <c r="AS39" s="209"/>
      <c r="AT39" s="88"/>
      <c r="AU39" s="147">
        <v>23</v>
      </c>
      <c r="AV39" s="175">
        <f t="shared" si="31"/>
        <v>0.36842105263157893</v>
      </c>
      <c r="AW39" s="213">
        <f t="shared" si="32"/>
        <v>0.92105263157894735</v>
      </c>
      <c r="AX39" s="214">
        <f>FORECAST(AU39,$AX$6:$AX$7,$AW$6:$AW$7)</f>
        <v>1.92</v>
      </c>
      <c r="AY39" s="214">
        <f t="shared" si="34"/>
        <v>6.2920000000000016</v>
      </c>
      <c r="AZ39" s="213">
        <f t="shared" si="33"/>
        <v>0.47971491228070173</v>
      </c>
      <c r="BA39" s="215">
        <f t="shared" si="26"/>
        <v>5.4735915570175449</v>
      </c>
      <c r="BB39" s="209">
        <f t="shared" si="27"/>
        <v>0.16827207912473674</v>
      </c>
      <c r="BC39" s="143"/>
      <c r="BD39" s="123"/>
      <c r="BE39" s="88"/>
      <c r="BF39" s="88"/>
      <c r="BG39" s="88"/>
      <c r="BH39" s="88"/>
      <c r="BI39" s="88"/>
      <c r="BJ39" s="88"/>
      <c r="BK39" s="88"/>
      <c r="BL39" s="91"/>
      <c r="BM39" s="88"/>
      <c r="BN39" s="89" t="s">
        <v>316</v>
      </c>
      <c r="BO39" s="92" t="s">
        <v>324</v>
      </c>
      <c r="BP39" s="90" t="s">
        <v>245</v>
      </c>
      <c r="BQ39" s="504">
        <f>(BQ31*BQ33)/(1-BQ35)</f>
        <v>22.10962104981083</v>
      </c>
      <c r="BR39" s="506"/>
      <c r="BS39" s="91"/>
      <c r="BT39" s="88"/>
      <c r="BU39" s="93" t="s">
        <v>246</v>
      </c>
      <c r="BV39" s="90" t="str">
        <f t="shared" ref="BV39:BV42" si="50">BP39</f>
        <v>lb/m</v>
      </c>
      <c r="BW39" s="504">
        <f>BX37-BW37</f>
        <v>-0.61280230238564837</v>
      </c>
      <c r="BX39" s="505"/>
      <c r="BY39" s="504">
        <f>BZ37-BY37</f>
        <v>-0.67595599798839956</v>
      </c>
      <c r="BZ39" s="506"/>
      <c r="CA39" s="91" t="s">
        <v>323</v>
      </c>
      <c r="CB39" s="130"/>
      <c r="CW39" s="7">
        <v>1.1990000000000001</v>
      </c>
      <c r="CX39" s="7" t="s">
        <v>132</v>
      </c>
    </row>
    <row r="40" spans="1:103">
      <c r="A40" s="154">
        <v>8</v>
      </c>
      <c r="B40" s="147">
        <v>197</v>
      </c>
      <c r="C40" s="147">
        <v>24</v>
      </c>
      <c r="D40" s="175">
        <f t="shared" ref="D40:D56" si="51">(C40-$K$16)/($K$15-$K$16)</f>
        <v>8.3333333333333329E-2</v>
      </c>
      <c r="E40" s="176">
        <f t="shared" si="35"/>
        <v>0.21666666666666667</v>
      </c>
      <c r="F40" s="177">
        <f t="shared" si="36"/>
        <v>0.79077142857142846</v>
      </c>
      <c r="G40" s="178">
        <f t="shared" si="37"/>
        <v>3.3907714285714285</v>
      </c>
      <c r="H40" s="176">
        <f t="shared" si="38"/>
        <v>0.21666666666666667</v>
      </c>
      <c r="I40" s="179">
        <f t="shared" si="39"/>
        <v>6.3898930149340935E-2</v>
      </c>
      <c r="J40" s="180">
        <f t="shared" ref="J40:J56" si="52">IF($C40&lt;=$F$18,G40/($F$4/$G$4),$F$19/($F$4/$G$4))</f>
        <v>3.9124285714285714</v>
      </c>
      <c r="K40" s="181">
        <f t="shared" si="40"/>
        <v>2.9968214285714283</v>
      </c>
      <c r="L40" s="178">
        <f t="shared" si="41"/>
        <v>7.2298824548231666E-2</v>
      </c>
      <c r="M40" s="203"/>
      <c r="N40" s="147">
        <f t="shared" si="9"/>
        <v>24</v>
      </c>
      <c r="O40" s="175">
        <f t="shared" si="42"/>
        <v>8.3333333333333329E-2</v>
      </c>
      <c r="P40" s="176">
        <f t="shared" si="43"/>
        <v>0.21666666666666667</v>
      </c>
      <c r="Q40" s="177">
        <f t="shared" si="44"/>
        <v>0.79077142857142846</v>
      </c>
      <c r="R40" s="178">
        <f t="shared" si="45"/>
        <v>3.3907714285714285</v>
      </c>
      <c r="S40" s="176">
        <f t="shared" si="46"/>
        <v>0.21666666666666667</v>
      </c>
      <c r="T40" s="179">
        <f t="shared" si="47"/>
        <v>6.3898930149340935E-2</v>
      </c>
      <c r="U40" s="180">
        <f t="shared" ref="U40:U56" si="53">IF($N40&lt;=$Q$18,R40/($Q$4/$R$4),$Q$19/($F$4/$R$4))</f>
        <v>3.9124285714285714</v>
      </c>
      <c r="V40" s="181">
        <f t="shared" si="48"/>
        <v>9.3493609636733197</v>
      </c>
      <c r="W40" s="192">
        <f t="shared" si="49"/>
        <v>2.3174489412540487E-2</v>
      </c>
      <c r="X40" s="203"/>
      <c r="Y40" s="147">
        <f t="shared" si="10"/>
        <v>24</v>
      </c>
      <c r="Z40" s="175">
        <f t="shared" si="11"/>
        <v>0.42105263157894735</v>
      </c>
      <c r="AA40" s="209">
        <f t="shared" si="12"/>
        <v>1.0105263157894735</v>
      </c>
      <c r="AB40" s="210">
        <f t="shared" si="28"/>
        <v>1.0105263157894735</v>
      </c>
      <c r="AC40" s="209">
        <f t="shared" si="13"/>
        <v>2.6750000000000003</v>
      </c>
      <c r="AD40" s="210">
        <f t="shared" si="14"/>
        <v>2.6750000000000003</v>
      </c>
      <c r="AE40" s="178">
        <f t="shared" si="15"/>
        <v>0.37776684702410218</v>
      </c>
      <c r="AF40" s="211">
        <f t="shared" si="16"/>
        <v>2.2588815789473684</v>
      </c>
      <c r="AG40" s="209">
        <f t="shared" si="17"/>
        <v>0.4473569244211445</v>
      </c>
      <c r="AH40" s="209"/>
      <c r="AI40" s="88"/>
      <c r="AJ40" s="147">
        <f t="shared" si="18"/>
        <v>24</v>
      </c>
      <c r="AK40" s="175">
        <f t="shared" si="19"/>
        <v>0.42105263157894735</v>
      </c>
      <c r="AL40" s="209">
        <f t="shared" si="20"/>
        <v>1.0105263157894735</v>
      </c>
      <c r="AM40" s="210">
        <f t="shared" si="29"/>
        <v>1.0105263157894735</v>
      </c>
      <c r="AN40" s="209">
        <f t="shared" si="21"/>
        <v>2.6750000000000003</v>
      </c>
      <c r="AO40" s="210">
        <f t="shared" si="30"/>
        <v>2.6750000000000003</v>
      </c>
      <c r="AP40" s="178">
        <f t="shared" si="22"/>
        <v>0.37776684702410218</v>
      </c>
      <c r="AQ40" s="211">
        <f t="shared" si="23"/>
        <v>3.2991776315789476</v>
      </c>
      <c r="AR40" s="209">
        <f t="shared" si="24"/>
        <v>0.3062964255446432</v>
      </c>
      <c r="AS40" s="209"/>
      <c r="AT40" s="88"/>
      <c r="AU40" s="147">
        <v>24</v>
      </c>
      <c r="AV40" s="175">
        <f t="shared" si="31"/>
        <v>0.42105263157894735</v>
      </c>
      <c r="AW40" s="213">
        <f t="shared" si="32"/>
        <v>1.0526315789473684</v>
      </c>
      <c r="AX40" s="214">
        <f>FORECAST(AU40,$AX$6:$AX$7,$AW$6:$AW$7)</f>
        <v>1.96</v>
      </c>
      <c r="AY40" s="214">
        <f t="shared" si="34"/>
        <v>6.1710000000000012</v>
      </c>
      <c r="AZ40" s="213">
        <f t="shared" si="33"/>
        <v>0.53705692803437166</v>
      </c>
      <c r="BA40" s="215">
        <f t="shared" si="26"/>
        <v>5.456794575725028</v>
      </c>
      <c r="BB40" s="209">
        <f t="shared" si="27"/>
        <v>0.19290291476796309</v>
      </c>
      <c r="BC40" s="143"/>
      <c r="BD40" s="123"/>
      <c r="BE40" s="88"/>
      <c r="BF40" s="88"/>
      <c r="BG40" s="88"/>
      <c r="BH40" s="88"/>
      <c r="BI40" s="88"/>
      <c r="BJ40" s="88"/>
      <c r="BK40" s="88"/>
      <c r="BL40" s="91"/>
      <c r="BM40" s="88"/>
      <c r="BN40" s="163" t="s">
        <v>326</v>
      </c>
      <c r="BO40" s="93"/>
      <c r="BP40" s="90"/>
      <c r="BQ40" s="261" t="s">
        <v>309</v>
      </c>
      <c r="BR40" s="262" t="s">
        <v>310</v>
      </c>
      <c r="BS40" s="121"/>
      <c r="BT40" s="95"/>
      <c r="BU40" s="95"/>
      <c r="BV40" s="90"/>
      <c r="BW40" s="526" t="s">
        <v>309</v>
      </c>
      <c r="BX40" s="527"/>
      <c r="BY40" s="526" t="s">
        <v>310</v>
      </c>
      <c r="BZ40" s="527"/>
      <c r="CA40" s="91"/>
      <c r="CB40" s="130"/>
      <c r="CW40" s="7">
        <v>7.4870000000000006E-2</v>
      </c>
      <c r="CX40" s="7" t="s">
        <v>251</v>
      </c>
    </row>
    <row r="41" spans="1:103">
      <c r="A41" s="154">
        <v>9</v>
      </c>
      <c r="B41" s="147">
        <v>178</v>
      </c>
      <c r="C41" s="147">
        <v>25</v>
      </c>
      <c r="D41" s="175">
        <f t="shared" si="51"/>
        <v>0.16666666666666666</v>
      </c>
      <c r="E41" s="176">
        <f t="shared" si="35"/>
        <v>0.43333333333333335</v>
      </c>
      <c r="F41" s="177">
        <f t="shared" si="36"/>
        <v>0.52718095238095231</v>
      </c>
      <c r="G41" s="178">
        <f t="shared" si="37"/>
        <v>3.1271809523809524</v>
      </c>
      <c r="H41" s="176">
        <f t="shared" si="38"/>
        <v>0.43333333333333335</v>
      </c>
      <c r="I41" s="179">
        <f t="shared" si="39"/>
        <v>0.13856995803309843</v>
      </c>
      <c r="J41" s="180">
        <f t="shared" si="52"/>
        <v>3.6082857142857141</v>
      </c>
      <c r="K41" s="181">
        <f t="shared" si="40"/>
        <v>2.8312142857142857</v>
      </c>
      <c r="L41" s="178">
        <f t="shared" si="41"/>
        <v>0.15305564666010715</v>
      </c>
      <c r="M41" s="203"/>
      <c r="N41" s="147">
        <f t="shared" si="9"/>
        <v>25</v>
      </c>
      <c r="O41" s="175">
        <f t="shared" si="42"/>
        <v>0.16666666666666666</v>
      </c>
      <c r="P41" s="176">
        <f t="shared" si="43"/>
        <v>0.43333333333333335</v>
      </c>
      <c r="Q41" s="177">
        <f t="shared" si="44"/>
        <v>0.52718095238095231</v>
      </c>
      <c r="R41" s="178">
        <f t="shared" si="45"/>
        <v>3.1271809523809524</v>
      </c>
      <c r="S41" s="176">
        <f t="shared" si="46"/>
        <v>0.43333333333333335</v>
      </c>
      <c r="T41" s="179">
        <f t="shared" si="47"/>
        <v>0.13856995803309843</v>
      </c>
      <c r="U41" s="180">
        <f t="shared" si="53"/>
        <v>3.6082857142857141</v>
      </c>
      <c r="V41" s="181">
        <f t="shared" si="48"/>
        <v>10.011783491339077</v>
      </c>
      <c r="W41" s="192">
        <f t="shared" si="49"/>
        <v>4.3282331635337325E-2</v>
      </c>
      <c r="X41" s="203"/>
      <c r="Y41" s="147">
        <f t="shared" si="10"/>
        <v>25</v>
      </c>
      <c r="Z41" s="175">
        <f t="shared" si="11"/>
        <v>0.47368421052631576</v>
      </c>
      <c r="AA41" s="209">
        <f t="shared" si="12"/>
        <v>1.1368421052631579</v>
      </c>
      <c r="AB41" s="210">
        <f t="shared" si="28"/>
        <v>1.1368421052631579</v>
      </c>
      <c r="AC41" s="209">
        <f t="shared" si="13"/>
        <v>2.6500000000000004</v>
      </c>
      <c r="AD41" s="210">
        <f t="shared" si="14"/>
        <v>2.6500000000000004</v>
      </c>
      <c r="AE41" s="178">
        <f t="shared" si="15"/>
        <v>0.4289970208540218</v>
      </c>
      <c r="AF41" s="211">
        <f t="shared" si="16"/>
        <v>2.2717105263157897</v>
      </c>
      <c r="AG41" s="209">
        <f t="shared" si="17"/>
        <v>0.50043440486533441</v>
      </c>
      <c r="AH41" s="209"/>
      <c r="AI41" s="88"/>
      <c r="AJ41" s="147">
        <f t="shared" si="18"/>
        <v>25</v>
      </c>
      <c r="AK41" s="175">
        <f t="shared" si="19"/>
        <v>0.47368421052631576</v>
      </c>
      <c r="AL41" s="209">
        <f t="shared" si="20"/>
        <v>1.1368421052631579</v>
      </c>
      <c r="AM41" s="210">
        <f t="shared" si="29"/>
        <v>1.1368421052631579</v>
      </c>
      <c r="AN41" s="209">
        <f t="shared" si="21"/>
        <v>2.6500000000000004</v>
      </c>
      <c r="AO41" s="210">
        <f t="shared" si="30"/>
        <v>2.6500000000000004</v>
      </c>
      <c r="AP41" s="178">
        <f t="shared" si="22"/>
        <v>0.4289970208540218</v>
      </c>
      <c r="AQ41" s="211">
        <f t="shared" si="23"/>
        <v>3.2174342105263158</v>
      </c>
      <c r="AR41" s="209">
        <f t="shared" si="24"/>
        <v>0.35333810448829361</v>
      </c>
      <c r="AS41" s="209"/>
      <c r="AT41" s="88"/>
      <c r="AU41" s="147">
        <v>25</v>
      </c>
      <c r="AV41" s="175">
        <f t="shared" si="31"/>
        <v>0.47368421052631576</v>
      </c>
      <c r="AW41" s="213">
        <f t="shared" si="32"/>
        <v>1.1842105263157894</v>
      </c>
      <c r="AX41" s="213">
        <f>_xlfn.XLOOKUP($AU41,$AW$4:$AW$7,$AX$4:$AX$7,,0,-1)</f>
        <v>2</v>
      </c>
      <c r="AY41" s="213">
        <f>_xlfn.XLOOKUP($AU41,$AW$4:$AW$7,$AY$4:$AY$7,,0,-1)</f>
        <v>6.0500000000000007</v>
      </c>
      <c r="AZ41" s="213">
        <f t="shared" si="33"/>
        <v>0.59210526315789469</v>
      </c>
      <c r="BA41" s="215">
        <f t="shared" si="26"/>
        <v>5.4330592105263165</v>
      </c>
      <c r="BB41" s="209">
        <f t="shared" si="27"/>
        <v>0.21796385432749066</v>
      </c>
      <c r="BC41" s="143"/>
      <c r="BD41" s="123"/>
      <c r="BE41" s="88"/>
      <c r="BF41" s="88"/>
      <c r="BG41" s="88"/>
      <c r="BH41" s="88"/>
      <c r="BI41" s="88"/>
      <c r="BJ41" s="88"/>
      <c r="BK41" s="88"/>
      <c r="BL41" s="91"/>
      <c r="BM41" s="88"/>
      <c r="BN41" s="89" t="s">
        <v>289</v>
      </c>
      <c r="BO41" s="93" t="s">
        <v>286</v>
      </c>
      <c r="BP41" s="90" t="s">
        <v>287</v>
      </c>
      <c r="BQ41" s="515">
        <v>0.24</v>
      </c>
      <c r="BR41" s="516"/>
      <c r="BS41" s="91"/>
      <c r="BT41" s="88"/>
      <c r="BU41" s="88"/>
      <c r="BV41" s="90" t="str">
        <f t="shared" si="50"/>
        <v>Btu/lbm-ºF</v>
      </c>
      <c r="BW41" s="515">
        <v>0.24</v>
      </c>
      <c r="BX41" s="516"/>
      <c r="BY41" s="515">
        <v>0.24</v>
      </c>
      <c r="BZ41" s="516"/>
      <c r="CA41" s="91"/>
      <c r="CB41" s="130"/>
      <c r="CW41" s="7" t="s">
        <v>261</v>
      </c>
    </row>
    <row r="42" spans="1:103">
      <c r="A42" s="154">
        <v>10</v>
      </c>
      <c r="B42" s="147">
        <v>158</v>
      </c>
      <c r="C42" s="147">
        <v>26</v>
      </c>
      <c r="D42" s="175">
        <f t="shared" si="51"/>
        <v>0.25</v>
      </c>
      <c r="E42" s="176">
        <f t="shared" si="35"/>
        <v>0.65</v>
      </c>
      <c r="F42" s="177">
        <f t="shared" si="36"/>
        <v>0.26359047619047615</v>
      </c>
      <c r="G42" s="178">
        <f t="shared" si="37"/>
        <v>2.8635904761904762</v>
      </c>
      <c r="H42" s="176">
        <f t="shared" si="38"/>
        <v>0.65</v>
      </c>
      <c r="I42" s="179">
        <f t="shared" si="39"/>
        <v>0.22698776427861128</v>
      </c>
      <c r="J42" s="180">
        <f t="shared" si="52"/>
        <v>3.3041428571428573</v>
      </c>
      <c r="K42" s="181">
        <f t="shared" si="40"/>
        <v>2.6656071428571431</v>
      </c>
      <c r="L42" s="178">
        <f t="shared" si="41"/>
        <v>0.24384688559293646</v>
      </c>
      <c r="M42" s="203"/>
      <c r="N42" s="147">
        <f t="shared" si="9"/>
        <v>26</v>
      </c>
      <c r="O42" s="175">
        <f t="shared" si="42"/>
        <v>0.25</v>
      </c>
      <c r="P42" s="176">
        <f t="shared" si="43"/>
        <v>0.65</v>
      </c>
      <c r="Q42" s="177">
        <f t="shared" si="44"/>
        <v>0.26359047619047615</v>
      </c>
      <c r="R42" s="178">
        <f t="shared" si="45"/>
        <v>2.8635904761904762</v>
      </c>
      <c r="S42" s="176">
        <f t="shared" si="46"/>
        <v>0.65</v>
      </c>
      <c r="T42" s="179">
        <f t="shared" si="47"/>
        <v>0.22698776427861128</v>
      </c>
      <c r="U42" s="180">
        <f t="shared" si="53"/>
        <v>3.3041428571428573</v>
      </c>
      <c r="V42" s="181">
        <f t="shared" si="48"/>
        <v>10.796156605835256</v>
      </c>
      <c r="W42" s="192">
        <f t="shared" si="49"/>
        <v>6.0206610901575759E-2</v>
      </c>
      <c r="X42" s="203"/>
      <c r="Y42" s="147">
        <f t="shared" si="10"/>
        <v>26</v>
      </c>
      <c r="Z42" s="175">
        <f t="shared" si="11"/>
        <v>0.52631578947368418</v>
      </c>
      <c r="AA42" s="209">
        <f t="shared" si="12"/>
        <v>1.263157894736842</v>
      </c>
      <c r="AB42" s="210">
        <f t="shared" si="28"/>
        <v>1.263157894736842</v>
      </c>
      <c r="AC42" s="209">
        <f t="shared" si="13"/>
        <v>2.625</v>
      </c>
      <c r="AD42" s="210">
        <f t="shared" si="14"/>
        <v>2.625</v>
      </c>
      <c r="AE42" s="178">
        <f t="shared" si="15"/>
        <v>0.48120300751879697</v>
      </c>
      <c r="AF42" s="211">
        <f t="shared" si="16"/>
        <v>2.2845394736842106</v>
      </c>
      <c r="AG42" s="209">
        <f t="shared" si="17"/>
        <v>0.55291576673866083</v>
      </c>
      <c r="AH42" s="209"/>
      <c r="AI42" s="88"/>
      <c r="AJ42" s="147">
        <f t="shared" si="18"/>
        <v>26</v>
      </c>
      <c r="AK42" s="175">
        <f t="shared" si="19"/>
        <v>0.52631578947368418</v>
      </c>
      <c r="AL42" s="209">
        <f t="shared" si="20"/>
        <v>1.263157894736842</v>
      </c>
      <c r="AM42" s="210">
        <f t="shared" si="29"/>
        <v>1.263157894736842</v>
      </c>
      <c r="AN42" s="209">
        <f t="shared" si="21"/>
        <v>2.625</v>
      </c>
      <c r="AO42" s="210">
        <f t="shared" si="30"/>
        <v>2.625</v>
      </c>
      <c r="AP42" s="178">
        <f t="shared" si="22"/>
        <v>0.48120300751879697</v>
      </c>
      <c r="AQ42" s="211">
        <f t="shared" si="23"/>
        <v>3.1356907894736841</v>
      </c>
      <c r="AR42" s="209">
        <f t="shared" si="24"/>
        <v>0.4028324154209284</v>
      </c>
      <c r="AS42" s="209"/>
      <c r="AT42" s="88"/>
      <c r="AU42" s="147">
        <v>26</v>
      </c>
      <c r="AV42" s="175">
        <f t="shared" si="31"/>
        <v>0.52631578947368418</v>
      </c>
      <c r="AW42" s="213">
        <f t="shared" si="32"/>
        <v>1.3157894736842104</v>
      </c>
      <c r="AX42" s="214">
        <f>FORECAST(AU42,$AX$5:$AX$6,$AW$5:$AW$6)</f>
        <v>2.04</v>
      </c>
      <c r="AY42" s="214">
        <f>FORECAST($AU42,$AY$5:$AY$6,$AW$5:$AW$6)</f>
        <v>5.9400000000000013</v>
      </c>
      <c r="AZ42" s="213">
        <f t="shared" si="33"/>
        <v>0.6449948400412796</v>
      </c>
      <c r="BA42" s="215">
        <f t="shared" si="26"/>
        <v>5.4128173374613011</v>
      </c>
      <c r="BB42" s="209">
        <f t="shared" si="27"/>
        <v>0.24308772893144348</v>
      </c>
      <c r="BC42" s="143"/>
      <c r="BD42" s="123"/>
      <c r="BE42" s="88"/>
      <c r="BF42" s="88"/>
      <c r="BG42" s="88"/>
      <c r="BH42" s="88"/>
      <c r="BI42" s="88"/>
      <c r="BJ42" s="88"/>
      <c r="BK42" s="88"/>
      <c r="BL42" s="91"/>
      <c r="BM42" s="88"/>
      <c r="BN42" s="89" t="s">
        <v>290</v>
      </c>
      <c r="BO42" s="109" t="s">
        <v>288</v>
      </c>
      <c r="BP42" s="90" t="s">
        <v>287</v>
      </c>
      <c r="BQ42" s="515">
        <v>0.44400000000000001</v>
      </c>
      <c r="BR42" s="516"/>
      <c r="BS42" s="91"/>
      <c r="BT42" s="88"/>
      <c r="BU42" s="88"/>
      <c r="BV42" s="90" t="str">
        <f t="shared" si="50"/>
        <v>Btu/lbm-ºF</v>
      </c>
      <c r="BW42" s="515">
        <v>0.44400000000000001</v>
      </c>
      <c r="BX42" s="516"/>
      <c r="BY42" s="515">
        <v>0.44400000000000001</v>
      </c>
      <c r="BZ42" s="516"/>
      <c r="CA42" s="91"/>
      <c r="CB42" s="130"/>
      <c r="CW42" s="7" t="s">
        <v>262</v>
      </c>
    </row>
    <row r="43" spans="1:103">
      <c r="A43" s="154">
        <v>11</v>
      </c>
      <c r="B43" s="147">
        <v>137</v>
      </c>
      <c r="C43" s="147">
        <v>27</v>
      </c>
      <c r="D43" s="175">
        <f t="shared" si="51"/>
        <v>0.33333333333333331</v>
      </c>
      <c r="E43" s="176">
        <f t="shared" si="35"/>
        <v>0.8666666666666667</v>
      </c>
      <c r="F43" s="177">
        <f t="shared" si="36"/>
        <v>0</v>
      </c>
      <c r="G43" s="178">
        <f t="shared" si="37"/>
        <v>2.6</v>
      </c>
      <c r="H43" s="176">
        <f t="shared" si="38"/>
        <v>0.8666666666666667</v>
      </c>
      <c r="I43" s="179">
        <f t="shared" si="39"/>
        <v>0.33333333333333331</v>
      </c>
      <c r="J43" s="180">
        <f t="shared" si="52"/>
        <v>3</v>
      </c>
      <c r="K43" s="181">
        <f t="shared" si="40"/>
        <v>2.5</v>
      </c>
      <c r="L43" s="178">
        <f t="shared" si="41"/>
        <v>0.34666666666666668</v>
      </c>
      <c r="M43" s="203"/>
      <c r="N43" s="147">
        <f t="shared" si="9"/>
        <v>27</v>
      </c>
      <c r="O43" s="175">
        <f t="shared" si="42"/>
        <v>0.33333333333333331</v>
      </c>
      <c r="P43" s="176">
        <f t="shared" si="43"/>
        <v>0.8666666666666667</v>
      </c>
      <c r="Q43" s="177">
        <f t="shared" si="44"/>
        <v>0</v>
      </c>
      <c r="R43" s="178">
        <f t="shared" si="45"/>
        <v>2.6</v>
      </c>
      <c r="S43" s="176">
        <f t="shared" si="46"/>
        <v>0.8666666666666667</v>
      </c>
      <c r="T43" s="179">
        <f t="shared" si="47"/>
        <v>0.33333333333333331</v>
      </c>
      <c r="U43" s="180">
        <f t="shared" si="53"/>
        <v>3</v>
      </c>
      <c r="V43" s="181">
        <f t="shared" si="48"/>
        <v>11.666666666666666</v>
      </c>
      <c r="W43" s="192">
        <f t="shared" si="49"/>
        <v>7.4285714285714288E-2</v>
      </c>
      <c r="X43" s="203"/>
      <c r="Y43" s="147">
        <f t="shared" si="10"/>
        <v>27</v>
      </c>
      <c r="Z43" s="175">
        <f t="shared" si="11"/>
        <v>0.57894736842105265</v>
      </c>
      <c r="AA43" s="209">
        <f t="shared" si="12"/>
        <v>1.3894736842105264</v>
      </c>
      <c r="AB43" s="210">
        <f t="shared" si="28"/>
        <v>1.3894736842105264</v>
      </c>
      <c r="AC43" s="209">
        <f t="shared" si="13"/>
        <v>2.6</v>
      </c>
      <c r="AD43" s="210">
        <f t="shared" si="14"/>
        <v>2.6</v>
      </c>
      <c r="AE43" s="178">
        <f t="shared" si="15"/>
        <v>0.53441295546558709</v>
      </c>
      <c r="AF43" s="211">
        <f t="shared" si="16"/>
        <v>2.2973684210526319</v>
      </c>
      <c r="AG43" s="209">
        <f t="shared" si="17"/>
        <v>0.60481099656357384</v>
      </c>
      <c r="AH43" s="209"/>
      <c r="AI43" s="88"/>
      <c r="AJ43" s="147">
        <f t="shared" si="18"/>
        <v>27</v>
      </c>
      <c r="AK43" s="175">
        <f t="shared" si="19"/>
        <v>0.57894736842105265</v>
      </c>
      <c r="AL43" s="209">
        <f t="shared" si="20"/>
        <v>1.3894736842105264</v>
      </c>
      <c r="AM43" s="210">
        <f t="shared" si="29"/>
        <v>1.3894736842105264</v>
      </c>
      <c r="AN43" s="209">
        <f t="shared" si="21"/>
        <v>2.6</v>
      </c>
      <c r="AO43" s="210">
        <f t="shared" si="30"/>
        <v>2.6</v>
      </c>
      <c r="AP43" s="178">
        <f t="shared" si="22"/>
        <v>0.53441295546558709</v>
      </c>
      <c r="AQ43" s="211">
        <f t="shared" si="23"/>
        <v>3.0539473684210527</v>
      </c>
      <c r="AR43" s="209">
        <f t="shared" si="24"/>
        <v>0.45497630331753558</v>
      </c>
      <c r="AS43" s="209"/>
      <c r="AT43" s="88"/>
      <c r="AU43" s="147">
        <v>27</v>
      </c>
      <c r="AV43" s="175">
        <f t="shared" si="31"/>
        <v>0.57894736842105265</v>
      </c>
      <c r="AW43" s="213">
        <f t="shared" si="32"/>
        <v>1.4473684210526316</v>
      </c>
      <c r="AX43" s="214">
        <f>FORECAST(AU43,$AX$5:$AX$6,$AW$5:$AW$6)</f>
        <v>2.08</v>
      </c>
      <c r="AY43" s="214">
        <f t="shared" ref="AY43:AY45" si="54">FORECAST($AU43,$AY$5:$AY$6,$AW$5:$AW$6)</f>
        <v>5.83</v>
      </c>
      <c r="AZ43" s="213">
        <f t="shared" si="33"/>
        <v>0.69585020242914986</v>
      </c>
      <c r="BA43" s="215">
        <f t="shared" si="26"/>
        <v>5.3867016700404857</v>
      </c>
      <c r="BB43" s="209">
        <f t="shared" si="27"/>
        <v>0.26869288661418544</v>
      </c>
      <c r="BC43" s="143"/>
      <c r="BD43" s="123"/>
      <c r="BE43" s="88"/>
      <c r="BF43" s="88"/>
      <c r="BG43" s="88"/>
      <c r="BH43" s="88"/>
      <c r="BI43" s="88"/>
      <c r="BJ43" s="88"/>
      <c r="BK43" s="88"/>
      <c r="BL43" s="91"/>
      <c r="BM43" s="88"/>
      <c r="BN43" s="89"/>
      <c r="BO43" s="109" t="s">
        <v>291</v>
      </c>
      <c r="BP43" s="90" t="s">
        <v>216</v>
      </c>
      <c r="BQ43" s="515">
        <v>80</v>
      </c>
      <c r="BR43" s="516"/>
      <c r="BS43" s="78">
        <v>0.97</v>
      </c>
      <c r="BT43" s="117" t="s">
        <v>397</v>
      </c>
      <c r="BU43" s="88"/>
      <c r="BV43" s="90" t="str">
        <f>BP43</f>
        <v>ºF</v>
      </c>
      <c r="BW43" s="515">
        <v>80</v>
      </c>
      <c r="BX43" s="516"/>
      <c r="BY43" s="515">
        <v>80</v>
      </c>
      <c r="BZ43" s="516"/>
      <c r="CA43" s="78">
        <v>0.97</v>
      </c>
      <c r="CB43" s="130"/>
    </row>
    <row r="44" spans="1:103">
      <c r="A44" s="154">
        <v>12</v>
      </c>
      <c r="B44" s="147">
        <v>109</v>
      </c>
      <c r="C44" s="147">
        <v>28</v>
      </c>
      <c r="D44" s="175">
        <f>(C44-$K$16)/($K$15-$K$16)</f>
        <v>0.41666666666666669</v>
      </c>
      <c r="E44" s="176">
        <f t="shared" si="35"/>
        <v>1.0833333333333335</v>
      </c>
      <c r="F44" s="177">
        <f t="shared" si="36"/>
        <v>-0.36040694444444438</v>
      </c>
      <c r="G44" s="178">
        <f t="shared" si="37"/>
        <v>2.2395930555555559</v>
      </c>
      <c r="H44" s="176">
        <f>IF(C44&lt;=$F$18,E44,$F$19)</f>
        <v>1.0833333333333335</v>
      </c>
      <c r="I44" s="179">
        <f t="shared" si="39"/>
        <v>0.48371883036786817</v>
      </c>
      <c r="J44" s="180">
        <f t="shared" si="52"/>
        <v>2.5841458333333338</v>
      </c>
      <c r="K44" s="181">
        <f t="shared" si="40"/>
        <v>2.2506093750000007</v>
      </c>
      <c r="L44" s="178">
        <f t="shared" si="41"/>
        <v>0.48135111555435212</v>
      </c>
      <c r="M44" s="203"/>
      <c r="N44" s="147">
        <f t="shared" si="9"/>
        <v>28</v>
      </c>
      <c r="O44" s="175">
        <f t="shared" si="42"/>
        <v>0.41666666666666669</v>
      </c>
      <c r="P44" s="176">
        <f t="shared" si="43"/>
        <v>1.0833333333333335</v>
      </c>
      <c r="Q44" s="177">
        <f t="shared" si="44"/>
        <v>-0.36040694444444438</v>
      </c>
      <c r="R44" s="178">
        <f t="shared" si="45"/>
        <v>2.2395930555555559</v>
      </c>
      <c r="S44" s="176">
        <f t="shared" si="46"/>
        <v>1.0833333333333335</v>
      </c>
      <c r="T44" s="179">
        <f t="shared" si="47"/>
        <v>0.48371883036786817</v>
      </c>
      <c r="U44" s="180">
        <f t="shared" si="53"/>
        <v>2.5841458333333338</v>
      </c>
      <c r="V44" s="181">
        <f t="shared" si="48"/>
        <v>8.3654444444444458</v>
      </c>
      <c r="W44" s="192">
        <f t="shared" si="49"/>
        <v>0.12950098952038147</v>
      </c>
      <c r="X44" s="203"/>
      <c r="Y44" s="147">
        <f t="shared" si="10"/>
        <v>28</v>
      </c>
      <c r="Z44" s="175">
        <f t="shared" si="11"/>
        <v>0.63157894736842102</v>
      </c>
      <c r="AA44" s="209">
        <f t="shared" si="12"/>
        <v>1.5157894736842104</v>
      </c>
      <c r="AB44" s="210">
        <f t="shared" si="28"/>
        <v>1.5157894736842104</v>
      </c>
      <c r="AC44" s="209">
        <f t="shared" si="13"/>
        <v>2.5750000000000002</v>
      </c>
      <c r="AD44" s="210">
        <f t="shared" si="14"/>
        <v>2.5750000000000002</v>
      </c>
      <c r="AE44" s="178">
        <f t="shared" si="15"/>
        <v>0.58865610628513021</v>
      </c>
      <c r="AF44" s="211">
        <f t="shared" si="16"/>
        <v>2.3101973684210528</v>
      </c>
      <c r="AG44" s="209">
        <f t="shared" si="17"/>
        <v>0.65612985903460042</v>
      </c>
      <c r="AH44" s="209"/>
      <c r="AI44" s="88"/>
      <c r="AJ44" s="147">
        <f t="shared" si="18"/>
        <v>28</v>
      </c>
      <c r="AK44" s="175">
        <f t="shared" si="19"/>
        <v>0.63157894736842102</v>
      </c>
      <c r="AL44" s="209">
        <f t="shared" si="20"/>
        <v>1.5157894736842104</v>
      </c>
      <c r="AM44" s="210">
        <f t="shared" si="29"/>
        <v>1.5157894736842104</v>
      </c>
      <c r="AN44" s="209">
        <f t="shared" si="21"/>
        <v>2.5750000000000002</v>
      </c>
      <c r="AO44" s="210">
        <f t="shared" si="30"/>
        <v>2.5750000000000002</v>
      </c>
      <c r="AP44" s="178">
        <f t="shared" si="22"/>
        <v>0.58865610628513021</v>
      </c>
      <c r="AQ44" s="211">
        <f t="shared" si="23"/>
        <v>2.9722039473684214</v>
      </c>
      <c r="AR44" s="209">
        <f t="shared" si="24"/>
        <v>0.50998837917104745</v>
      </c>
      <c r="AS44" s="209"/>
      <c r="AT44" s="88"/>
      <c r="AU44" s="147">
        <v>28</v>
      </c>
      <c r="AV44" s="175">
        <f t="shared" si="31"/>
        <v>0.63157894736842102</v>
      </c>
      <c r="AW44" s="213">
        <f t="shared" si="32"/>
        <v>1.5789473684210527</v>
      </c>
      <c r="AX44" s="214">
        <f>FORECAST(AU44,$AX$5:$AX$6,$AW$5:$AW$6)</f>
        <v>2.12</v>
      </c>
      <c r="AY44" s="214">
        <f t="shared" si="54"/>
        <v>5.7200000000000006</v>
      </c>
      <c r="AZ44" s="213">
        <f t="shared" si="33"/>
        <v>0.74478649453823231</v>
      </c>
      <c r="BA44" s="215">
        <f t="shared" si="26"/>
        <v>5.3550446871896726</v>
      </c>
      <c r="BB44" s="209">
        <f t="shared" si="27"/>
        <v>0.29485232349194163</v>
      </c>
      <c r="BC44" s="143"/>
      <c r="BD44" s="123"/>
      <c r="BE44" s="88"/>
      <c r="BF44" s="88"/>
      <c r="BG44" s="88"/>
      <c r="BH44" s="88"/>
      <c r="BI44" s="88"/>
      <c r="BJ44" s="88"/>
      <c r="BK44" s="88"/>
      <c r="BL44" s="91"/>
      <c r="BM44" s="88"/>
      <c r="BN44" s="89" t="s">
        <v>292</v>
      </c>
      <c r="BO44" s="93" t="s">
        <v>293</v>
      </c>
      <c r="BP44" s="90" t="s">
        <v>216</v>
      </c>
      <c r="BQ44" s="74">
        <v>95</v>
      </c>
      <c r="BR44" s="74">
        <v>83</v>
      </c>
      <c r="BS44" s="77" t="s">
        <v>396</v>
      </c>
      <c r="BT44" s="88"/>
      <c r="BU44" s="88"/>
      <c r="BV44" s="90" t="str">
        <f>BP44</f>
        <v>ºF</v>
      </c>
      <c r="BW44" s="517">
        <v>95</v>
      </c>
      <c r="BX44" s="517"/>
      <c r="BY44" s="517">
        <v>83</v>
      </c>
      <c r="BZ44" s="518"/>
      <c r="CA44" s="77" t="s">
        <v>396</v>
      </c>
      <c r="CB44" s="30"/>
      <c r="CW44" s="7" t="s">
        <v>263</v>
      </c>
    </row>
    <row r="45" spans="1:103">
      <c r="A45" s="154">
        <v>13</v>
      </c>
      <c r="B45" s="147">
        <v>88</v>
      </c>
      <c r="C45" s="147">
        <v>29</v>
      </c>
      <c r="D45" s="175">
        <f t="shared" si="51"/>
        <v>0.5</v>
      </c>
      <c r="E45" s="176">
        <f t="shared" si="35"/>
        <v>1.3</v>
      </c>
      <c r="F45" s="177">
        <f t="shared" si="36"/>
        <v>-0.72081388888888875</v>
      </c>
      <c r="G45" s="178">
        <f t="shared" si="37"/>
        <v>1.8791861111111112</v>
      </c>
      <c r="H45" s="176">
        <f t="shared" si="38"/>
        <v>1.3</v>
      </c>
      <c r="I45" s="179">
        <f t="shared" si="39"/>
        <v>0.69178885066968998</v>
      </c>
      <c r="J45" s="180">
        <f t="shared" si="52"/>
        <v>2.1682916666666667</v>
      </c>
      <c r="K45" s="181">
        <f t="shared" si="40"/>
        <v>2.00121875</v>
      </c>
      <c r="L45" s="178">
        <f t="shared" si="41"/>
        <v>0.64960414747263384</v>
      </c>
      <c r="M45" s="203"/>
      <c r="N45" s="147">
        <f t="shared" si="9"/>
        <v>29</v>
      </c>
      <c r="O45" s="175">
        <f t="shared" si="42"/>
        <v>0.5</v>
      </c>
      <c r="P45" s="176">
        <f t="shared" si="43"/>
        <v>1.3</v>
      </c>
      <c r="Q45" s="177">
        <f t="shared" si="44"/>
        <v>-0.72081388888888875</v>
      </c>
      <c r="R45" s="178">
        <f t="shared" si="45"/>
        <v>1.8791861111111112</v>
      </c>
      <c r="S45" s="176">
        <f t="shared" si="46"/>
        <v>1.3</v>
      </c>
      <c r="T45" s="179">
        <f t="shared" si="47"/>
        <v>0.69178885066968998</v>
      </c>
      <c r="U45" s="180">
        <f t="shared" si="53"/>
        <v>2.1682916666666667</v>
      </c>
      <c r="V45" s="181">
        <f t="shared" si="48"/>
        <v>5.0642222222222228</v>
      </c>
      <c r="W45" s="192">
        <f t="shared" si="49"/>
        <v>0.25670279520821448</v>
      </c>
      <c r="X45" s="203"/>
      <c r="Y45" s="147">
        <f t="shared" si="10"/>
        <v>29</v>
      </c>
      <c r="Z45" s="175">
        <f t="shared" si="11"/>
        <v>0.68421052631578949</v>
      </c>
      <c r="AA45" s="209">
        <f t="shared" si="12"/>
        <v>1.6421052631578947</v>
      </c>
      <c r="AB45" s="210">
        <f t="shared" si="28"/>
        <v>1.6421052631578947</v>
      </c>
      <c r="AC45" s="209">
        <f t="shared" si="13"/>
        <v>2.5499999999999998</v>
      </c>
      <c r="AD45" s="210">
        <f t="shared" si="14"/>
        <v>2.5499999999999998</v>
      </c>
      <c r="AE45" s="178">
        <f t="shared" si="15"/>
        <v>0.64396284829721362</v>
      </c>
      <c r="AF45" s="211">
        <f t="shared" si="16"/>
        <v>2.3230263157894733</v>
      </c>
      <c r="AG45" s="209">
        <f t="shared" si="17"/>
        <v>0.70688190314358557</v>
      </c>
      <c r="AH45" s="209"/>
      <c r="AI45" s="88"/>
      <c r="AJ45" s="147">
        <f t="shared" si="18"/>
        <v>29</v>
      </c>
      <c r="AK45" s="175">
        <f t="shared" si="19"/>
        <v>0.68421052631578949</v>
      </c>
      <c r="AL45" s="209">
        <f t="shared" si="20"/>
        <v>1.6421052631578947</v>
      </c>
      <c r="AM45" s="210">
        <f t="shared" si="29"/>
        <v>1.6421052631578947</v>
      </c>
      <c r="AN45" s="209">
        <f t="shared" si="21"/>
        <v>2.5499999999999998</v>
      </c>
      <c r="AO45" s="210">
        <f t="shared" si="30"/>
        <v>2.5499999999999998</v>
      </c>
      <c r="AP45" s="178">
        <f t="shared" si="22"/>
        <v>0.64396284829721362</v>
      </c>
      <c r="AQ45" s="211">
        <f t="shared" si="23"/>
        <v>2.8904605263157888</v>
      </c>
      <c r="AR45" s="209">
        <f t="shared" si="24"/>
        <v>0.56811198361215443</v>
      </c>
      <c r="AS45" s="209"/>
      <c r="AT45" s="88"/>
      <c r="AU45" s="147">
        <v>29</v>
      </c>
      <c r="AV45" s="175">
        <f t="shared" si="31"/>
        <v>0.68421052631578949</v>
      </c>
      <c r="AW45" s="213">
        <f t="shared" si="32"/>
        <v>1.7105263157894737</v>
      </c>
      <c r="AX45" s="214">
        <f>FORECAST(AU45,$AX$5:$AX$6,$AW$5:$AW$6)</f>
        <v>2.16</v>
      </c>
      <c r="AY45" s="214">
        <f t="shared" si="54"/>
        <v>5.61</v>
      </c>
      <c r="AZ45" s="213">
        <f t="shared" si="33"/>
        <v>0.79191033138401556</v>
      </c>
      <c r="BA45" s="215">
        <f t="shared" si="26"/>
        <v>5.3181542397660824</v>
      </c>
      <c r="BB45" s="209">
        <f t="shared" si="27"/>
        <v>0.3216390948196175</v>
      </c>
      <c r="BC45" s="143"/>
      <c r="BD45" s="123"/>
      <c r="BE45" s="88"/>
      <c r="BF45" s="88"/>
      <c r="BG45" s="88"/>
      <c r="BH45" s="88"/>
      <c r="BI45" s="88"/>
      <c r="BJ45" s="88"/>
      <c r="BK45" s="88"/>
      <c r="BL45" s="91"/>
      <c r="BM45" s="92"/>
      <c r="BN45" s="92"/>
      <c r="BO45" s="97" t="s">
        <v>395</v>
      </c>
      <c r="BP45" s="94" t="s">
        <v>49</v>
      </c>
      <c r="BQ45" s="79">
        <f>CONVERT(BQ44,"F","C")</f>
        <v>35</v>
      </c>
      <c r="BR45" s="140">
        <f>CONVERT(BR44,"F","C")</f>
        <v>28.333333333333332</v>
      </c>
      <c r="BS45" s="91"/>
      <c r="BT45" s="92"/>
      <c r="BU45" s="89"/>
      <c r="BV45" s="94"/>
      <c r="BW45" s="512">
        <f>CONVERT(BW44,"F","C")</f>
        <v>35</v>
      </c>
      <c r="BX45" s="513"/>
      <c r="BY45" s="512">
        <f>CONVERT(BY44,"F","C")</f>
        <v>28.333333333333332</v>
      </c>
      <c r="BZ45" s="514"/>
      <c r="CA45" s="91"/>
      <c r="CB45" s="88"/>
      <c r="CW45" s="7" t="s">
        <v>215</v>
      </c>
      <c r="CX45" s="7">
        <v>60</v>
      </c>
      <c r="CY45" s="13">
        <f>CONVERT(CX45,"F","C")</f>
        <v>15.555555555555555</v>
      </c>
    </row>
    <row r="46" spans="1:103">
      <c r="A46" s="154">
        <v>14</v>
      </c>
      <c r="B46" s="147">
        <v>63</v>
      </c>
      <c r="C46" s="147">
        <v>30</v>
      </c>
      <c r="D46" s="175">
        <f t="shared" si="51"/>
        <v>0.58333333333333337</v>
      </c>
      <c r="E46" s="178">
        <f t="shared" si="35"/>
        <v>1.5166666666666668</v>
      </c>
      <c r="F46" s="177">
        <f t="shared" si="36"/>
        <v>-1.0812208333333331</v>
      </c>
      <c r="G46" s="16">
        <f t="shared" si="37"/>
        <v>1.518779166666667</v>
      </c>
      <c r="H46" s="26">
        <f>IF(C46&lt;=$F$18,E46,$F$19)</f>
        <v>1.5166666666666668</v>
      </c>
      <c r="I46" s="179">
        <f t="shared" si="39"/>
        <v>0.99860908020970773</v>
      </c>
      <c r="J46" s="180">
        <f t="shared" si="52"/>
        <v>1.7524375000000003</v>
      </c>
      <c r="K46" s="181">
        <f t="shared" si="40"/>
        <v>1.7518281250000003</v>
      </c>
      <c r="L46" s="178">
        <f t="shared" si="41"/>
        <v>0.86576225431171594</v>
      </c>
      <c r="M46" s="203"/>
      <c r="N46" s="147">
        <f t="shared" si="9"/>
        <v>30</v>
      </c>
      <c r="O46" s="175">
        <f t="shared" si="42"/>
        <v>0.58333333333333337</v>
      </c>
      <c r="P46" s="178">
        <f t="shared" si="43"/>
        <v>1.5166666666666668</v>
      </c>
      <c r="Q46" s="177">
        <f t="shared" si="44"/>
        <v>-1.0812208333333331</v>
      </c>
      <c r="R46" s="16">
        <f t="shared" si="45"/>
        <v>1.518779166666667</v>
      </c>
      <c r="S46" s="26">
        <f t="shared" si="46"/>
        <v>1.5166666666666668</v>
      </c>
      <c r="T46" s="179">
        <f t="shared" si="47"/>
        <v>0.99860908020970773</v>
      </c>
      <c r="U46" s="180">
        <f t="shared" si="53"/>
        <v>1.7524375000000003</v>
      </c>
      <c r="V46" s="181">
        <f t="shared" si="48"/>
        <v>1.7630000000000017</v>
      </c>
      <c r="W46" s="192">
        <f t="shared" si="49"/>
        <v>0.86027604462091056</v>
      </c>
      <c r="X46" s="203"/>
      <c r="Y46" s="147">
        <f t="shared" si="10"/>
        <v>30</v>
      </c>
      <c r="Z46" s="175">
        <f t="shared" si="11"/>
        <v>0.73684210526315785</v>
      </c>
      <c r="AA46" s="209">
        <f t="shared" si="12"/>
        <v>1.7684210526315789</v>
      </c>
      <c r="AB46" s="210">
        <f t="shared" si="28"/>
        <v>1.7684210526315789</v>
      </c>
      <c r="AC46" s="209">
        <f t="shared" si="13"/>
        <v>2.5249999999999999</v>
      </c>
      <c r="AD46" s="210">
        <f t="shared" si="14"/>
        <v>2.5249999999999999</v>
      </c>
      <c r="AE46" s="178">
        <f t="shared" si="15"/>
        <v>0.70036477331943725</v>
      </c>
      <c r="AF46" s="211">
        <f t="shared" si="16"/>
        <v>2.3358552631578946</v>
      </c>
      <c r="AG46" s="209">
        <f t="shared" si="17"/>
        <v>0.75707646810308404</v>
      </c>
      <c r="AH46" s="209"/>
      <c r="AI46" s="88"/>
      <c r="AJ46" s="147">
        <f t="shared" si="18"/>
        <v>30</v>
      </c>
      <c r="AK46" s="175">
        <f t="shared" si="19"/>
        <v>0.73684210526315785</v>
      </c>
      <c r="AL46" s="209">
        <f t="shared" si="20"/>
        <v>1.7684210526315789</v>
      </c>
      <c r="AM46" s="210">
        <f t="shared" si="29"/>
        <v>1.7684210526315789</v>
      </c>
      <c r="AN46" s="209">
        <f t="shared" si="21"/>
        <v>2.5249999999999999</v>
      </c>
      <c r="AO46" s="210">
        <f t="shared" si="30"/>
        <v>2.5249999999999999</v>
      </c>
      <c r="AP46" s="178">
        <f t="shared" si="22"/>
        <v>0.70036477331943725</v>
      </c>
      <c r="AQ46" s="211">
        <f t="shared" si="23"/>
        <v>2.8087171052631574</v>
      </c>
      <c r="AR46" s="209">
        <f t="shared" si="24"/>
        <v>0.62961878550096628</v>
      </c>
      <c r="AS46" s="209"/>
      <c r="AT46" s="88"/>
      <c r="AU46" s="147">
        <v>30</v>
      </c>
      <c r="AV46" s="175">
        <f t="shared" si="31"/>
        <v>0.73684210526315785</v>
      </c>
      <c r="AW46" s="213">
        <f t="shared" si="32"/>
        <v>1.8421052631578947</v>
      </c>
      <c r="AX46" s="213">
        <f>_xlfn.XLOOKUP($AU46,$AW$4:$AW$7,$AX$4:$AX$7,,0,-1)</f>
        <v>2.2000000000000002</v>
      </c>
      <c r="AY46" s="213">
        <f>_xlfn.XLOOKUP($AU46,$AW$4:$AW$7,$AY$4:$AY$7,,0,-1)</f>
        <v>5.5</v>
      </c>
      <c r="AZ46" s="213">
        <f t="shared" si="33"/>
        <v>0.83732057416267935</v>
      </c>
      <c r="BA46" s="215">
        <f t="shared" si="26"/>
        <v>5.2763157894736841</v>
      </c>
      <c r="BB46" s="209">
        <f t="shared" si="27"/>
        <v>0.3491271820448878</v>
      </c>
      <c r="BC46" s="143"/>
      <c r="BD46" s="123"/>
      <c r="BE46" s="88"/>
      <c r="BF46" s="88"/>
      <c r="BG46" s="88"/>
      <c r="BH46" s="88"/>
      <c r="BI46" s="88"/>
      <c r="BJ46" s="88"/>
      <c r="BK46" s="88"/>
      <c r="BL46" s="91"/>
      <c r="BM46" s="88"/>
      <c r="BN46" s="89" t="s">
        <v>300</v>
      </c>
      <c r="BO46" s="93" t="s">
        <v>301</v>
      </c>
      <c r="BP46" s="90" t="s">
        <v>203</v>
      </c>
      <c r="BQ46" s="70">
        <v>1.41E-2</v>
      </c>
      <c r="BR46" s="71">
        <v>1.086E-2</v>
      </c>
      <c r="BS46" s="91"/>
      <c r="BT46" s="88"/>
      <c r="BU46" s="88"/>
      <c r="BV46" s="90" t="str">
        <f>BP46</f>
        <v>(-)</v>
      </c>
      <c r="BW46" s="515">
        <v>1.41E-2</v>
      </c>
      <c r="BX46" s="516"/>
      <c r="BY46" s="515">
        <v>1.086E-2</v>
      </c>
      <c r="BZ46" s="516"/>
      <c r="CA46" s="91"/>
      <c r="CB46" s="130"/>
      <c r="CW46" s="7">
        <v>1.222</v>
      </c>
      <c r="CX46" s="7" t="s">
        <v>132</v>
      </c>
    </row>
    <row r="47" spans="1:103">
      <c r="A47" s="154">
        <v>15</v>
      </c>
      <c r="B47" s="147">
        <v>39</v>
      </c>
      <c r="C47" s="147">
        <v>31</v>
      </c>
      <c r="D47" s="175">
        <f t="shared" si="51"/>
        <v>0.66666666666666663</v>
      </c>
      <c r="E47" s="178">
        <f t="shared" si="35"/>
        <v>1.7333333333333334</v>
      </c>
      <c r="F47" s="177">
        <f t="shared" si="36"/>
        <v>-1.4416277777777775</v>
      </c>
      <c r="G47" s="178">
        <f t="shared" si="37"/>
        <v>1.1583722222222226</v>
      </c>
      <c r="H47" s="26">
        <f t="shared" si="38"/>
        <v>1.1583722222222226</v>
      </c>
      <c r="I47" s="179">
        <f t="shared" si="39"/>
        <v>1</v>
      </c>
      <c r="J47" s="180">
        <f t="shared" si="52"/>
        <v>1.3365833333333337</v>
      </c>
      <c r="K47" s="181">
        <f t="shared" si="40"/>
        <v>1.3365833333333337</v>
      </c>
      <c r="L47" s="178">
        <f t="shared" si="41"/>
        <v>0.8666666666666667</v>
      </c>
      <c r="M47" s="203"/>
      <c r="N47" s="147">
        <f t="shared" si="9"/>
        <v>31</v>
      </c>
      <c r="O47" s="175">
        <f t="shared" si="42"/>
        <v>0.66666666666666663</v>
      </c>
      <c r="P47" s="178">
        <f t="shared" si="43"/>
        <v>1.7333333333333334</v>
      </c>
      <c r="Q47" s="177">
        <f t="shared" si="44"/>
        <v>-1.4416277777777775</v>
      </c>
      <c r="R47" s="178">
        <f t="shared" si="45"/>
        <v>1.1583722222222226</v>
      </c>
      <c r="S47" s="26">
        <f>IF(C47&lt;=$Q$18,P47,$Q$19)</f>
        <v>1.1583722222222226</v>
      </c>
      <c r="T47" s="179">
        <f t="shared" si="47"/>
        <v>1</v>
      </c>
      <c r="U47" s="180">
        <f t="shared" si="53"/>
        <v>1.3365833333333337</v>
      </c>
      <c r="V47" s="181">
        <f t="shared" si="48"/>
        <v>1.3365833333333337</v>
      </c>
      <c r="W47" s="192">
        <f t="shared" si="49"/>
        <v>0.8666666666666667</v>
      </c>
      <c r="X47" s="203"/>
      <c r="Y47" s="147">
        <f t="shared" si="10"/>
        <v>31</v>
      </c>
      <c r="Z47" s="175">
        <f t="shared" si="11"/>
        <v>0.78947368421052633</v>
      </c>
      <c r="AA47" s="209">
        <f t="shared" si="12"/>
        <v>1.8947368421052631</v>
      </c>
      <c r="AB47" s="210">
        <f t="shared" si="28"/>
        <v>1.8947368421052631</v>
      </c>
      <c r="AC47" s="209">
        <f t="shared" si="13"/>
        <v>2.5</v>
      </c>
      <c r="AD47" s="210">
        <f t="shared" si="14"/>
        <v>2.5</v>
      </c>
      <c r="AE47" s="178">
        <f t="shared" si="15"/>
        <v>0.75789473684210518</v>
      </c>
      <c r="AF47" s="211">
        <f t="shared" si="16"/>
        <v>2.3486842105263155</v>
      </c>
      <c r="AG47" s="209">
        <f t="shared" si="17"/>
        <v>0.80672268907563027</v>
      </c>
      <c r="AH47" s="209"/>
      <c r="AI47" s="88"/>
      <c r="AJ47" s="147">
        <f t="shared" si="18"/>
        <v>31</v>
      </c>
      <c r="AK47" s="175">
        <f t="shared" si="19"/>
        <v>0.78947368421052633</v>
      </c>
      <c r="AL47" s="209">
        <f t="shared" si="20"/>
        <v>1.8947368421052631</v>
      </c>
      <c r="AM47" s="210">
        <f t="shared" si="29"/>
        <v>1.8947368421052631</v>
      </c>
      <c r="AN47" s="209">
        <f t="shared" si="21"/>
        <v>2.5</v>
      </c>
      <c r="AO47" s="210">
        <f t="shared" si="30"/>
        <v>2.5</v>
      </c>
      <c r="AP47" s="178">
        <f t="shared" si="22"/>
        <v>0.75789473684210518</v>
      </c>
      <c r="AQ47" s="211">
        <f t="shared" si="23"/>
        <v>2.7269736842105265</v>
      </c>
      <c r="AR47" s="209">
        <f t="shared" si="24"/>
        <v>0.69481302774427012</v>
      </c>
      <c r="AS47" s="209"/>
      <c r="AT47" s="88"/>
      <c r="AU47" s="147">
        <v>31</v>
      </c>
      <c r="AV47" s="175">
        <f t="shared" si="31"/>
        <v>0.78947368421052633</v>
      </c>
      <c r="AW47" s="213">
        <f t="shared" si="32"/>
        <v>1.9736842105263159</v>
      </c>
      <c r="AX47" s="214">
        <f>FORECAST(AU47,$AX$4:$AX$5,$AW$4:$AW$5)</f>
        <v>2.2599999999999998</v>
      </c>
      <c r="AY47" s="214">
        <f>FORECAST($AU47,$AY$4:$AY$5,$AW$4:$AW$5)</f>
        <v>5.4</v>
      </c>
      <c r="AZ47" s="213">
        <f t="shared" si="33"/>
        <v>0.87331159757801602</v>
      </c>
      <c r="BA47" s="215">
        <f t="shared" si="26"/>
        <v>5.228970656730322</v>
      </c>
      <c r="BB47" s="209">
        <f t="shared" si="27"/>
        <v>0.37745176634065519</v>
      </c>
      <c r="BC47" s="143"/>
      <c r="BD47" s="123"/>
      <c r="BE47" s="88"/>
      <c r="BF47" s="88"/>
      <c r="BG47" s="88"/>
      <c r="BH47" s="88"/>
      <c r="BI47" s="88"/>
      <c r="BJ47" s="88"/>
      <c r="BK47" s="88"/>
      <c r="BL47" s="91"/>
      <c r="BM47" s="88"/>
      <c r="BN47" s="89" t="s">
        <v>294</v>
      </c>
      <c r="BO47" s="93" t="s">
        <v>302</v>
      </c>
      <c r="BP47" s="90" t="s">
        <v>203</v>
      </c>
      <c r="BQ47" s="515">
        <v>1.12E-2</v>
      </c>
      <c r="BR47" s="516"/>
      <c r="BS47" s="91"/>
      <c r="BT47" s="88"/>
      <c r="BU47" s="88"/>
      <c r="BV47" s="90" t="str">
        <f>BP47</f>
        <v>(-)</v>
      </c>
      <c r="BW47" s="515">
        <v>1.12E-2</v>
      </c>
      <c r="BX47" s="516"/>
      <c r="BY47" s="515">
        <v>1.12E-2</v>
      </c>
      <c r="BZ47" s="516"/>
      <c r="CA47" s="91"/>
      <c r="CB47" s="130"/>
      <c r="CS47" s="14"/>
      <c r="CT47" s="14"/>
      <c r="CU47" s="14"/>
      <c r="CV47" s="14"/>
      <c r="CW47" s="7">
        <v>7.6310000000000003E-2</v>
      </c>
      <c r="CX47" s="7" t="s">
        <v>251</v>
      </c>
    </row>
    <row r="48" spans="1:103">
      <c r="A48" s="154">
        <v>16</v>
      </c>
      <c r="B48" s="147">
        <v>31</v>
      </c>
      <c r="C48" s="147">
        <v>32</v>
      </c>
      <c r="D48" s="175">
        <f t="shared" si="51"/>
        <v>0.75</v>
      </c>
      <c r="E48" s="178">
        <f t="shared" si="35"/>
        <v>1.9500000000000002</v>
      </c>
      <c r="F48" s="177">
        <f t="shared" si="36"/>
        <v>-1.8020347222222217</v>
      </c>
      <c r="G48" s="178">
        <f t="shared" si="37"/>
        <v>0.79796527777777837</v>
      </c>
      <c r="H48" s="26">
        <f t="shared" si="38"/>
        <v>1.1583722222222226</v>
      </c>
      <c r="I48" s="179">
        <f t="shared" si="39"/>
        <v>1</v>
      </c>
      <c r="J48" s="180">
        <f t="shared" si="52"/>
        <v>1.3365833333333337</v>
      </c>
      <c r="K48" s="181">
        <f t="shared" si="40"/>
        <v>1.3365833333333337</v>
      </c>
      <c r="L48" s="178">
        <f t="shared" si="41"/>
        <v>0.8666666666666667</v>
      </c>
      <c r="M48" s="203"/>
      <c r="N48" s="147">
        <f t="shared" si="9"/>
        <v>32</v>
      </c>
      <c r="O48" s="175">
        <f t="shared" si="42"/>
        <v>0.75</v>
      </c>
      <c r="P48" s="178">
        <f t="shared" si="43"/>
        <v>1.9500000000000002</v>
      </c>
      <c r="Q48" s="177">
        <f t="shared" si="44"/>
        <v>-1.8020347222222217</v>
      </c>
      <c r="R48" s="178">
        <f t="shared" si="45"/>
        <v>0.79796527777777837</v>
      </c>
      <c r="S48" s="26">
        <f t="shared" ref="S48:S56" si="55">IF(C48&lt;=$Q$18,P48,$Q$19)</f>
        <v>1.1583722222222226</v>
      </c>
      <c r="T48" s="179">
        <f t="shared" si="47"/>
        <v>1</v>
      </c>
      <c r="U48" s="180">
        <f t="shared" si="53"/>
        <v>1.3365833333333337</v>
      </c>
      <c r="V48" s="181">
        <f t="shared" si="48"/>
        <v>1.3365833333333337</v>
      </c>
      <c r="W48" s="192">
        <f t="shared" si="49"/>
        <v>0.8666666666666667</v>
      </c>
      <c r="X48" s="203"/>
      <c r="Y48" s="147">
        <f t="shared" si="10"/>
        <v>32</v>
      </c>
      <c r="Z48" s="175">
        <f t="shared" si="11"/>
        <v>0.84210526315789469</v>
      </c>
      <c r="AA48" s="209">
        <f t="shared" si="12"/>
        <v>2.021052631578947</v>
      </c>
      <c r="AB48" s="210">
        <f t="shared" si="28"/>
        <v>2.021052631578947</v>
      </c>
      <c r="AC48" s="209">
        <f t="shared" si="13"/>
        <v>2.4750000000000001</v>
      </c>
      <c r="AD48" s="210">
        <f t="shared" si="14"/>
        <v>2.4750000000000001</v>
      </c>
      <c r="AE48" s="178">
        <f t="shared" si="15"/>
        <v>0.81658692185007953</v>
      </c>
      <c r="AF48" s="211">
        <f t="shared" si="16"/>
        <v>2.3615131578947368</v>
      </c>
      <c r="AG48" s="209">
        <f t="shared" si="17"/>
        <v>0.85582950271625557</v>
      </c>
      <c r="AH48" s="209"/>
      <c r="AI48" s="88"/>
      <c r="AJ48" s="147">
        <f t="shared" si="18"/>
        <v>32</v>
      </c>
      <c r="AK48" s="175">
        <f t="shared" si="19"/>
        <v>0.84210526315789469</v>
      </c>
      <c r="AL48" s="209">
        <f t="shared" si="20"/>
        <v>2.021052631578947</v>
      </c>
      <c r="AM48" s="210">
        <f t="shared" si="29"/>
        <v>2.021052631578947</v>
      </c>
      <c r="AN48" s="209">
        <f t="shared" si="21"/>
        <v>2.4750000000000001</v>
      </c>
      <c r="AO48" s="210">
        <f t="shared" si="30"/>
        <v>2.4750000000000001</v>
      </c>
      <c r="AP48" s="178">
        <f t="shared" si="22"/>
        <v>0.81658692185007953</v>
      </c>
      <c r="AQ48" s="211">
        <f t="shared" si="23"/>
        <v>2.6452302631578952</v>
      </c>
      <c r="AR48" s="209">
        <f t="shared" si="24"/>
        <v>0.76403656034321932</v>
      </c>
      <c r="AS48" s="209"/>
      <c r="AT48" s="88"/>
      <c r="AU48" s="147">
        <v>32</v>
      </c>
      <c r="AV48" s="175">
        <f t="shared" si="31"/>
        <v>0.84210526315789469</v>
      </c>
      <c r="AW48" s="213">
        <f t="shared" si="32"/>
        <v>2.1052631578947367</v>
      </c>
      <c r="AX48" s="214">
        <f>FORECAST(AU48,$AX$4:$AX$5,$AW$4:$AW$5)</f>
        <v>2.3200000000000003</v>
      </c>
      <c r="AY48" s="214">
        <f t="shared" ref="AY48:AY50" si="56">FORECAST($AU48,$AY$4:$AY$5,$AW$4:$AW$5)</f>
        <v>5.3</v>
      </c>
      <c r="AZ48" s="213">
        <f t="shared" si="33"/>
        <v>0.90744101633393814</v>
      </c>
      <c r="BA48" s="215">
        <f t="shared" si="26"/>
        <v>5.1773593466424677</v>
      </c>
      <c r="BB48" s="209">
        <f t="shared" si="27"/>
        <v>0.40662874970423019</v>
      </c>
      <c r="BC48" s="143"/>
      <c r="BD48" s="123"/>
      <c r="BE48" s="88"/>
      <c r="BF48" s="88"/>
      <c r="BG48" s="88"/>
      <c r="BH48" s="88"/>
      <c r="BI48" s="88"/>
      <c r="BJ48" s="88"/>
      <c r="BK48" s="88"/>
      <c r="BL48" s="91"/>
      <c r="BM48" s="88"/>
      <c r="BN48" s="89" t="s">
        <v>295</v>
      </c>
      <c r="BO48" s="93" t="s">
        <v>303</v>
      </c>
      <c r="BP48" s="90" t="s">
        <v>203</v>
      </c>
      <c r="BQ48" s="515">
        <v>60</v>
      </c>
      <c r="BR48" s="516"/>
      <c r="BS48" s="91"/>
      <c r="BT48" s="88"/>
      <c r="BU48" s="88"/>
      <c r="BV48" s="90" t="str">
        <f>BP48</f>
        <v>(-)</v>
      </c>
      <c r="BW48" s="515">
        <v>60</v>
      </c>
      <c r="BX48" s="516"/>
      <c r="BY48" s="515">
        <v>60</v>
      </c>
      <c r="BZ48" s="516"/>
      <c r="CA48" s="91"/>
      <c r="CB48" s="130"/>
      <c r="CS48" s="14"/>
      <c r="CT48" s="14"/>
      <c r="CU48" s="14"/>
      <c r="CV48" s="14"/>
      <c r="CW48" s="7" t="s">
        <v>264</v>
      </c>
    </row>
    <row r="49" spans="1:101">
      <c r="A49" s="154">
        <v>17</v>
      </c>
      <c r="B49" s="147">
        <v>24</v>
      </c>
      <c r="C49" s="147">
        <v>33</v>
      </c>
      <c r="D49" s="175">
        <f t="shared" si="51"/>
        <v>0.83333333333333337</v>
      </c>
      <c r="E49" s="178">
        <f t="shared" si="35"/>
        <v>2.166666666666667</v>
      </c>
      <c r="F49" s="177">
        <f t="shared" si="36"/>
        <v>-2.1624416666666662</v>
      </c>
      <c r="G49" s="178">
        <f t="shared" si="37"/>
        <v>0.43755833333333394</v>
      </c>
      <c r="H49" s="26">
        <f t="shared" si="38"/>
        <v>1.1583722222222226</v>
      </c>
      <c r="I49" s="179">
        <f t="shared" si="39"/>
        <v>1</v>
      </c>
      <c r="J49" s="180">
        <f t="shared" si="52"/>
        <v>1.3365833333333337</v>
      </c>
      <c r="K49" s="181">
        <f t="shared" si="40"/>
        <v>1.3365833333333337</v>
      </c>
      <c r="L49" s="178">
        <f t="shared" si="41"/>
        <v>0.8666666666666667</v>
      </c>
      <c r="M49" s="203"/>
      <c r="N49" s="147">
        <f t="shared" si="9"/>
        <v>33</v>
      </c>
      <c r="O49" s="175">
        <f t="shared" si="42"/>
        <v>0.83333333333333337</v>
      </c>
      <c r="P49" s="178">
        <f t="shared" si="43"/>
        <v>2.166666666666667</v>
      </c>
      <c r="Q49" s="177">
        <f t="shared" si="44"/>
        <v>-2.1624416666666662</v>
      </c>
      <c r="R49" s="178">
        <f t="shared" si="45"/>
        <v>0.43755833333333394</v>
      </c>
      <c r="S49" s="26">
        <f t="shared" si="55"/>
        <v>1.1583722222222226</v>
      </c>
      <c r="T49" s="179">
        <f t="shared" si="47"/>
        <v>1</v>
      </c>
      <c r="U49" s="180">
        <f t="shared" si="53"/>
        <v>1.3365833333333337</v>
      </c>
      <c r="V49" s="181">
        <f t="shared" si="48"/>
        <v>1.3365833333333337</v>
      </c>
      <c r="W49" s="192">
        <f t="shared" si="49"/>
        <v>0.8666666666666667</v>
      </c>
      <c r="X49" s="203"/>
      <c r="Y49" s="147">
        <f t="shared" si="10"/>
        <v>33</v>
      </c>
      <c r="Z49" s="175">
        <f t="shared" si="11"/>
        <v>0.89473684210526316</v>
      </c>
      <c r="AA49" s="209">
        <f t="shared" si="12"/>
        <v>2.1473684210526316</v>
      </c>
      <c r="AB49" s="210">
        <f t="shared" si="28"/>
        <v>2.1473684210526316</v>
      </c>
      <c r="AC49" s="209">
        <f t="shared" si="13"/>
        <v>2.4500000000000002</v>
      </c>
      <c r="AD49" s="210">
        <f t="shared" si="14"/>
        <v>2.4500000000000002</v>
      </c>
      <c r="AE49" s="178">
        <f t="shared" si="15"/>
        <v>0.87647690655209443</v>
      </c>
      <c r="AF49" s="211">
        <f t="shared" si="16"/>
        <v>2.3743421052631581</v>
      </c>
      <c r="AG49" s="209">
        <f t="shared" si="17"/>
        <v>0.90440565253532823</v>
      </c>
      <c r="AH49" s="209"/>
      <c r="AI49" s="88"/>
      <c r="AJ49" s="147">
        <f t="shared" si="18"/>
        <v>33</v>
      </c>
      <c r="AK49" s="175">
        <f t="shared" si="19"/>
        <v>0.89473684210526316</v>
      </c>
      <c r="AL49" s="209">
        <f t="shared" si="20"/>
        <v>2.1473684210526316</v>
      </c>
      <c r="AM49" s="210">
        <f t="shared" si="29"/>
        <v>2.1473684210526316</v>
      </c>
      <c r="AN49" s="209">
        <f t="shared" si="21"/>
        <v>2.4500000000000002</v>
      </c>
      <c r="AO49" s="210">
        <f t="shared" si="30"/>
        <v>2.4500000000000002</v>
      </c>
      <c r="AP49" s="178">
        <f t="shared" si="22"/>
        <v>0.87647690655209443</v>
      </c>
      <c r="AQ49" s="211">
        <f t="shared" si="23"/>
        <v>2.563486842105263</v>
      </c>
      <c r="AR49" s="209">
        <f t="shared" si="24"/>
        <v>0.83767483639163354</v>
      </c>
      <c r="AS49" s="209"/>
      <c r="AT49" s="88"/>
      <c r="AU49" s="147">
        <v>33</v>
      </c>
      <c r="AV49" s="175">
        <f t="shared" si="31"/>
        <v>0.89473684210526316</v>
      </c>
      <c r="AW49" s="213">
        <f t="shared" si="32"/>
        <v>2.236842105263158</v>
      </c>
      <c r="AX49" s="214">
        <f>FORECAST(AU49,$AX$4:$AX$5,$AW$4:$AW$5)</f>
        <v>2.38</v>
      </c>
      <c r="AY49" s="214">
        <f t="shared" si="56"/>
        <v>5.1999999999999993</v>
      </c>
      <c r="AZ49" s="213">
        <f t="shared" si="33"/>
        <v>0.93984962406015049</v>
      </c>
      <c r="BA49" s="215">
        <f t="shared" si="26"/>
        <v>5.1218045112781949</v>
      </c>
      <c r="BB49" s="209">
        <f t="shared" si="27"/>
        <v>0.43672930123311809</v>
      </c>
      <c r="BC49" s="143"/>
      <c r="BD49" s="123"/>
      <c r="BE49" s="88"/>
      <c r="BF49" s="88"/>
      <c r="BG49" s="88"/>
      <c r="BH49" s="88"/>
      <c r="BI49" s="88"/>
      <c r="BJ49" s="88"/>
      <c r="BK49" s="88"/>
      <c r="BL49" s="91"/>
      <c r="BM49" s="88"/>
      <c r="BN49" s="89"/>
      <c r="BO49" s="93"/>
      <c r="BP49" s="90"/>
      <c r="BQ49" s="46" t="s">
        <v>309</v>
      </c>
      <c r="BR49" s="12" t="s">
        <v>310</v>
      </c>
      <c r="BS49" s="118"/>
      <c r="BT49" s="92"/>
      <c r="BU49" s="92"/>
      <c r="BV49" s="100"/>
      <c r="BW49" s="521" t="s">
        <v>309</v>
      </c>
      <c r="BX49" s="522"/>
      <c r="BY49" s="521" t="s">
        <v>310</v>
      </c>
      <c r="BZ49" s="528"/>
      <c r="CA49" s="91"/>
      <c r="CB49" s="130"/>
      <c r="CS49" s="14"/>
      <c r="CT49" s="14"/>
      <c r="CU49" s="14"/>
      <c r="CV49" s="14"/>
      <c r="CW49" s="7" t="s">
        <v>265</v>
      </c>
    </row>
    <row r="50" spans="1:101">
      <c r="A50" s="154">
        <v>18</v>
      </c>
      <c r="B50" s="147">
        <v>17</v>
      </c>
      <c r="C50" s="147">
        <v>34</v>
      </c>
      <c r="D50" s="175">
        <f t="shared" si="51"/>
        <v>0.91666666666666663</v>
      </c>
      <c r="E50" s="178">
        <f t="shared" si="35"/>
        <v>2.3833333333333333</v>
      </c>
      <c r="F50" s="177">
        <f t="shared" si="36"/>
        <v>-2.5228486111111108</v>
      </c>
      <c r="G50" s="178">
        <f t="shared" si="37"/>
        <v>7.7151388888889283E-2</v>
      </c>
      <c r="H50" s="26">
        <f t="shared" si="38"/>
        <v>1.1583722222222226</v>
      </c>
      <c r="I50" s="179">
        <f t="shared" si="39"/>
        <v>1</v>
      </c>
      <c r="J50" s="180">
        <f t="shared" si="52"/>
        <v>1.3365833333333337</v>
      </c>
      <c r="K50" s="181">
        <f t="shared" si="40"/>
        <v>1.3365833333333337</v>
      </c>
      <c r="L50" s="178">
        <f t="shared" si="41"/>
        <v>0.8666666666666667</v>
      </c>
      <c r="M50" s="203"/>
      <c r="N50" s="147">
        <f t="shared" si="9"/>
        <v>34</v>
      </c>
      <c r="O50" s="175">
        <f t="shared" si="42"/>
        <v>0.91666666666666663</v>
      </c>
      <c r="P50" s="178">
        <f t="shared" si="43"/>
        <v>2.3833333333333333</v>
      </c>
      <c r="Q50" s="177">
        <f t="shared" si="44"/>
        <v>-2.5228486111111108</v>
      </c>
      <c r="R50" s="178">
        <f t="shared" si="45"/>
        <v>7.7151388888889283E-2</v>
      </c>
      <c r="S50" s="26">
        <f t="shared" si="55"/>
        <v>1.1583722222222226</v>
      </c>
      <c r="T50" s="179">
        <f t="shared" si="47"/>
        <v>1</v>
      </c>
      <c r="U50" s="180">
        <f t="shared" si="53"/>
        <v>1.3365833333333337</v>
      </c>
      <c r="V50" s="181">
        <f t="shared" si="48"/>
        <v>1.3365833333333337</v>
      </c>
      <c r="W50" s="192">
        <f t="shared" si="49"/>
        <v>0.8666666666666667</v>
      </c>
      <c r="X50" s="203"/>
      <c r="Y50" s="147">
        <f t="shared" si="10"/>
        <v>34</v>
      </c>
      <c r="Z50" s="175">
        <f t="shared" si="11"/>
        <v>0.94736842105263153</v>
      </c>
      <c r="AA50" s="209">
        <f t="shared" si="12"/>
        <v>2.2736842105263158</v>
      </c>
      <c r="AB50" s="210">
        <f t="shared" si="28"/>
        <v>2.2736842105263158</v>
      </c>
      <c r="AC50" s="209">
        <f t="shared" si="13"/>
        <v>2.4249999999999998</v>
      </c>
      <c r="AD50" s="210">
        <f t="shared" si="14"/>
        <v>2.4249999999999998</v>
      </c>
      <c r="AE50" s="178">
        <f t="shared" si="15"/>
        <v>0.93760173629951171</v>
      </c>
      <c r="AF50" s="211">
        <f t="shared" si="16"/>
        <v>2.387171052631579</v>
      </c>
      <c r="AG50" s="209">
        <f t="shared" si="17"/>
        <v>0.95245969408846631</v>
      </c>
      <c r="AH50" s="209"/>
      <c r="AI50" s="88"/>
      <c r="AJ50" s="147">
        <f t="shared" si="18"/>
        <v>34</v>
      </c>
      <c r="AK50" s="175">
        <f t="shared" si="19"/>
        <v>0.94736842105263153</v>
      </c>
      <c r="AL50" s="209">
        <f t="shared" si="20"/>
        <v>2.2736842105263158</v>
      </c>
      <c r="AM50" s="210">
        <f t="shared" si="29"/>
        <v>2.2736842105263158</v>
      </c>
      <c r="AN50" s="209">
        <f t="shared" si="21"/>
        <v>2.4249999999999998</v>
      </c>
      <c r="AO50" s="210">
        <f t="shared" si="30"/>
        <v>2.4249999999999998</v>
      </c>
      <c r="AP50" s="178">
        <f t="shared" si="22"/>
        <v>0.93760173629951171</v>
      </c>
      <c r="AQ50" s="211">
        <f t="shared" si="23"/>
        <v>2.4817434210526312</v>
      </c>
      <c r="AR50" s="209">
        <f t="shared" si="24"/>
        <v>0.9161640930479158</v>
      </c>
      <c r="AS50" s="209"/>
      <c r="AT50" s="88"/>
      <c r="AU50" s="147">
        <v>34</v>
      </c>
      <c r="AV50" s="175">
        <f t="shared" si="31"/>
        <v>0.94736842105263153</v>
      </c>
      <c r="AW50" s="213">
        <f t="shared" si="32"/>
        <v>2.3684210526315788</v>
      </c>
      <c r="AX50" s="214">
        <f>FORECAST(AU50,$AX$4:$AX$5,$AW$4:$AW$5)</f>
        <v>2.44</v>
      </c>
      <c r="AY50" s="214">
        <f t="shared" si="56"/>
        <v>5.0999999999999996</v>
      </c>
      <c r="AZ50" s="213">
        <f t="shared" si="33"/>
        <v>0.97066436583261428</v>
      </c>
      <c r="BA50" s="215">
        <f t="shared" si="26"/>
        <v>5.0625970664365827</v>
      </c>
      <c r="BB50" s="209">
        <f t="shared" si="27"/>
        <v>0.46782728736866325</v>
      </c>
      <c r="BC50" s="143"/>
      <c r="BD50" s="123"/>
      <c r="BE50" s="88"/>
      <c r="BF50" s="88"/>
      <c r="BG50" s="88"/>
      <c r="BH50" s="88"/>
      <c r="BI50" s="88"/>
      <c r="BJ50" s="88"/>
      <c r="BK50" s="88"/>
      <c r="BL50" s="91"/>
      <c r="BM50" s="88"/>
      <c r="BN50" s="89" t="s">
        <v>285</v>
      </c>
      <c r="BO50" s="93" t="s">
        <v>308</v>
      </c>
      <c r="BP50" s="90" t="s">
        <v>296</v>
      </c>
      <c r="BQ50" s="73">
        <f>BQ39*BQ48*((BQ41*(BQ44-BQ43))+(BQ42*(BQ46*BQ44 - BQ47*BQ43)))</f>
        <v>5036.8997819232864</v>
      </c>
      <c r="BR50" s="73">
        <f>BQ39*BQ48*((BQ41*(BR44-BQ43))+(BQ42*(BR46*BR44 - BQ47*BQ43)))</f>
        <v>958.30445099147414</v>
      </c>
      <c r="BS50" s="91"/>
      <c r="BT50" s="88"/>
      <c r="BU50" s="88"/>
      <c r="BV50" s="90" t="str">
        <f>BP50</f>
        <v>Btu/h</v>
      </c>
      <c r="BW50" s="519">
        <f>BW39*BW48*((BW41*(BW44-BW43))+(BW42*(BW46*BW44 - BW47*BW43)))</f>
        <v>-139.60545846961807</v>
      </c>
      <c r="BX50" s="520"/>
      <c r="BY50" s="519">
        <f>BY39*BY48*((BY41*(BY44-BY43))+(BY42*(BY46*BY44 - BY47*BY43)))</f>
        <v>-29.298179289789751</v>
      </c>
      <c r="BZ50" s="520"/>
      <c r="CA50" s="91"/>
      <c r="CB50" s="130"/>
      <c r="CS50" s="14"/>
      <c r="CT50" s="14"/>
      <c r="CU50" s="14"/>
      <c r="CV50" s="14"/>
    </row>
    <row r="51" spans="1:101">
      <c r="A51" s="154">
        <v>19</v>
      </c>
      <c r="B51" s="147">
        <v>13</v>
      </c>
      <c r="C51" s="147">
        <v>35</v>
      </c>
      <c r="D51" s="175">
        <f t="shared" si="51"/>
        <v>1</v>
      </c>
      <c r="E51" s="178">
        <f t="shared" si="35"/>
        <v>2.6</v>
      </c>
      <c r="F51" s="177">
        <f t="shared" si="36"/>
        <v>-2.883255555555555</v>
      </c>
      <c r="G51" s="178">
        <f t="shared" si="37"/>
        <v>-0.28325555555555493</v>
      </c>
      <c r="H51" s="26">
        <f t="shared" si="38"/>
        <v>1.1583722222222226</v>
      </c>
      <c r="I51" s="179">
        <f t="shared" si="39"/>
        <v>1</v>
      </c>
      <c r="J51" s="180">
        <f t="shared" si="52"/>
        <v>1.3365833333333337</v>
      </c>
      <c r="K51" s="181">
        <f t="shared" si="40"/>
        <v>1.3365833333333337</v>
      </c>
      <c r="L51" s="178">
        <f t="shared" si="41"/>
        <v>0.8666666666666667</v>
      </c>
      <c r="M51" s="203"/>
      <c r="N51" s="147">
        <f t="shared" si="9"/>
        <v>35</v>
      </c>
      <c r="O51" s="175">
        <f t="shared" si="42"/>
        <v>1</v>
      </c>
      <c r="P51" s="178">
        <f t="shared" si="43"/>
        <v>2.6</v>
      </c>
      <c r="Q51" s="177">
        <f t="shared" si="44"/>
        <v>-2.883255555555555</v>
      </c>
      <c r="R51" s="178">
        <f t="shared" si="45"/>
        <v>-0.28325555555555493</v>
      </c>
      <c r="S51" s="26">
        <f t="shared" si="55"/>
        <v>1.1583722222222226</v>
      </c>
      <c r="T51" s="179">
        <f t="shared" si="47"/>
        <v>1</v>
      </c>
      <c r="U51" s="180">
        <f t="shared" si="53"/>
        <v>1.3365833333333337</v>
      </c>
      <c r="V51" s="181">
        <f t="shared" si="48"/>
        <v>1.3365833333333337</v>
      </c>
      <c r="W51" s="192">
        <f t="shared" si="49"/>
        <v>0.8666666666666667</v>
      </c>
      <c r="X51" s="203"/>
      <c r="Y51" s="147">
        <f t="shared" si="10"/>
        <v>35</v>
      </c>
      <c r="Z51" s="175">
        <f t="shared" si="11"/>
        <v>1</v>
      </c>
      <c r="AA51" s="209">
        <f t="shared" si="12"/>
        <v>2.4</v>
      </c>
      <c r="AB51" s="210">
        <f t="shared" si="28"/>
        <v>2.4</v>
      </c>
      <c r="AC51" s="209">
        <f t="shared" si="13"/>
        <v>2.4</v>
      </c>
      <c r="AD51" s="210">
        <f t="shared" si="14"/>
        <v>2.4</v>
      </c>
      <c r="AE51" s="178">
        <f t="shared" si="15"/>
        <v>1</v>
      </c>
      <c r="AF51" s="211">
        <f t="shared" si="16"/>
        <v>2.4</v>
      </c>
      <c r="AG51" s="209">
        <f t="shared" si="17"/>
        <v>1</v>
      </c>
      <c r="AH51" s="209"/>
      <c r="AI51" s="88"/>
      <c r="AJ51" s="147">
        <f t="shared" si="18"/>
        <v>35</v>
      </c>
      <c r="AK51" s="175">
        <f t="shared" si="19"/>
        <v>1</v>
      </c>
      <c r="AL51" s="209">
        <f t="shared" si="20"/>
        <v>2.4</v>
      </c>
      <c r="AM51" s="210">
        <f t="shared" si="29"/>
        <v>2.4</v>
      </c>
      <c r="AN51" s="209">
        <f t="shared" si="21"/>
        <v>2.4</v>
      </c>
      <c r="AO51" s="210">
        <f t="shared" si="30"/>
        <v>2.4</v>
      </c>
      <c r="AP51" s="178">
        <f t="shared" si="22"/>
        <v>1</v>
      </c>
      <c r="AQ51" s="211">
        <f t="shared" si="23"/>
        <v>2.4</v>
      </c>
      <c r="AR51" s="209">
        <f t="shared" si="24"/>
        <v>1</v>
      </c>
      <c r="AS51" s="209"/>
      <c r="AT51" s="88"/>
      <c r="AU51" s="147">
        <v>35</v>
      </c>
      <c r="AV51" s="175">
        <f t="shared" si="31"/>
        <v>1</v>
      </c>
      <c r="AW51" s="213">
        <f t="shared" si="32"/>
        <v>2.5</v>
      </c>
      <c r="AX51" s="213">
        <f>_xlfn.XLOOKUP($AU51,$AW$4:$AW$7,$AX$4:$AX$7,,0,-1)</f>
        <v>2.5</v>
      </c>
      <c r="AY51" s="213">
        <f>_xlfn.XLOOKUP($AU51,$AW$4:$AW$7,$AY$4:$AY$7,,0,-1)</f>
        <v>5</v>
      </c>
      <c r="AZ51" s="213">
        <f t="shared" si="33"/>
        <v>1</v>
      </c>
      <c r="BA51" s="215">
        <f t="shared" si="26"/>
        <v>5</v>
      </c>
      <c r="BB51" s="209">
        <f t="shared" si="27"/>
        <v>0.5</v>
      </c>
      <c r="BC51" s="143"/>
      <c r="BD51" s="123"/>
      <c r="BE51" s="88"/>
      <c r="BF51" s="88"/>
      <c r="BG51" s="88"/>
      <c r="BH51" s="88"/>
      <c r="BI51" s="88"/>
      <c r="BJ51" s="88"/>
      <c r="BK51" s="88"/>
      <c r="BL51" s="91"/>
      <c r="BM51" s="88"/>
      <c r="BN51" s="89"/>
      <c r="BO51" s="93"/>
      <c r="BP51" s="90"/>
      <c r="BQ51" s="46" t="s">
        <v>327</v>
      </c>
      <c r="BR51" s="12" t="s">
        <v>328</v>
      </c>
      <c r="BS51" s="121"/>
      <c r="BT51" s="95"/>
      <c r="BU51" s="95"/>
      <c r="BV51" s="90"/>
      <c r="BW51" s="521" t="s">
        <v>327</v>
      </c>
      <c r="BX51" s="522"/>
      <c r="BY51" s="521" t="s">
        <v>328</v>
      </c>
      <c r="BZ51" s="523"/>
      <c r="CA51" s="91"/>
      <c r="CB51" s="130"/>
      <c r="CS51" s="15"/>
      <c r="CT51" s="15"/>
      <c r="CU51" s="15"/>
      <c r="CV51" s="15"/>
    </row>
    <row r="52" spans="1:101">
      <c r="A52" s="154">
        <v>20</v>
      </c>
      <c r="B52" s="147">
        <v>9</v>
      </c>
      <c r="C52" s="147">
        <v>36</v>
      </c>
      <c r="D52" s="175">
        <f t="shared" si="51"/>
        <v>1.0833333333333333</v>
      </c>
      <c r="E52" s="178">
        <f t="shared" si="35"/>
        <v>2.8166666666666664</v>
      </c>
      <c r="F52" s="177">
        <f t="shared" si="36"/>
        <v>-3.2436624999999992</v>
      </c>
      <c r="G52" s="178">
        <f t="shared" si="37"/>
        <v>-0.64366249999999914</v>
      </c>
      <c r="H52" s="26">
        <f t="shared" si="38"/>
        <v>1.1583722222222226</v>
      </c>
      <c r="I52" s="179">
        <f t="shared" si="39"/>
        <v>1</v>
      </c>
      <c r="J52" s="180">
        <f t="shared" si="52"/>
        <v>1.3365833333333337</v>
      </c>
      <c r="K52" s="181">
        <f t="shared" si="40"/>
        <v>1.3365833333333337</v>
      </c>
      <c r="L52" s="178">
        <f t="shared" si="41"/>
        <v>0.8666666666666667</v>
      </c>
      <c r="M52" s="203"/>
      <c r="N52" s="147">
        <f t="shared" si="9"/>
        <v>36</v>
      </c>
      <c r="O52" s="175">
        <f t="shared" si="42"/>
        <v>1.0833333333333333</v>
      </c>
      <c r="P52" s="178">
        <f t="shared" si="43"/>
        <v>2.8166666666666664</v>
      </c>
      <c r="Q52" s="177">
        <f t="shared" si="44"/>
        <v>-3.2436624999999992</v>
      </c>
      <c r="R52" s="178">
        <f t="shared" si="45"/>
        <v>-0.64366249999999914</v>
      </c>
      <c r="S52" s="26">
        <f t="shared" si="55"/>
        <v>1.1583722222222226</v>
      </c>
      <c r="T52" s="179">
        <f t="shared" si="47"/>
        <v>1</v>
      </c>
      <c r="U52" s="180">
        <f t="shared" si="53"/>
        <v>1.3365833333333337</v>
      </c>
      <c r="V52" s="181">
        <f t="shared" si="48"/>
        <v>1.3365833333333337</v>
      </c>
      <c r="W52" s="192">
        <f t="shared" si="49"/>
        <v>0.8666666666666667</v>
      </c>
      <c r="X52" s="203"/>
      <c r="Y52" s="147">
        <f t="shared" si="10"/>
        <v>36</v>
      </c>
      <c r="Z52" s="175">
        <f t="shared" si="11"/>
        <v>1.0526315789473684</v>
      </c>
      <c r="AA52" s="209">
        <f t="shared" si="12"/>
        <v>2.5263157894736841</v>
      </c>
      <c r="AB52" s="210">
        <f t="shared" si="28"/>
        <v>2.5263157894736841</v>
      </c>
      <c r="AC52" s="209">
        <f t="shared" si="13"/>
        <v>2.375</v>
      </c>
      <c r="AD52" s="210">
        <f t="shared" si="14"/>
        <v>2.375</v>
      </c>
      <c r="AE52" s="178">
        <f t="shared" si="15"/>
        <v>1</v>
      </c>
      <c r="AF52" s="211">
        <f t="shared" si="16"/>
        <v>2.375</v>
      </c>
      <c r="AG52" s="209">
        <f t="shared" si="17"/>
        <v>1.0637119113573406</v>
      </c>
      <c r="AH52" s="209"/>
      <c r="AI52" s="88"/>
      <c r="AJ52" s="147">
        <f t="shared" si="18"/>
        <v>36</v>
      </c>
      <c r="AK52" s="175">
        <f t="shared" si="19"/>
        <v>1.0526315789473684</v>
      </c>
      <c r="AL52" s="209">
        <f t="shared" si="20"/>
        <v>2.5263157894736841</v>
      </c>
      <c r="AM52" s="210">
        <f t="shared" si="29"/>
        <v>2.5263157894736841</v>
      </c>
      <c r="AN52" s="209">
        <f t="shared" si="21"/>
        <v>2.375</v>
      </c>
      <c r="AO52" s="210">
        <f t="shared" si="30"/>
        <v>2.375</v>
      </c>
      <c r="AP52" s="178">
        <f t="shared" si="22"/>
        <v>1</v>
      </c>
      <c r="AQ52" s="211">
        <f t="shared" si="23"/>
        <v>2.375</v>
      </c>
      <c r="AR52" s="209">
        <f t="shared" si="24"/>
        <v>1.0637119113573406</v>
      </c>
      <c r="AS52" s="209"/>
      <c r="AT52" s="88"/>
      <c r="AU52" s="147">
        <v>36</v>
      </c>
      <c r="AV52" s="175">
        <f t="shared" si="31"/>
        <v>1.0526315789473684</v>
      </c>
      <c r="AW52" s="213">
        <f t="shared" si="32"/>
        <v>2.6315789473684208</v>
      </c>
      <c r="AX52" s="214">
        <f>FORECAST(AU52,$AX$4:$AX$5,$AW$4:$AW$5)</f>
        <v>2.56</v>
      </c>
      <c r="AY52" s="214">
        <f>$AY$51</f>
        <v>5</v>
      </c>
      <c r="AZ52" s="213">
        <f t="shared" si="33"/>
        <v>1</v>
      </c>
      <c r="BA52" s="215">
        <f t="shared" si="26"/>
        <v>5</v>
      </c>
      <c r="BB52" s="209">
        <f t="shared" si="27"/>
        <v>0.52631578947368418</v>
      </c>
      <c r="BC52" s="143"/>
      <c r="BD52" s="123"/>
      <c r="BE52" s="88"/>
      <c r="BF52" s="88"/>
      <c r="BG52" s="88"/>
      <c r="BH52" s="88"/>
      <c r="BI52" s="88"/>
      <c r="BJ52" s="88"/>
      <c r="BK52" s="88"/>
      <c r="BL52" s="91"/>
      <c r="BM52" s="88"/>
      <c r="BN52" s="89" t="s">
        <v>298</v>
      </c>
      <c r="BO52" s="93" t="s">
        <v>297</v>
      </c>
      <c r="BP52" s="90" t="s">
        <v>299</v>
      </c>
      <c r="BQ52" s="515">
        <v>1061</v>
      </c>
      <c r="BR52" s="516"/>
      <c r="BS52" s="91"/>
      <c r="BT52" s="88"/>
      <c r="BU52" s="88"/>
      <c r="BV52" s="90" t="str">
        <f>BP52</f>
        <v>Btu/lb</v>
      </c>
      <c r="BW52" s="515">
        <v>1061</v>
      </c>
      <c r="BX52" s="516"/>
      <c r="BY52" s="515">
        <v>1061</v>
      </c>
      <c r="BZ52" s="516"/>
      <c r="CA52" s="91"/>
      <c r="CB52" s="130"/>
      <c r="CS52" s="14"/>
      <c r="CT52" s="14"/>
      <c r="CU52" s="14"/>
      <c r="CV52" s="14"/>
    </row>
    <row r="53" spans="1:101">
      <c r="A53" s="154">
        <v>21</v>
      </c>
      <c r="B53" s="147">
        <v>4</v>
      </c>
      <c r="C53" s="147">
        <v>37</v>
      </c>
      <c r="D53" s="175">
        <f t="shared" si="51"/>
        <v>1.1666666666666667</v>
      </c>
      <c r="E53" s="178">
        <f t="shared" si="35"/>
        <v>3.0333333333333337</v>
      </c>
      <c r="F53" s="177">
        <f t="shared" si="36"/>
        <v>-3.6040694444444434</v>
      </c>
      <c r="G53" s="178">
        <f t="shared" si="37"/>
        <v>-1.0040694444444433</v>
      </c>
      <c r="H53" s="26">
        <f t="shared" si="38"/>
        <v>1.1583722222222226</v>
      </c>
      <c r="I53" s="179">
        <f t="shared" si="39"/>
        <v>1</v>
      </c>
      <c r="J53" s="180">
        <f t="shared" si="52"/>
        <v>1.3365833333333337</v>
      </c>
      <c r="K53" s="181">
        <f t="shared" si="40"/>
        <v>1.3365833333333337</v>
      </c>
      <c r="L53" s="178">
        <f t="shared" si="41"/>
        <v>0.8666666666666667</v>
      </c>
      <c r="M53" s="203"/>
      <c r="N53" s="147">
        <f t="shared" si="9"/>
        <v>37</v>
      </c>
      <c r="O53" s="175">
        <f t="shared" si="42"/>
        <v>1.1666666666666667</v>
      </c>
      <c r="P53" s="178">
        <f t="shared" si="43"/>
        <v>3.0333333333333337</v>
      </c>
      <c r="Q53" s="177">
        <f t="shared" si="44"/>
        <v>-3.6040694444444434</v>
      </c>
      <c r="R53" s="178">
        <f t="shared" si="45"/>
        <v>-1.0040694444444433</v>
      </c>
      <c r="S53" s="26">
        <f t="shared" si="55"/>
        <v>1.1583722222222226</v>
      </c>
      <c r="T53" s="179">
        <f t="shared" si="47"/>
        <v>1</v>
      </c>
      <c r="U53" s="180">
        <f t="shared" si="53"/>
        <v>1.3365833333333337</v>
      </c>
      <c r="V53" s="181">
        <f t="shared" si="48"/>
        <v>1.3365833333333337</v>
      </c>
      <c r="W53" s="192">
        <f t="shared" si="49"/>
        <v>0.8666666666666667</v>
      </c>
      <c r="X53" s="203"/>
      <c r="Y53" s="147">
        <f t="shared" si="10"/>
        <v>37</v>
      </c>
      <c r="Z53" s="175">
        <f t="shared" si="11"/>
        <v>1.1052631578947369</v>
      </c>
      <c r="AA53" s="209">
        <f t="shared" si="12"/>
        <v>2.6526315789473687</v>
      </c>
      <c r="AB53" s="210">
        <f t="shared" si="28"/>
        <v>2.6526315789473687</v>
      </c>
      <c r="AC53" s="209">
        <f t="shared" si="13"/>
        <v>2.3499999999999996</v>
      </c>
      <c r="AD53" s="210">
        <f t="shared" si="14"/>
        <v>2.3499999999999996</v>
      </c>
      <c r="AE53" s="178">
        <f t="shared" si="15"/>
        <v>1</v>
      </c>
      <c r="AF53" s="211">
        <f t="shared" si="16"/>
        <v>2.3499999999999996</v>
      </c>
      <c r="AG53" s="209">
        <f t="shared" si="17"/>
        <v>1.1287793952967529</v>
      </c>
      <c r="AH53" s="209"/>
      <c r="AI53" s="88"/>
      <c r="AJ53" s="147">
        <f t="shared" si="18"/>
        <v>37</v>
      </c>
      <c r="AK53" s="175">
        <f t="shared" si="19"/>
        <v>1.1052631578947369</v>
      </c>
      <c r="AL53" s="209">
        <f t="shared" si="20"/>
        <v>2.6526315789473687</v>
      </c>
      <c r="AM53" s="210">
        <f t="shared" si="29"/>
        <v>2.6526315789473687</v>
      </c>
      <c r="AN53" s="209">
        <f t="shared" si="21"/>
        <v>2.3499999999999996</v>
      </c>
      <c r="AO53" s="210">
        <f t="shared" si="30"/>
        <v>2.3499999999999996</v>
      </c>
      <c r="AP53" s="178">
        <f t="shared" si="22"/>
        <v>1</v>
      </c>
      <c r="AQ53" s="211">
        <f t="shared" si="23"/>
        <v>2.3499999999999996</v>
      </c>
      <c r="AR53" s="209">
        <f t="shared" si="24"/>
        <v>1.1287793952967529</v>
      </c>
      <c r="AS53" s="209"/>
      <c r="AT53" s="88"/>
      <c r="AU53" s="147">
        <v>37</v>
      </c>
      <c r="AV53" s="175">
        <f t="shared" si="31"/>
        <v>1.1052631578947369</v>
      </c>
      <c r="AW53" s="213">
        <f t="shared" si="32"/>
        <v>2.7631578947368425</v>
      </c>
      <c r="AX53" s="214">
        <f>FORECAST(AU53,$AX$4:$AX$5,$AW$4:$AW$5)</f>
        <v>2.6199999999999997</v>
      </c>
      <c r="AY53" s="214">
        <f t="shared" ref="AY53:AY56" si="57">$AY$51</f>
        <v>5</v>
      </c>
      <c r="AZ53" s="213">
        <f t="shared" si="33"/>
        <v>1</v>
      </c>
      <c r="BA53" s="215">
        <f t="shared" si="26"/>
        <v>5</v>
      </c>
      <c r="BB53" s="209">
        <f t="shared" si="27"/>
        <v>0.55263157894736847</v>
      </c>
      <c r="BC53" s="143"/>
      <c r="BD53" s="123"/>
      <c r="BE53" s="88"/>
      <c r="BF53" s="88"/>
      <c r="BG53" s="88"/>
      <c r="BH53" s="88"/>
      <c r="BI53" s="88"/>
      <c r="BJ53" s="88"/>
      <c r="BK53" s="88"/>
      <c r="BL53" s="91"/>
      <c r="BM53" s="88"/>
      <c r="BN53" s="89" t="s">
        <v>300</v>
      </c>
      <c r="BO53" s="93" t="s">
        <v>469</v>
      </c>
      <c r="BP53" s="90" t="s">
        <v>203</v>
      </c>
      <c r="BQ53" s="70">
        <v>1.41E-2</v>
      </c>
      <c r="BR53" s="71">
        <v>1.086E-2</v>
      </c>
      <c r="BS53" s="91"/>
      <c r="BT53" s="88"/>
      <c r="BU53" s="88"/>
      <c r="BV53" s="90" t="str">
        <f>BP53</f>
        <v>(-)</v>
      </c>
      <c r="BW53" s="515">
        <v>1.41E-2</v>
      </c>
      <c r="BX53" s="516"/>
      <c r="BY53" s="515">
        <v>1.086E-2</v>
      </c>
      <c r="BZ53" s="516"/>
      <c r="CA53" s="91"/>
      <c r="CB53" s="130"/>
      <c r="CS53" s="14"/>
      <c r="CT53" s="14"/>
      <c r="CU53" s="14"/>
      <c r="CV53" s="14"/>
    </row>
    <row r="54" spans="1:101">
      <c r="A54" s="154">
        <v>22</v>
      </c>
      <c r="B54" s="147">
        <v>3</v>
      </c>
      <c r="C54" s="147">
        <v>38</v>
      </c>
      <c r="D54" s="175">
        <f t="shared" si="51"/>
        <v>1.25</v>
      </c>
      <c r="E54" s="178">
        <f t="shared" si="35"/>
        <v>3.25</v>
      </c>
      <c r="F54" s="177">
        <f t="shared" si="36"/>
        <v>-3.9644763888888885</v>
      </c>
      <c r="G54" s="178">
        <f t="shared" si="37"/>
        <v>-1.3644763888888884</v>
      </c>
      <c r="H54" s="26">
        <f t="shared" si="38"/>
        <v>1.1583722222222226</v>
      </c>
      <c r="I54" s="179">
        <f t="shared" si="39"/>
        <v>1</v>
      </c>
      <c r="J54" s="180">
        <f t="shared" si="52"/>
        <v>1.3365833333333337</v>
      </c>
      <c r="K54" s="181">
        <f t="shared" si="40"/>
        <v>1.3365833333333337</v>
      </c>
      <c r="L54" s="178">
        <f t="shared" si="41"/>
        <v>0.8666666666666667</v>
      </c>
      <c r="M54" s="203"/>
      <c r="N54" s="147">
        <f t="shared" si="9"/>
        <v>38</v>
      </c>
      <c r="O54" s="175">
        <f t="shared" si="42"/>
        <v>1.25</v>
      </c>
      <c r="P54" s="178">
        <f t="shared" si="43"/>
        <v>3.25</v>
      </c>
      <c r="Q54" s="177">
        <f t="shared" si="44"/>
        <v>-3.9644763888888885</v>
      </c>
      <c r="R54" s="178">
        <f t="shared" si="45"/>
        <v>-1.3644763888888884</v>
      </c>
      <c r="S54" s="26">
        <f t="shared" si="55"/>
        <v>1.1583722222222226</v>
      </c>
      <c r="T54" s="179">
        <f t="shared" si="47"/>
        <v>1</v>
      </c>
      <c r="U54" s="180">
        <f t="shared" si="53"/>
        <v>1.3365833333333337</v>
      </c>
      <c r="V54" s="181">
        <f t="shared" si="48"/>
        <v>1.3365833333333337</v>
      </c>
      <c r="W54" s="192">
        <f t="shared" si="49"/>
        <v>0.8666666666666667</v>
      </c>
      <c r="X54" s="203"/>
      <c r="Y54" s="147">
        <f t="shared" si="10"/>
        <v>38</v>
      </c>
      <c r="Z54" s="175">
        <f t="shared" si="11"/>
        <v>1.1578947368421053</v>
      </c>
      <c r="AA54" s="209">
        <f t="shared" si="12"/>
        <v>2.7789473684210528</v>
      </c>
      <c r="AB54" s="210">
        <f t="shared" si="28"/>
        <v>2.7789473684210528</v>
      </c>
      <c r="AC54" s="209">
        <f t="shared" si="13"/>
        <v>2.3249999999999997</v>
      </c>
      <c r="AD54" s="210">
        <f t="shared" si="14"/>
        <v>2.3249999999999997</v>
      </c>
      <c r="AE54" s="178">
        <f t="shared" si="15"/>
        <v>1</v>
      </c>
      <c r="AF54" s="211">
        <f t="shared" si="16"/>
        <v>2.3249999999999997</v>
      </c>
      <c r="AG54" s="209">
        <f t="shared" si="17"/>
        <v>1.1952461799660443</v>
      </c>
      <c r="AH54" s="209"/>
      <c r="AI54" s="88"/>
      <c r="AJ54" s="147">
        <f t="shared" si="18"/>
        <v>38</v>
      </c>
      <c r="AK54" s="175">
        <f t="shared" si="19"/>
        <v>1.1578947368421053</v>
      </c>
      <c r="AL54" s="209">
        <f t="shared" si="20"/>
        <v>2.7789473684210528</v>
      </c>
      <c r="AM54" s="210">
        <f t="shared" si="29"/>
        <v>2.7789473684210528</v>
      </c>
      <c r="AN54" s="209">
        <f t="shared" si="21"/>
        <v>2.3249999999999997</v>
      </c>
      <c r="AO54" s="210">
        <f t="shared" si="30"/>
        <v>2.3249999999999997</v>
      </c>
      <c r="AP54" s="178">
        <f t="shared" si="22"/>
        <v>1</v>
      </c>
      <c r="AQ54" s="211">
        <f t="shared" si="23"/>
        <v>2.3249999999999997</v>
      </c>
      <c r="AR54" s="209">
        <f t="shared" si="24"/>
        <v>1.1952461799660443</v>
      </c>
      <c r="AS54" s="209"/>
      <c r="AT54" s="88"/>
      <c r="AU54" s="147">
        <v>38</v>
      </c>
      <c r="AV54" s="175">
        <f t="shared" si="31"/>
        <v>1.1578947368421053</v>
      </c>
      <c r="AW54" s="213">
        <f t="shared" si="32"/>
        <v>2.8947368421052633</v>
      </c>
      <c r="AX54" s="214">
        <f>FORECAST(AU54,$AX$4:$AX$5,$AW$4:$AW$5)</f>
        <v>2.6799999999999997</v>
      </c>
      <c r="AY54" s="214">
        <f t="shared" si="57"/>
        <v>5</v>
      </c>
      <c r="AZ54" s="213">
        <f t="shared" si="33"/>
        <v>1</v>
      </c>
      <c r="BA54" s="215">
        <f t="shared" si="26"/>
        <v>5</v>
      </c>
      <c r="BB54" s="209">
        <f t="shared" si="27"/>
        <v>0.57894736842105265</v>
      </c>
      <c r="BC54" s="143"/>
      <c r="BD54" s="123"/>
      <c r="BE54" s="88"/>
      <c r="BF54" s="88"/>
      <c r="BG54" s="88"/>
      <c r="BH54" s="88"/>
      <c r="BI54" s="88"/>
      <c r="BJ54" s="88"/>
      <c r="BK54" s="88"/>
      <c r="BL54" s="91"/>
      <c r="BM54" s="88"/>
      <c r="BN54" s="89"/>
      <c r="BO54" s="93" t="s">
        <v>468</v>
      </c>
      <c r="BP54" s="90" t="s">
        <v>203</v>
      </c>
      <c r="BQ54" s="515">
        <v>1.12E-2</v>
      </c>
      <c r="BR54" s="516"/>
      <c r="BS54" s="91"/>
      <c r="BT54" s="88"/>
      <c r="BU54" s="88"/>
      <c r="BV54" s="90" t="str">
        <f>BP54</f>
        <v>(-)</v>
      </c>
      <c r="BW54" s="515">
        <v>1.12E-2</v>
      </c>
      <c r="BX54" s="516"/>
      <c r="BY54" s="515">
        <v>1.12E-2</v>
      </c>
      <c r="BZ54" s="516"/>
      <c r="CA54" s="91"/>
      <c r="CB54" s="130"/>
      <c r="CS54" s="14"/>
      <c r="CT54" s="14"/>
      <c r="CU54" s="14"/>
      <c r="CV54" s="14"/>
    </row>
    <row r="55" spans="1:101">
      <c r="A55" s="154">
        <v>23</v>
      </c>
      <c r="B55" s="147">
        <v>1</v>
      </c>
      <c r="C55" s="147">
        <v>39</v>
      </c>
      <c r="D55" s="175">
        <f t="shared" si="51"/>
        <v>1.3333333333333333</v>
      </c>
      <c r="E55" s="178">
        <f t="shared" si="35"/>
        <v>3.4666666666666668</v>
      </c>
      <c r="F55" s="177">
        <f t="shared" si="36"/>
        <v>-4.3248833333333323</v>
      </c>
      <c r="G55" s="178">
        <f t="shared" si="37"/>
        <v>-1.7248833333333322</v>
      </c>
      <c r="H55" s="26">
        <f t="shared" si="38"/>
        <v>1.1583722222222226</v>
      </c>
      <c r="I55" s="179">
        <f t="shared" si="39"/>
        <v>1</v>
      </c>
      <c r="J55" s="180">
        <f t="shared" si="52"/>
        <v>1.3365833333333337</v>
      </c>
      <c r="K55" s="181">
        <f t="shared" si="40"/>
        <v>1.3365833333333337</v>
      </c>
      <c r="L55" s="178">
        <f t="shared" si="41"/>
        <v>0.8666666666666667</v>
      </c>
      <c r="M55" s="203"/>
      <c r="N55" s="147">
        <f t="shared" si="9"/>
        <v>39</v>
      </c>
      <c r="O55" s="175">
        <f t="shared" si="42"/>
        <v>1.3333333333333333</v>
      </c>
      <c r="P55" s="178">
        <f t="shared" si="43"/>
        <v>3.4666666666666668</v>
      </c>
      <c r="Q55" s="177">
        <f t="shared" si="44"/>
        <v>-4.3248833333333323</v>
      </c>
      <c r="R55" s="178">
        <f t="shared" si="45"/>
        <v>-1.7248833333333322</v>
      </c>
      <c r="S55" s="26">
        <f t="shared" si="55"/>
        <v>1.1583722222222226</v>
      </c>
      <c r="T55" s="179">
        <f t="shared" si="47"/>
        <v>1</v>
      </c>
      <c r="U55" s="180">
        <f t="shared" si="53"/>
        <v>1.3365833333333337</v>
      </c>
      <c r="V55" s="181">
        <f t="shared" si="48"/>
        <v>1.3365833333333337</v>
      </c>
      <c r="W55" s="192">
        <f t="shared" si="49"/>
        <v>0.8666666666666667</v>
      </c>
      <c r="X55" s="203"/>
      <c r="Y55" s="147">
        <f t="shared" si="10"/>
        <v>39</v>
      </c>
      <c r="Z55" s="175">
        <f t="shared" si="11"/>
        <v>1.2105263157894737</v>
      </c>
      <c r="AA55" s="209">
        <f t="shared" si="12"/>
        <v>2.9052631578947365</v>
      </c>
      <c r="AB55" s="210">
        <f t="shared" si="28"/>
        <v>2.9052631578947365</v>
      </c>
      <c r="AC55" s="209">
        <f t="shared" si="13"/>
        <v>2.2999999999999998</v>
      </c>
      <c r="AD55" s="210">
        <f t="shared" si="14"/>
        <v>2.2999999999999998</v>
      </c>
      <c r="AE55" s="178">
        <f t="shared" si="15"/>
        <v>1</v>
      </c>
      <c r="AF55" s="211">
        <f t="shared" si="16"/>
        <v>2.2999999999999998</v>
      </c>
      <c r="AG55" s="209">
        <f t="shared" si="17"/>
        <v>1.263157894736842</v>
      </c>
      <c r="AH55" s="209"/>
      <c r="AI55" s="88"/>
      <c r="AJ55" s="147">
        <f t="shared" si="18"/>
        <v>39</v>
      </c>
      <c r="AK55" s="175">
        <f t="shared" si="19"/>
        <v>1.2105263157894737</v>
      </c>
      <c r="AL55" s="209">
        <f t="shared" si="20"/>
        <v>2.9052631578947365</v>
      </c>
      <c r="AM55" s="210">
        <f t="shared" si="29"/>
        <v>2.9052631578947365</v>
      </c>
      <c r="AN55" s="209">
        <f t="shared" si="21"/>
        <v>2.2999999999999998</v>
      </c>
      <c r="AO55" s="210">
        <f t="shared" si="30"/>
        <v>2.2999999999999998</v>
      </c>
      <c r="AP55" s="178">
        <f t="shared" si="22"/>
        <v>1</v>
      </c>
      <c r="AQ55" s="211">
        <f t="shared" si="23"/>
        <v>2.2999999999999998</v>
      </c>
      <c r="AR55" s="209">
        <f t="shared" si="24"/>
        <v>1.263157894736842</v>
      </c>
      <c r="AS55" s="209"/>
      <c r="AT55" s="88"/>
      <c r="AU55" s="147">
        <v>39</v>
      </c>
      <c r="AV55" s="175">
        <f t="shared" si="31"/>
        <v>1.2105263157894737</v>
      </c>
      <c r="AW55" s="213">
        <f t="shared" si="32"/>
        <v>3.0263157894736841</v>
      </c>
      <c r="AX55" s="214">
        <f>FORECAST(AU55,$AX$4:$AX$5,$AW$4:$AW$5)</f>
        <v>2.7399999999999998</v>
      </c>
      <c r="AY55" s="214">
        <f t="shared" si="57"/>
        <v>5</v>
      </c>
      <c r="AZ55" s="213">
        <f t="shared" si="33"/>
        <v>1</v>
      </c>
      <c r="BA55" s="215">
        <f t="shared" si="26"/>
        <v>5</v>
      </c>
      <c r="BB55" s="209">
        <f t="shared" si="27"/>
        <v>0.60526315789473684</v>
      </c>
      <c r="BC55" s="143"/>
      <c r="BD55" s="123"/>
      <c r="BE55" s="88"/>
      <c r="BF55" s="88"/>
      <c r="BG55" s="88"/>
      <c r="BH55" s="88"/>
      <c r="BI55" s="88"/>
      <c r="BJ55" s="88"/>
      <c r="BK55" s="88"/>
      <c r="BL55" s="91"/>
      <c r="BM55" s="88"/>
      <c r="BN55" s="89" t="s">
        <v>295</v>
      </c>
      <c r="BO55" s="93" t="s">
        <v>303</v>
      </c>
      <c r="BP55" s="90" t="s">
        <v>203</v>
      </c>
      <c r="BQ55" s="515">
        <v>60</v>
      </c>
      <c r="BR55" s="516"/>
      <c r="BS55" s="91"/>
      <c r="BT55" s="88"/>
      <c r="BU55" s="88"/>
      <c r="BV55" s="90" t="str">
        <f>BP55</f>
        <v>(-)</v>
      </c>
      <c r="BW55" s="515">
        <v>60</v>
      </c>
      <c r="BX55" s="516"/>
      <c r="BY55" s="515">
        <v>60</v>
      </c>
      <c r="BZ55" s="516"/>
      <c r="CA55" s="91"/>
      <c r="CB55" s="130"/>
      <c r="CS55" s="14"/>
      <c r="CT55" s="14"/>
      <c r="CU55" s="14"/>
      <c r="CV55" s="14"/>
    </row>
    <row r="56" spans="1:101">
      <c r="A56" s="154">
        <v>24</v>
      </c>
      <c r="B56" s="147">
        <v>0</v>
      </c>
      <c r="C56" s="147">
        <v>40</v>
      </c>
      <c r="D56" s="175">
        <f t="shared" si="51"/>
        <v>1.4166666666666667</v>
      </c>
      <c r="E56" s="178">
        <f t="shared" si="35"/>
        <v>3.6833333333333336</v>
      </c>
      <c r="F56" s="177">
        <f t="shared" si="36"/>
        <v>-4.685290277777777</v>
      </c>
      <c r="G56" s="178">
        <f t="shared" si="37"/>
        <v>-2.0852902777777769</v>
      </c>
      <c r="H56" s="26">
        <f t="shared" si="38"/>
        <v>1.1583722222222226</v>
      </c>
      <c r="I56" s="182">
        <f t="shared" si="39"/>
        <v>1</v>
      </c>
      <c r="J56" s="183">
        <f t="shared" si="52"/>
        <v>1.3365833333333337</v>
      </c>
      <c r="K56" s="184">
        <f t="shared" si="40"/>
        <v>1.3365833333333337</v>
      </c>
      <c r="L56" s="178">
        <f t="shared" si="41"/>
        <v>0.8666666666666667</v>
      </c>
      <c r="M56" s="203"/>
      <c r="N56" s="147">
        <f t="shared" si="9"/>
        <v>40</v>
      </c>
      <c r="O56" s="175">
        <f t="shared" si="42"/>
        <v>1.4166666666666667</v>
      </c>
      <c r="P56" s="178">
        <f t="shared" si="43"/>
        <v>3.6833333333333336</v>
      </c>
      <c r="Q56" s="177">
        <f t="shared" si="44"/>
        <v>-4.685290277777777</v>
      </c>
      <c r="R56" s="178">
        <f t="shared" si="45"/>
        <v>-2.0852902777777769</v>
      </c>
      <c r="S56" s="26">
        <f t="shared" si="55"/>
        <v>1.1583722222222226</v>
      </c>
      <c r="T56" s="182">
        <f t="shared" si="47"/>
        <v>1</v>
      </c>
      <c r="U56" s="183">
        <f t="shared" si="53"/>
        <v>1.3365833333333337</v>
      </c>
      <c r="V56" s="184">
        <f t="shared" si="48"/>
        <v>1.3365833333333337</v>
      </c>
      <c r="W56" s="192">
        <f t="shared" si="49"/>
        <v>0.8666666666666667</v>
      </c>
      <c r="X56" s="203"/>
      <c r="Y56" s="147">
        <f t="shared" si="10"/>
        <v>40</v>
      </c>
      <c r="Z56" s="175">
        <f t="shared" si="11"/>
        <v>1.263157894736842</v>
      </c>
      <c r="AA56" s="209">
        <f t="shared" si="12"/>
        <v>3.0315789473684207</v>
      </c>
      <c r="AB56" s="210">
        <f t="shared" si="28"/>
        <v>3.0315789473684207</v>
      </c>
      <c r="AC56" s="209">
        <f t="shared" si="13"/>
        <v>2.2749999999999999</v>
      </c>
      <c r="AD56" s="210">
        <f t="shared" si="14"/>
        <v>2.2749999999999999</v>
      </c>
      <c r="AE56" s="178">
        <f t="shared" si="15"/>
        <v>1</v>
      </c>
      <c r="AF56" s="211">
        <f t="shared" si="16"/>
        <v>2.2749999999999999</v>
      </c>
      <c r="AG56" s="209">
        <f t="shared" si="17"/>
        <v>1.3325621746674376</v>
      </c>
      <c r="AH56" s="209"/>
      <c r="AI56" s="88"/>
      <c r="AJ56" s="147">
        <f t="shared" si="18"/>
        <v>40</v>
      </c>
      <c r="AK56" s="175">
        <f t="shared" si="19"/>
        <v>1.263157894736842</v>
      </c>
      <c r="AL56" s="209">
        <f t="shared" si="20"/>
        <v>3.0315789473684207</v>
      </c>
      <c r="AM56" s="210">
        <f t="shared" si="29"/>
        <v>3.0315789473684207</v>
      </c>
      <c r="AN56" s="209">
        <f t="shared" si="21"/>
        <v>2.2749999999999999</v>
      </c>
      <c r="AO56" s="210">
        <f t="shared" si="30"/>
        <v>2.2749999999999999</v>
      </c>
      <c r="AP56" s="178">
        <f t="shared" si="22"/>
        <v>1</v>
      </c>
      <c r="AQ56" s="211">
        <f t="shared" si="23"/>
        <v>2.2749999999999999</v>
      </c>
      <c r="AR56" s="209">
        <f t="shared" si="24"/>
        <v>1.3325621746674376</v>
      </c>
      <c r="AS56" s="209"/>
      <c r="AT56" s="88"/>
      <c r="AU56" s="147">
        <v>40</v>
      </c>
      <c r="AV56" s="175">
        <f t="shared" si="31"/>
        <v>1.263157894736842</v>
      </c>
      <c r="AW56" s="213">
        <f t="shared" si="32"/>
        <v>3.1578947368421053</v>
      </c>
      <c r="AX56" s="214">
        <f>FORECAST(AU56,$AX$4:$AX$5,$AW$4:$AW$5)</f>
        <v>2.8</v>
      </c>
      <c r="AY56" s="214">
        <f t="shared" si="57"/>
        <v>5</v>
      </c>
      <c r="AZ56" s="213">
        <f t="shared" si="33"/>
        <v>1</v>
      </c>
      <c r="BA56" s="215">
        <f t="shared" si="26"/>
        <v>5</v>
      </c>
      <c r="BB56" s="209">
        <f t="shared" si="27"/>
        <v>0.63157894736842102</v>
      </c>
      <c r="BC56" s="143"/>
      <c r="BD56" s="123"/>
      <c r="BE56" s="123"/>
      <c r="BF56" s="123"/>
      <c r="BG56" s="123"/>
      <c r="BH56" s="123"/>
      <c r="BI56" s="123"/>
      <c r="BJ56" s="88"/>
      <c r="BK56" s="88"/>
      <c r="BL56" s="91"/>
      <c r="BM56" s="88"/>
      <c r="BN56" s="88"/>
      <c r="BO56" s="88"/>
      <c r="BP56" s="90"/>
      <c r="BQ56" s="46" t="s">
        <v>327</v>
      </c>
      <c r="BR56" s="80" t="s">
        <v>328</v>
      </c>
      <c r="BS56" s="91"/>
      <c r="BT56" s="88"/>
      <c r="BU56" s="88"/>
      <c r="BV56" s="90"/>
      <c r="BW56" s="521" t="s">
        <v>327</v>
      </c>
      <c r="BX56" s="522"/>
      <c r="BY56" s="521" t="s">
        <v>328</v>
      </c>
      <c r="BZ56" s="523"/>
      <c r="CA56" s="91"/>
      <c r="CB56" s="130"/>
      <c r="CS56" s="14"/>
      <c r="CT56" s="14"/>
      <c r="CU56" s="14"/>
      <c r="CV56" s="14"/>
    </row>
    <row r="57" spans="1:101">
      <c r="A57" s="216"/>
      <c r="B57" s="217">
        <f>SUM(B33:B56)</f>
        <v>2602</v>
      </c>
      <c r="C57" s="216"/>
      <c r="D57" s="218"/>
      <c r="E57" s="216"/>
      <c r="F57" s="216"/>
      <c r="G57" s="216"/>
      <c r="H57" s="216"/>
      <c r="I57" s="103"/>
      <c r="J57" s="103"/>
      <c r="K57" s="103"/>
      <c r="L57" s="216"/>
      <c r="M57" s="216"/>
      <c r="N57" s="216"/>
      <c r="O57" s="218"/>
      <c r="P57" s="216"/>
      <c r="Q57" s="216"/>
      <c r="R57" s="216"/>
      <c r="S57" s="216"/>
      <c r="T57" s="103"/>
      <c r="U57" s="103"/>
      <c r="V57" s="103"/>
      <c r="W57" s="216"/>
      <c r="X57" s="216"/>
      <c r="Y57" s="216"/>
      <c r="Z57" s="218"/>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8"/>
      <c r="AW57" s="216"/>
      <c r="AX57" s="216"/>
      <c r="AY57" s="216"/>
      <c r="AZ57" s="216"/>
      <c r="BA57" s="216"/>
      <c r="BB57" s="216"/>
      <c r="BC57" s="216"/>
      <c r="BD57" s="216"/>
      <c r="BE57" s="216"/>
      <c r="BF57" s="216"/>
      <c r="BG57" s="216"/>
      <c r="BH57" s="216"/>
      <c r="BI57" s="216"/>
      <c r="BJ57" s="216"/>
      <c r="BK57" s="216"/>
      <c r="BL57" s="91"/>
      <c r="BM57" s="88"/>
      <c r="BN57" s="89" t="s">
        <v>305</v>
      </c>
      <c r="BO57" s="93" t="s">
        <v>304</v>
      </c>
      <c r="BP57" s="90" t="s">
        <v>296</v>
      </c>
      <c r="BQ57" s="72">
        <f>BQ39*BQ55*BQ52*(BQ53-BQ54)</f>
        <v>4081.7455804897763</v>
      </c>
      <c r="BR57" s="138">
        <f>BQ39*BQ55*BQ52*(BR53-BQ54)</f>
        <v>-478.54948185052558</v>
      </c>
      <c r="BS57" s="91"/>
      <c r="BT57" s="88"/>
      <c r="BU57" s="88"/>
      <c r="BV57" s="90" t="str">
        <f>BP57</f>
        <v>Btu/h</v>
      </c>
      <c r="BW57" s="519">
        <f>BW39*BW55*BW52*(BW53-BW54)</f>
        <v>-113.13188425262408</v>
      </c>
      <c r="BX57" s="520"/>
      <c r="BY57" s="519">
        <f>BY39*BY55*BY52*(BY53-BY54)</f>
        <v>14.630662002860117</v>
      </c>
      <c r="BZ57" s="520"/>
      <c r="CA57" s="91"/>
      <c r="CB57" s="130"/>
    </row>
    <row r="58" spans="1:101">
      <c r="A58" s="235"/>
      <c r="B58" s="236"/>
      <c r="C58" s="236"/>
      <c r="D58" s="236"/>
      <c r="E58" s="236"/>
      <c r="F58" s="236"/>
      <c r="G58" s="236"/>
      <c r="H58" s="236"/>
      <c r="I58" s="236"/>
      <c r="J58" s="236"/>
      <c r="K58" s="236"/>
      <c r="L58" s="236"/>
      <c r="M58" s="237"/>
      <c r="N58" s="237"/>
      <c r="O58" s="236"/>
      <c r="P58" s="236"/>
      <c r="Q58" s="236"/>
      <c r="R58" s="236"/>
      <c r="S58" s="236"/>
      <c r="T58" s="236"/>
      <c r="U58" s="236"/>
      <c r="V58" s="236"/>
      <c r="W58" s="236"/>
      <c r="X58" s="237"/>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8"/>
      <c r="BL58" s="91"/>
      <c r="BM58" s="88"/>
      <c r="BN58" s="88"/>
      <c r="BO58" s="88"/>
      <c r="BP58" s="88"/>
      <c r="BQ58" s="29" t="s">
        <v>329</v>
      </c>
      <c r="BR58" s="139" t="s">
        <v>330</v>
      </c>
      <c r="BS58" s="91"/>
      <c r="BT58" s="88"/>
      <c r="BU58" s="88"/>
      <c r="BV58" s="88"/>
      <c r="BW58" s="521" t="s">
        <v>329</v>
      </c>
      <c r="BX58" s="523"/>
      <c r="BY58" s="521" t="s">
        <v>330</v>
      </c>
      <c r="BZ58" s="522"/>
      <c r="CA58" s="91"/>
      <c r="CB58" s="130"/>
    </row>
    <row r="59" spans="1:101" ht="15" customHeight="1">
      <c r="A59" s="235"/>
      <c r="B59" s="236"/>
      <c r="C59" s="236"/>
      <c r="D59" s="239" t="s">
        <v>19</v>
      </c>
      <c r="E59" s="237" t="s">
        <v>153</v>
      </c>
      <c r="F59" s="236"/>
      <c r="G59" s="236"/>
      <c r="H59" s="236"/>
      <c r="I59" s="236"/>
      <c r="J59" s="236"/>
      <c r="K59" s="236"/>
      <c r="L59" s="236"/>
      <c r="M59" s="237"/>
      <c r="N59" s="237"/>
      <c r="O59" s="239" t="s">
        <v>19</v>
      </c>
      <c r="P59" s="237" t="s">
        <v>153</v>
      </c>
      <c r="Q59" s="236"/>
      <c r="R59" s="236"/>
      <c r="S59" s="236"/>
      <c r="T59" s="236"/>
      <c r="U59" s="236"/>
      <c r="V59" s="236"/>
      <c r="W59" s="236"/>
      <c r="X59" s="237"/>
      <c r="Y59" s="236"/>
      <c r="Z59" s="239" t="s">
        <v>19</v>
      </c>
      <c r="AA59" s="237" t="s">
        <v>153</v>
      </c>
      <c r="AB59" s="236"/>
      <c r="AC59" s="236"/>
      <c r="AD59" s="236"/>
      <c r="AE59" s="236"/>
      <c r="AF59" s="236"/>
      <c r="AG59" s="236"/>
      <c r="AH59" s="236"/>
      <c r="AI59" s="236"/>
      <c r="AJ59" s="236"/>
      <c r="AK59" s="239" t="s">
        <v>19</v>
      </c>
      <c r="AL59" s="237" t="s">
        <v>153</v>
      </c>
      <c r="AM59" s="236"/>
      <c r="AN59" s="236"/>
      <c r="AO59" s="236"/>
      <c r="AP59" s="236"/>
      <c r="AQ59" s="236"/>
      <c r="AR59" s="236"/>
      <c r="AS59" s="236"/>
      <c r="AT59" s="236"/>
      <c r="AU59" s="236"/>
      <c r="AV59" s="239" t="s">
        <v>19</v>
      </c>
      <c r="AW59" s="237" t="s">
        <v>153</v>
      </c>
      <c r="AX59" s="236"/>
      <c r="AY59" s="236"/>
      <c r="AZ59" s="236"/>
      <c r="BA59" s="236"/>
      <c r="BB59" s="236"/>
      <c r="BC59" s="236"/>
      <c r="BD59" s="236"/>
      <c r="BE59" s="236"/>
      <c r="BF59" s="236"/>
      <c r="BG59" s="236"/>
      <c r="BH59" s="236"/>
      <c r="BI59" s="236"/>
      <c r="BJ59" s="236"/>
      <c r="BK59" s="238"/>
      <c r="BL59" s="91"/>
      <c r="BM59" s="88"/>
      <c r="BN59" s="89" t="s">
        <v>306</v>
      </c>
      <c r="BO59" s="92" t="s">
        <v>307</v>
      </c>
      <c r="BP59" s="90" t="s">
        <v>296</v>
      </c>
      <c r="BQ59" s="68">
        <f>BQ50+BQ57</f>
        <v>9118.6453624130627</v>
      </c>
      <c r="BR59" s="68">
        <f>BR50+BR57</f>
        <v>479.75496914094856</v>
      </c>
      <c r="BS59" s="91"/>
      <c r="BT59" s="88"/>
      <c r="BU59" s="88"/>
      <c r="BV59" s="90" t="str">
        <f>BP59</f>
        <v>Btu/h</v>
      </c>
      <c r="BW59" s="524">
        <f>BW50+BW57</f>
        <v>-252.73734272224215</v>
      </c>
      <c r="BX59" s="525"/>
      <c r="BY59" s="524">
        <f>BY50+BY57</f>
        <v>-14.667517286929634</v>
      </c>
      <c r="BZ59" s="525"/>
      <c r="CA59" s="91"/>
      <c r="CB59" s="130"/>
    </row>
    <row r="60" spans="1:101">
      <c r="A60" s="235"/>
      <c r="B60" s="236"/>
      <c r="C60" s="236"/>
      <c r="D60" s="236"/>
      <c r="E60" s="239" t="s">
        <v>156</v>
      </c>
      <c r="F60" s="237" t="s">
        <v>157</v>
      </c>
      <c r="G60" s="236"/>
      <c r="H60" s="236"/>
      <c r="I60" s="236"/>
      <c r="J60" s="236"/>
      <c r="K60" s="236"/>
      <c r="L60" s="236"/>
      <c r="M60" s="237"/>
      <c r="N60" s="237"/>
      <c r="O60" s="236"/>
      <c r="P60" s="239" t="s">
        <v>156</v>
      </c>
      <c r="Q60" s="237" t="s">
        <v>157</v>
      </c>
      <c r="R60" s="236"/>
      <c r="S60" s="236"/>
      <c r="T60" s="236"/>
      <c r="U60" s="236"/>
      <c r="V60" s="236"/>
      <c r="W60" s="236"/>
      <c r="X60" s="237"/>
      <c r="Y60" s="236"/>
      <c r="Z60" s="236"/>
      <c r="AA60" s="239" t="s">
        <v>156</v>
      </c>
      <c r="AB60" s="237" t="s">
        <v>154</v>
      </c>
      <c r="AC60" s="236"/>
      <c r="AD60" s="236"/>
      <c r="AE60" s="236"/>
      <c r="AF60" s="236"/>
      <c r="AG60" s="236"/>
      <c r="AH60" s="236"/>
      <c r="AI60" s="236"/>
      <c r="AJ60" s="236"/>
      <c r="AK60" s="236"/>
      <c r="AL60" s="239" t="s">
        <v>156</v>
      </c>
      <c r="AM60" s="237" t="s">
        <v>154</v>
      </c>
      <c r="AN60" s="236"/>
      <c r="AO60" s="236"/>
      <c r="AP60" s="236"/>
      <c r="AQ60" s="236"/>
      <c r="AR60" s="236"/>
      <c r="AS60" s="236"/>
      <c r="AT60" s="236"/>
      <c r="AU60" s="236"/>
      <c r="AV60" s="236"/>
      <c r="AW60" s="239" t="s">
        <v>156</v>
      </c>
      <c r="AX60" s="237" t="s">
        <v>154</v>
      </c>
      <c r="AY60" s="236"/>
      <c r="AZ60" s="236"/>
      <c r="BA60" s="236"/>
      <c r="BB60" s="236"/>
      <c r="BC60" s="236"/>
      <c r="BD60" s="236"/>
      <c r="BE60" s="236"/>
      <c r="BF60" s="236"/>
      <c r="BG60" s="236"/>
      <c r="BH60" s="236"/>
      <c r="BI60" s="236"/>
      <c r="BJ60" s="236"/>
      <c r="BK60" s="238"/>
      <c r="BL60" s="102" t="s">
        <v>376</v>
      </c>
      <c r="BM60" s="88"/>
      <c r="BN60" s="88"/>
      <c r="BO60" s="88"/>
      <c r="BP60" s="88"/>
      <c r="BQ60" s="562" t="s">
        <v>378</v>
      </c>
      <c r="BR60" s="563"/>
      <c r="BS60" s="88"/>
      <c r="BT60" s="88"/>
      <c r="BU60" s="88"/>
      <c r="BV60" s="88"/>
      <c r="BW60" s="536" t="s">
        <v>378</v>
      </c>
      <c r="BX60" s="537"/>
      <c r="BY60" s="537"/>
      <c r="BZ60" s="537"/>
      <c r="CA60" s="91"/>
      <c r="CB60" s="88"/>
    </row>
    <row r="61" spans="1:101">
      <c r="A61" s="235"/>
      <c r="B61" s="236"/>
      <c r="C61" s="236"/>
      <c r="D61" s="236"/>
      <c r="E61" s="236"/>
      <c r="F61" s="239" t="s">
        <v>152</v>
      </c>
      <c r="G61" s="236" t="s">
        <v>107</v>
      </c>
      <c r="H61" s="236"/>
      <c r="I61" s="236"/>
      <c r="J61" s="236"/>
      <c r="K61" s="236"/>
      <c r="L61" s="236"/>
      <c r="M61" s="237"/>
      <c r="N61" s="237"/>
      <c r="O61" s="236"/>
      <c r="P61" s="236"/>
      <c r="Q61" s="240" t="s">
        <v>152</v>
      </c>
      <c r="R61" s="236" t="s">
        <v>107</v>
      </c>
      <c r="S61" s="236"/>
      <c r="T61" s="236"/>
      <c r="U61" s="236"/>
      <c r="V61" s="236"/>
      <c r="W61" s="236"/>
      <c r="X61" s="237"/>
      <c r="Y61" s="236"/>
      <c r="Z61" s="236"/>
      <c r="AA61" s="236"/>
      <c r="AB61" s="239" t="s">
        <v>80</v>
      </c>
      <c r="AC61" s="236" t="s">
        <v>174</v>
      </c>
      <c r="AD61" s="236"/>
      <c r="AE61" s="236"/>
      <c r="AF61" s="236"/>
      <c r="AG61" s="236"/>
      <c r="AH61" s="236"/>
      <c r="AI61" s="236"/>
      <c r="AJ61" s="236"/>
      <c r="AK61" s="236"/>
      <c r="AL61" s="236"/>
      <c r="AM61" s="239" t="s">
        <v>80</v>
      </c>
      <c r="AN61" s="236" t="s">
        <v>174</v>
      </c>
      <c r="AO61" s="236"/>
      <c r="AP61" s="236"/>
      <c r="AQ61" s="236"/>
      <c r="AR61" s="236"/>
      <c r="AS61" s="236"/>
      <c r="AT61" s="236"/>
      <c r="AU61" s="236"/>
      <c r="AV61" s="236"/>
      <c r="AW61" s="236"/>
      <c r="AX61" s="239" t="s">
        <v>68</v>
      </c>
      <c r="AY61" s="236" t="s">
        <v>197</v>
      </c>
      <c r="AZ61" s="236"/>
      <c r="BA61" s="236"/>
      <c r="BB61" s="236"/>
      <c r="BC61" s="236"/>
      <c r="BD61" s="236"/>
      <c r="BE61" s="236"/>
      <c r="BF61" s="236"/>
      <c r="BG61" s="236"/>
      <c r="BH61" s="236"/>
      <c r="BI61" s="236"/>
      <c r="BJ61" s="236"/>
      <c r="BK61" s="238"/>
      <c r="BL61" s="102" t="s">
        <v>377</v>
      </c>
      <c r="BM61" s="88"/>
      <c r="BN61" s="88"/>
      <c r="BO61" s="88"/>
      <c r="BP61" s="88"/>
      <c r="BQ61" s="564"/>
      <c r="BR61" s="565"/>
      <c r="BS61" s="88"/>
      <c r="BT61" s="88"/>
      <c r="BU61" s="88"/>
      <c r="BV61" s="88"/>
      <c r="BW61" s="538"/>
      <c r="BX61" s="539"/>
      <c r="BY61" s="539"/>
      <c r="BZ61" s="539"/>
      <c r="CA61" s="91"/>
      <c r="CB61" s="88"/>
    </row>
    <row r="62" spans="1:101">
      <c r="A62" s="235"/>
      <c r="B62" s="236"/>
      <c r="C62" s="236"/>
      <c r="D62" s="236"/>
      <c r="E62" s="236"/>
      <c r="F62" s="239" t="s">
        <v>106</v>
      </c>
      <c r="G62" s="236" t="s">
        <v>108</v>
      </c>
      <c r="H62" s="236"/>
      <c r="I62" s="236"/>
      <c r="J62" s="236"/>
      <c r="K62" s="236"/>
      <c r="L62" s="236"/>
      <c r="M62" s="237"/>
      <c r="N62" s="237"/>
      <c r="O62" s="236"/>
      <c r="P62" s="236"/>
      <c r="Q62" s="240" t="s">
        <v>106</v>
      </c>
      <c r="R62" s="236" t="s">
        <v>108</v>
      </c>
      <c r="S62" s="236"/>
      <c r="T62" s="236"/>
      <c r="U62" s="236"/>
      <c r="V62" s="236"/>
      <c r="W62" s="236"/>
      <c r="X62" s="237"/>
      <c r="Y62" s="236"/>
      <c r="Z62" s="236"/>
      <c r="AA62" s="236"/>
      <c r="AB62" s="236"/>
      <c r="AC62" s="239" t="s">
        <v>79</v>
      </c>
      <c r="AD62" s="236" t="s">
        <v>109</v>
      </c>
      <c r="AE62" s="236"/>
      <c r="AF62" s="236"/>
      <c r="AG62" s="236"/>
      <c r="AH62" s="236"/>
      <c r="AI62" s="236"/>
      <c r="AJ62" s="236"/>
      <c r="AK62" s="236"/>
      <c r="AL62" s="236"/>
      <c r="AM62" s="236"/>
      <c r="AN62" s="239" t="s">
        <v>79</v>
      </c>
      <c r="AO62" s="236" t="s">
        <v>109</v>
      </c>
      <c r="AP62" s="236"/>
      <c r="AQ62" s="236"/>
      <c r="AR62" s="236"/>
      <c r="AS62" s="236"/>
      <c r="AT62" s="236"/>
      <c r="AU62" s="236"/>
      <c r="AV62" s="236"/>
      <c r="AW62" s="236"/>
      <c r="AX62" s="236"/>
      <c r="AY62" s="239" t="s">
        <v>69</v>
      </c>
      <c r="AZ62" s="249" t="s">
        <v>198</v>
      </c>
      <c r="BA62" s="236"/>
      <c r="BB62" s="236"/>
      <c r="BC62" s="236"/>
      <c r="BD62" s="236"/>
      <c r="BE62" s="236"/>
      <c r="BF62" s="236"/>
      <c r="BG62" s="236"/>
      <c r="BH62" s="236"/>
      <c r="BI62" s="236"/>
      <c r="BJ62" s="236"/>
      <c r="BK62" s="238"/>
      <c r="BL62" s="91"/>
      <c r="BM62" s="88"/>
      <c r="BN62" s="88"/>
      <c r="BO62" s="88"/>
      <c r="BP62" s="88"/>
      <c r="BQ62" s="88"/>
      <c r="BR62" s="88"/>
      <c r="BS62" s="88"/>
      <c r="BT62" s="88"/>
      <c r="BU62" s="88"/>
      <c r="BV62" s="88"/>
      <c r="BW62" s="88"/>
      <c r="BX62" s="88"/>
      <c r="BY62" s="88"/>
      <c r="BZ62" s="88"/>
      <c r="CA62" s="91"/>
      <c r="CB62" s="88"/>
    </row>
    <row r="63" spans="1:101" ht="18.75">
      <c r="A63" s="235"/>
      <c r="B63" s="236"/>
      <c r="C63" s="236"/>
      <c r="D63" s="236"/>
      <c r="E63" s="236"/>
      <c r="F63" s="236"/>
      <c r="G63" s="239" t="s">
        <v>79</v>
      </c>
      <c r="H63" s="236" t="s">
        <v>104</v>
      </c>
      <c r="I63" s="236"/>
      <c r="J63" s="236"/>
      <c r="K63" s="236"/>
      <c r="L63" s="236"/>
      <c r="M63" s="237"/>
      <c r="N63" s="237"/>
      <c r="O63" s="236"/>
      <c r="P63" s="236"/>
      <c r="Q63" s="236"/>
      <c r="R63" s="239" t="s">
        <v>79</v>
      </c>
      <c r="S63" s="236" t="s">
        <v>104</v>
      </c>
      <c r="T63" s="236"/>
      <c r="U63" s="236"/>
      <c r="V63" s="236"/>
      <c r="W63" s="236"/>
      <c r="X63" s="237"/>
      <c r="Y63" s="236"/>
      <c r="Z63" s="236"/>
      <c r="AA63" s="236"/>
      <c r="AB63" s="236"/>
      <c r="AC63" s="239" t="s">
        <v>68</v>
      </c>
      <c r="AD63" s="236" t="s">
        <v>110</v>
      </c>
      <c r="AE63" s="236"/>
      <c r="AF63" s="236"/>
      <c r="AG63" s="236"/>
      <c r="AH63" s="236"/>
      <c r="AI63" s="236"/>
      <c r="AJ63" s="236"/>
      <c r="AK63" s="236"/>
      <c r="AL63" s="236"/>
      <c r="AM63" s="236"/>
      <c r="AN63" s="239" t="s">
        <v>68</v>
      </c>
      <c r="AO63" s="236" t="s">
        <v>110</v>
      </c>
      <c r="AP63" s="236"/>
      <c r="AQ63" s="236"/>
      <c r="AR63" s="236"/>
      <c r="AS63" s="236"/>
      <c r="AT63" s="236"/>
      <c r="AU63" s="236"/>
      <c r="AV63" s="236"/>
      <c r="AW63" s="236"/>
      <c r="AX63" s="236"/>
      <c r="AY63" s="236"/>
      <c r="AZ63" s="239" t="s">
        <v>120</v>
      </c>
      <c r="BA63" s="236" t="s">
        <v>119</v>
      </c>
      <c r="BB63" s="236"/>
      <c r="BC63" s="236"/>
      <c r="BD63" s="236"/>
      <c r="BE63" s="236"/>
      <c r="BF63" s="236"/>
      <c r="BG63" s="236"/>
      <c r="BH63" s="236"/>
      <c r="BI63" s="236"/>
      <c r="BJ63" s="236"/>
      <c r="BK63" s="238"/>
      <c r="BL63" s="113" t="s">
        <v>362</v>
      </c>
      <c r="BM63" s="114"/>
      <c r="BN63" s="114"/>
      <c r="BO63" s="115"/>
      <c r="BP63" s="90"/>
      <c r="BQ63" s="137"/>
      <c r="BR63" s="136"/>
      <c r="BS63" s="114"/>
      <c r="BT63" s="114"/>
      <c r="BU63" s="114"/>
      <c r="BV63" s="114"/>
      <c r="BW63" s="136"/>
      <c r="BX63" s="136"/>
      <c r="BY63" s="136"/>
      <c r="BZ63" s="136"/>
      <c r="CA63" s="135"/>
      <c r="CB63" s="131"/>
    </row>
    <row r="64" spans="1:101">
      <c r="A64" s="235"/>
      <c r="B64" s="236"/>
      <c r="C64" s="236"/>
      <c r="D64" s="236"/>
      <c r="E64" s="236"/>
      <c r="F64" s="236"/>
      <c r="G64" s="239" t="s">
        <v>68</v>
      </c>
      <c r="H64" s="236" t="s">
        <v>105</v>
      </c>
      <c r="I64" s="236"/>
      <c r="J64" s="236"/>
      <c r="K64" s="236"/>
      <c r="L64" s="236"/>
      <c r="M64" s="237"/>
      <c r="N64" s="237"/>
      <c r="O64" s="236"/>
      <c r="P64" s="236"/>
      <c r="Q64" s="236"/>
      <c r="R64" s="239" t="s">
        <v>68</v>
      </c>
      <c r="S64" s="236" t="s">
        <v>105</v>
      </c>
      <c r="T64" s="236"/>
      <c r="U64" s="236"/>
      <c r="V64" s="236"/>
      <c r="W64" s="236"/>
      <c r="X64" s="237"/>
      <c r="Y64" s="236"/>
      <c r="Z64" s="236"/>
      <c r="AA64" s="236"/>
      <c r="AB64" s="236"/>
      <c r="AC64" s="236"/>
      <c r="AD64" s="240" t="s">
        <v>69</v>
      </c>
      <c r="AE64" s="236"/>
      <c r="AF64" s="236"/>
      <c r="AG64" s="236"/>
      <c r="AH64" s="236"/>
      <c r="AI64" s="236"/>
      <c r="AJ64" s="236"/>
      <c r="AK64" s="236"/>
      <c r="AL64" s="236"/>
      <c r="AM64" s="236"/>
      <c r="AN64" s="236"/>
      <c r="AO64" s="240" t="s">
        <v>69</v>
      </c>
      <c r="AP64" s="236"/>
      <c r="AQ64" s="236"/>
      <c r="AR64" s="236"/>
      <c r="AS64" s="236"/>
      <c r="AT64" s="236"/>
      <c r="AU64" s="236"/>
      <c r="AV64" s="236"/>
      <c r="AW64" s="236"/>
      <c r="AX64" s="236"/>
      <c r="AY64" s="236"/>
      <c r="AZ64" s="236"/>
      <c r="BA64" s="239" t="s">
        <v>84</v>
      </c>
      <c r="BB64" s="236" t="s">
        <v>113</v>
      </c>
      <c r="BC64" s="236"/>
      <c r="BD64" s="236"/>
      <c r="BE64" s="236"/>
      <c r="BF64" s="236"/>
      <c r="BG64" s="236"/>
      <c r="BH64" s="236"/>
      <c r="BI64" s="236"/>
      <c r="BJ64" s="236"/>
      <c r="BK64" s="238"/>
      <c r="BL64" s="102" t="s">
        <v>363</v>
      </c>
      <c r="BM64" s="88"/>
      <c r="BN64" s="88"/>
      <c r="BO64" s="88"/>
      <c r="BP64" s="88"/>
      <c r="BQ64" s="88"/>
      <c r="BR64" s="88"/>
      <c r="BS64" s="88"/>
      <c r="BT64" s="88"/>
      <c r="BU64" s="88"/>
      <c r="BV64" s="88"/>
      <c r="BW64" s="88"/>
      <c r="BX64" s="88"/>
      <c r="BY64" s="88"/>
      <c r="BZ64" s="88"/>
      <c r="CA64" s="91"/>
      <c r="CB64" s="130"/>
    </row>
    <row r="65" spans="1:80">
      <c r="A65" s="235"/>
      <c r="B65" s="236"/>
      <c r="C65" s="236"/>
      <c r="D65" s="236"/>
      <c r="E65" s="236"/>
      <c r="F65" s="236"/>
      <c r="G65" s="236"/>
      <c r="H65" s="239" t="s">
        <v>80</v>
      </c>
      <c r="I65" s="236"/>
      <c r="J65" s="236"/>
      <c r="K65" s="236"/>
      <c r="L65" s="236"/>
      <c r="M65" s="237"/>
      <c r="N65" s="237"/>
      <c r="O65" s="236"/>
      <c r="P65" s="236"/>
      <c r="Q65" s="236"/>
      <c r="R65" s="236"/>
      <c r="S65" s="239" t="s">
        <v>80</v>
      </c>
      <c r="T65" s="236"/>
      <c r="U65" s="236"/>
      <c r="V65" s="236"/>
      <c r="W65" s="236"/>
      <c r="X65" s="237"/>
      <c r="Y65" s="236"/>
      <c r="Z65" s="236"/>
      <c r="AA65" s="236"/>
      <c r="AB65" s="236"/>
      <c r="AC65" s="236"/>
      <c r="AD65" s="240" t="s">
        <v>116</v>
      </c>
      <c r="AE65" s="236" t="s">
        <v>117</v>
      </c>
      <c r="AF65" s="236"/>
      <c r="AG65" s="236"/>
      <c r="AH65" s="236"/>
      <c r="AI65" s="236"/>
      <c r="AJ65" s="236"/>
      <c r="AK65" s="236"/>
      <c r="AL65" s="236"/>
      <c r="AM65" s="236"/>
      <c r="AN65" s="236"/>
      <c r="AO65" s="240" t="s">
        <v>116</v>
      </c>
      <c r="AP65" s="236" t="s">
        <v>117</v>
      </c>
      <c r="AQ65" s="236"/>
      <c r="AR65" s="236"/>
      <c r="AS65" s="236"/>
      <c r="AT65" s="236"/>
      <c r="AU65" s="236"/>
      <c r="AV65" s="236"/>
      <c r="AW65" s="236"/>
      <c r="AX65" s="236"/>
      <c r="AY65" s="236"/>
      <c r="AZ65" s="236"/>
      <c r="BA65" s="236" t="s">
        <v>199</v>
      </c>
      <c r="BB65" s="236"/>
      <c r="BC65" s="236"/>
      <c r="BD65" s="236"/>
      <c r="BE65" s="236"/>
      <c r="BF65" s="236"/>
      <c r="BG65" s="236"/>
      <c r="BH65" s="236"/>
      <c r="BI65" s="236"/>
      <c r="BJ65" s="236"/>
      <c r="BK65" s="238"/>
      <c r="BL65" s="91"/>
      <c r="BM65" s="88"/>
      <c r="BN65" s="88"/>
      <c r="BO65" s="88"/>
      <c r="BP65" s="88"/>
      <c r="BQ65" s="101" t="s">
        <v>333</v>
      </c>
      <c r="BR65" s="101" t="s">
        <v>334</v>
      </c>
      <c r="BS65" s="88"/>
      <c r="BT65" s="88"/>
      <c r="BU65" s="88"/>
      <c r="BV65" s="88"/>
      <c r="BW65" s="529" t="s">
        <v>333</v>
      </c>
      <c r="BX65" s="529"/>
      <c r="BY65" s="529" t="s">
        <v>334</v>
      </c>
      <c r="BZ65" s="529"/>
      <c r="CA65" s="91"/>
      <c r="CB65" s="130"/>
    </row>
    <row r="66" spans="1:80">
      <c r="A66" s="235"/>
      <c r="B66" s="236"/>
      <c r="C66" s="236"/>
      <c r="D66" s="236"/>
      <c r="E66" s="236"/>
      <c r="F66" s="236"/>
      <c r="G66" s="236"/>
      <c r="H66" s="240" t="s">
        <v>171</v>
      </c>
      <c r="I66" s="236" t="s">
        <v>155</v>
      </c>
      <c r="J66" s="236"/>
      <c r="K66" s="236"/>
      <c r="L66" s="236"/>
      <c r="M66" s="237"/>
      <c r="N66" s="237"/>
      <c r="O66" s="236"/>
      <c r="P66" s="236"/>
      <c r="Q66" s="236"/>
      <c r="R66" s="236"/>
      <c r="S66" s="240" t="s">
        <v>171</v>
      </c>
      <c r="T66" s="236" t="s">
        <v>155</v>
      </c>
      <c r="U66" s="236"/>
      <c r="V66" s="236"/>
      <c r="W66" s="236"/>
      <c r="X66" s="237"/>
      <c r="Y66" s="236"/>
      <c r="Z66" s="236"/>
      <c r="AA66" s="236"/>
      <c r="AB66" s="236"/>
      <c r="AC66" s="236"/>
      <c r="AD66" s="236"/>
      <c r="AE66" s="239" t="s">
        <v>120</v>
      </c>
      <c r="AF66" s="236" t="s">
        <v>119</v>
      </c>
      <c r="AG66" s="236"/>
      <c r="AH66" s="236"/>
      <c r="AI66" s="236"/>
      <c r="AJ66" s="236"/>
      <c r="AK66" s="236"/>
      <c r="AL66" s="236"/>
      <c r="AM66" s="236"/>
      <c r="AN66" s="236"/>
      <c r="AO66" s="236"/>
      <c r="AP66" s="239" t="s">
        <v>120</v>
      </c>
      <c r="AQ66" s="236" t="s">
        <v>119</v>
      </c>
      <c r="AR66" s="236"/>
      <c r="AS66" s="236"/>
      <c r="AT66" s="236"/>
      <c r="AU66" s="236"/>
      <c r="AV66" s="236"/>
      <c r="AW66" s="236"/>
      <c r="AX66" s="236"/>
      <c r="AY66" s="236"/>
      <c r="AZ66" s="236"/>
      <c r="BA66" s="236"/>
      <c r="BB66" s="239" t="s">
        <v>158</v>
      </c>
      <c r="BC66" s="236"/>
      <c r="BD66" s="236"/>
      <c r="BE66" s="236"/>
      <c r="BF66" s="236"/>
      <c r="BG66" s="236"/>
      <c r="BH66" s="236"/>
      <c r="BI66" s="236"/>
      <c r="BJ66" s="236"/>
      <c r="BK66" s="238"/>
      <c r="BL66" s="91"/>
      <c r="BM66" s="88"/>
      <c r="BN66" s="89" t="s">
        <v>331</v>
      </c>
      <c r="BO66" s="92" t="s">
        <v>332</v>
      </c>
      <c r="BP66" s="90" t="s">
        <v>296</v>
      </c>
      <c r="BQ66" s="69">
        <f>BQ8-BQ28-BQ59</f>
        <v>-334.72772661678937</v>
      </c>
      <c r="BR66" s="69">
        <f>BQ8-BQ28-BR59</f>
        <v>8304.1626666553238</v>
      </c>
      <c r="BS66" s="88"/>
      <c r="BT66" s="88"/>
      <c r="BU66" s="88"/>
      <c r="BV66" s="88"/>
      <c r="BW66" s="533">
        <f>BW8-BW28-BW59</f>
        <v>7872.1482950428581</v>
      </c>
      <c r="BX66" s="533"/>
      <c r="BY66" s="533">
        <f>BY8-BY28-BY59</f>
        <v>8667.1092375786375</v>
      </c>
      <c r="BZ66" s="533"/>
      <c r="CA66" s="91"/>
      <c r="CB66" s="130"/>
    </row>
    <row r="67" spans="1:80">
      <c r="A67" s="235"/>
      <c r="B67" s="236"/>
      <c r="C67" s="236"/>
      <c r="D67" s="236"/>
      <c r="E67" s="236"/>
      <c r="F67" s="236"/>
      <c r="G67" s="236"/>
      <c r="H67" s="240" t="s">
        <v>102</v>
      </c>
      <c r="I67" s="237" t="s">
        <v>103</v>
      </c>
      <c r="J67" s="236"/>
      <c r="K67" s="236"/>
      <c r="L67" s="236"/>
      <c r="M67" s="237"/>
      <c r="N67" s="237"/>
      <c r="O67" s="236"/>
      <c r="P67" s="236"/>
      <c r="Q67" s="236"/>
      <c r="R67" s="236"/>
      <c r="S67" s="240" t="s">
        <v>102</v>
      </c>
      <c r="T67" s="237" t="s">
        <v>103</v>
      </c>
      <c r="U67" s="236"/>
      <c r="V67" s="236"/>
      <c r="W67" s="236"/>
      <c r="X67" s="237"/>
      <c r="Y67" s="236"/>
      <c r="Z67" s="236"/>
      <c r="AA67" s="236"/>
      <c r="AB67" s="236"/>
      <c r="AC67" s="236"/>
      <c r="AD67" s="236"/>
      <c r="AE67" s="236"/>
      <c r="AF67" s="239" t="s">
        <v>84</v>
      </c>
      <c r="AG67" s="236"/>
      <c r="AH67" s="236"/>
      <c r="AI67" s="236"/>
      <c r="AJ67" s="236"/>
      <c r="AK67" s="236"/>
      <c r="AL67" s="236"/>
      <c r="AM67" s="236"/>
      <c r="AN67" s="236"/>
      <c r="AO67" s="236"/>
      <c r="AP67" s="236"/>
      <c r="AQ67" s="239" t="s">
        <v>84</v>
      </c>
      <c r="AR67" s="236"/>
      <c r="AS67" s="236"/>
      <c r="AT67" s="236"/>
      <c r="AU67" s="236"/>
      <c r="AV67" s="236"/>
      <c r="AW67" s="236"/>
      <c r="AX67" s="236"/>
      <c r="AY67" s="236"/>
      <c r="AZ67" s="236"/>
      <c r="BA67" s="236"/>
      <c r="BB67" s="236"/>
      <c r="BC67" s="236"/>
      <c r="BD67" s="236"/>
      <c r="BE67" s="236"/>
      <c r="BF67" s="236"/>
      <c r="BG67" s="236"/>
      <c r="BH67" s="236"/>
      <c r="BI67" s="236"/>
      <c r="BJ67" s="236"/>
      <c r="BK67" s="238"/>
      <c r="BL67" s="102" t="s">
        <v>364</v>
      </c>
      <c r="BM67" s="88"/>
      <c r="BN67" s="88"/>
      <c r="BO67" s="88"/>
      <c r="BP67" s="88"/>
      <c r="BQ67" s="528" t="s">
        <v>337</v>
      </c>
      <c r="BR67" s="528"/>
      <c r="BS67" s="92"/>
      <c r="BT67" s="92"/>
      <c r="BU67" s="92"/>
      <c r="BV67" s="92"/>
      <c r="BW67" s="528" t="s">
        <v>337</v>
      </c>
      <c r="BX67" s="528"/>
      <c r="BY67" s="528"/>
      <c r="BZ67" s="528"/>
      <c r="CA67" s="91"/>
      <c r="CB67" s="130"/>
    </row>
    <row r="68" spans="1:80">
      <c r="A68" s="241"/>
      <c r="B68" s="236"/>
      <c r="C68" s="237"/>
      <c r="D68" s="236"/>
      <c r="E68" s="236"/>
      <c r="F68" s="236"/>
      <c r="G68" s="236"/>
      <c r="H68" s="325" t="s">
        <v>170</v>
      </c>
      <c r="I68" s="236"/>
      <c r="J68" s="236"/>
      <c r="K68" s="236"/>
      <c r="L68" s="236"/>
      <c r="M68" s="237"/>
      <c r="N68" s="237"/>
      <c r="O68" s="236"/>
      <c r="P68" s="236"/>
      <c r="Q68" s="236"/>
      <c r="R68" s="236"/>
      <c r="S68" s="242" t="s">
        <v>170</v>
      </c>
      <c r="T68" s="236"/>
      <c r="U68" s="236"/>
      <c r="V68" s="236"/>
      <c r="W68" s="236"/>
      <c r="X68" s="237"/>
      <c r="Y68" s="236"/>
      <c r="Z68" s="236"/>
      <c r="AA68" s="236"/>
      <c r="AB68" s="236"/>
      <c r="AC68" s="236"/>
      <c r="AD68" s="236"/>
      <c r="AE68" s="236"/>
      <c r="AF68" s="240" t="s">
        <v>112</v>
      </c>
      <c r="AG68" s="236" t="s">
        <v>113</v>
      </c>
      <c r="AH68" s="236"/>
      <c r="AI68" s="236"/>
      <c r="AJ68" s="236"/>
      <c r="AK68" s="236"/>
      <c r="AL68" s="236"/>
      <c r="AM68" s="236"/>
      <c r="AN68" s="236"/>
      <c r="AO68" s="236"/>
      <c r="AP68" s="236"/>
      <c r="AQ68" s="240" t="s">
        <v>172</v>
      </c>
      <c r="AR68" s="236" t="s">
        <v>114</v>
      </c>
      <c r="AS68" s="236"/>
      <c r="AT68" s="236"/>
      <c r="AU68" s="236"/>
      <c r="AV68" s="236"/>
      <c r="AW68" s="236"/>
      <c r="AX68" s="236"/>
      <c r="AY68" s="236"/>
      <c r="AZ68" s="236"/>
      <c r="BA68" s="236"/>
      <c r="BB68" s="236"/>
      <c r="BC68" s="236"/>
      <c r="BD68" s="236"/>
      <c r="BE68" s="236"/>
      <c r="BF68" s="236"/>
      <c r="BG68" s="236"/>
      <c r="BH68" s="236"/>
      <c r="BI68" s="236"/>
      <c r="BJ68" s="236"/>
      <c r="BK68" s="238"/>
      <c r="BL68" s="91"/>
      <c r="BM68" s="88"/>
      <c r="BN68" s="89" t="s">
        <v>335</v>
      </c>
      <c r="BO68" s="92" t="s">
        <v>336</v>
      </c>
      <c r="BP68" s="90" t="s">
        <v>296</v>
      </c>
      <c r="BQ68" s="534">
        <f>BQ66*0.2 + BR66*0.8</f>
        <v>6576.3845880009021</v>
      </c>
      <c r="BR68" s="534"/>
      <c r="BS68" s="88"/>
      <c r="BT68" s="88"/>
      <c r="BU68" s="88"/>
      <c r="BV68" s="88"/>
      <c r="BW68" s="534">
        <f>BW66*0.2 + BY66*0.8</f>
        <v>8508.1170490714831</v>
      </c>
      <c r="BX68" s="534"/>
      <c r="BY68" s="534"/>
      <c r="BZ68" s="534"/>
      <c r="CA68" s="91"/>
      <c r="CB68" s="130"/>
    </row>
    <row r="69" spans="1:80">
      <c r="A69" s="241"/>
      <c r="B69" s="236"/>
      <c r="C69" s="237"/>
      <c r="D69" s="236"/>
      <c r="E69" s="236"/>
      <c r="F69" s="236"/>
      <c r="G69" s="236"/>
      <c r="H69" s="236"/>
      <c r="I69" s="239" t="s">
        <v>120</v>
      </c>
      <c r="J69" s="236" t="s">
        <v>119</v>
      </c>
      <c r="K69" s="236"/>
      <c r="L69" s="236"/>
      <c r="M69" s="237"/>
      <c r="N69" s="237"/>
      <c r="O69" s="236"/>
      <c r="P69" s="236"/>
      <c r="Q69" s="236"/>
      <c r="R69" s="236"/>
      <c r="S69" s="236"/>
      <c r="T69" s="239" t="s">
        <v>120</v>
      </c>
      <c r="U69" s="236" t="s">
        <v>119</v>
      </c>
      <c r="V69" s="236"/>
      <c r="W69" s="236"/>
      <c r="X69" s="237"/>
      <c r="Y69" s="236"/>
      <c r="Z69" s="236"/>
      <c r="AA69" s="236"/>
      <c r="AB69" s="236"/>
      <c r="AC69" s="236"/>
      <c r="AD69" s="236"/>
      <c r="AE69" s="236"/>
      <c r="AF69" s="236"/>
      <c r="AG69" s="236"/>
      <c r="AH69" s="236"/>
      <c r="AI69" s="236"/>
      <c r="AJ69" s="236"/>
      <c r="AK69" s="236"/>
      <c r="AL69" s="236"/>
      <c r="AM69" s="236"/>
      <c r="AN69" s="236"/>
      <c r="AO69" s="236"/>
      <c r="AP69" s="236"/>
      <c r="AQ69" s="240" t="s">
        <v>173</v>
      </c>
      <c r="AR69" s="236" t="s">
        <v>115</v>
      </c>
      <c r="AS69" s="236"/>
      <c r="AT69" s="236"/>
      <c r="AU69" s="236"/>
      <c r="AV69" s="236"/>
      <c r="AW69" s="236"/>
      <c r="AX69" s="236"/>
      <c r="AY69" s="236"/>
      <c r="AZ69" s="236"/>
      <c r="BA69" s="236"/>
      <c r="BB69" s="236"/>
      <c r="BC69" s="236"/>
      <c r="BD69" s="236"/>
      <c r="BE69" s="236"/>
      <c r="BF69" s="236"/>
      <c r="BG69" s="236"/>
      <c r="BH69" s="236"/>
      <c r="BI69" s="236"/>
      <c r="BJ69" s="236"/>
      <c r="BK69" s="238"/>
      <c r="BL69" s="91"/>
      <c r="BM69" s="88"/>
      <c r="BN69" s="88"/>
      <c r="BO69" s="116" t="s">
        <v>402</v>
      </c>
      <c r="BP69" s="90" t="s">
        <v>28</v>
      </c>
      <c r="BQ69" s="530">
        <f>CONVERT(BQ68,"BTU","Wh")/1000</f>
        <v>1.9273480690695333</v>
      </c>
      <c r="BR69" s="530"/>
      <c r="BS69" s="96"/>
      <c r="BT69" s="96"/>
      <c r="BU69" s="96"/>
      <c r="BV69" s="96"/>
      <c r="BW69" s="531">
        <f>CONVERT(BW68,"BTU","Wh")/1000</f>
        <v>2.4934829687219091</v>
      </c>
      <c r="BX69" s="531"/>
      <c r="BY69" s="531"/>
      <c r="BZ69" s="531"/>
      <c r="CA69" s="91"/>
      <c r="CB69" s="130"/>
    </row>
    <row r="70" spans="1:80">
      <c r="A70" s="241"/>
      <c r="B70" s="236"/>
      <c r="C70" s="237"/>
      <c r="D70" s="236"/>
      <c r="E70" s="236"/>
      <c r="F70" s="236"/>
      <c r="G70" s="236"/>
      <c r="H70" s="236"/>
      <c r="I70" s="236"/>
      <c r="J70" s="239" t="s">
        <v>69</v>
      </c>
      <c r="K70" s="236"/>
      <c r="L70" s="236"/>
      <c r="M70" s="237"/>
      <c r="N70" s="237"/>
      <c r="O70" s="236"/>
      <c r="P70" s="236"/>
      <c r="Q70" s="236"/>
      <c r="R70" s="236"/>
      <c r="S70" s="236"/>
      <c r="T70" s="236"/>
      <c r="U70" s="239" t="s">
        <v>69</v>
      </c>
      <c r="V70" s="236"/>
      <c r="W70" s="236"/>
      <c r="X70" s="237"/>
      <c r="Y70" s="236"/>
      <c r="Z70" s="236"/>
      <c r="AA70" s="236"/>
      <c r="AB70" s="236"/>
      <c r="AC70" s="236"/>
      <c r="AD70" s="236"/>
      <c r="AE70" s="236"/>
      <c r="AF70" s="236"/>
      <c r="AG70" s="239" t="s">
        <v>158</v>
      </c>
      <c r="AH70" s="236"/>
      <c r="AI70" s="236"/>
      <c r="AJ70" s="236"/>
      <c r="AK70" s="236"/>
      <c r="AL70" s="236"/>
      <c r="AM70" s="236"/>
      <c r="AN70" s="236"/>
      <c r="AO70" s="236"/>
      <c r="AP70" s="236"/>
      <c r="AQ70" s="239" t="s">
        <v>72</v>
      </c>
      <c r="AR70" s="243" t="s">
        <v>151</v>
      </c>
      <c r="AS70" s="236"/>
      <c r="AT70" s="236"/>
      <c r="AU70" s="236"/>
      <c r="AV70" s="236"/>
      <c r="AW70" s="236"/>
      <c r="AX70" s="236"/>
      <c r="AY70" s="236"/>
      <c r="AZ70" s="236"/>
      <c r="BA70" s="236"/>
      <c r="BB70" s="236"/>
      <c r="BC70" s="236"/>
      <c r="BD70" s="236"/>
      <c r="BE70" s="236"/>
      <c r="BF70" s="236"/>
      <c r="BG70" s="236"/>
      <c r="BH70" s="236"/>
      <c r="BI70" s="236"/>
      <c r="BJ70" s="236"/>
      <c r="BK70" s="238"/>
      <c r="BL70" s="91"/>
      <c r="BM70" s="88"/>
      <c r="BN70" s="89"/>
      <c r="BO70" s="97" t="s">
        <v>338</v>
      </c>
      <c r="BP70" s="98" t="s">
        <v>28</v>
      </c>
      <c r="BQ70" s="532">
        <f>BQ69/(BQ9/1000)</f>
        <v>0.74128771887289735</v>
      </c>
      <c r="BR70" s="532"/>
      <c r="BS70" s="96"/>
      <c r="BT70" s="96"/>
      <c r="BU70" s="96"/>
      <c r="BV70" s="96"/>
      <c r="BW70" s="532">
        <f>BW69/((0.2*BW9+0.8*BY9)/1000)</f>
        <v>0.9740167846569957</v>
      </c>
      <c r="BX70" s="532"/>
      <c r="BY70" s="532"/>
      <c r="BZ70" s="532"/>
      <c r="CA70" s="91"/>
      <c r="CB70" s="130"/>
    </row>
    <row r="71" spans="1:80" ht="18.75">
      <c r="A71" s="241"/>
      <c r="B71" s="236"/>
      <c r="C71" s="237"/>
      <c r="D71" s="236"/>
      <c r="E71" s="236"/>
      <c r="F71" s="236"/>
      <c r="G71" s="236"/>
      <c r="H71" s="236"/>
      <c r="I71" s="236"/>
      <c r="J71" s="326" t="s">
        <v>175</v>
      </c>
      <c r="K71" s="244" t="s">
        <v>179</v>
      </c>
      <c r="L71" s="236"/>
      <c r="M71" s="237"/>
      <c r="N71" s="237"/>
      <c r="O71" s="236"/>
      <c r="P71" s="236"/>
      <c r="Q71" s="236"/>
      <c r="R71" s="236"/>
      <c r="S71" s="236"/>
      <c r="T71" s="236"/>
      <c r="U71" s="326" t="s">
        <v>175</v>
      </c>
      <c r="V71" s="244" t="s">
        <v>177</v>
      </c>
      <c r="W71" s="236"/>
      <c r="X71" s="237"/>
      <c r="Y71" s="236"/>
      <c r="Z71" s="236"/>
      <c r="AA71" s="236"/>
      <c r="AB71" s="236"/>
      <c r="AC71" s="236"/>
      <c r="AD71" s="236"/>
      <c r="AE71" s="236"/>
      <c r="AF71" s="236"/>
      <c r="AG71" s="236"/>
      <c r="AH71" s="236"/>
      <c r="AI71" s="236"/>
      <c r="AJ71" s="236"/>
      <c r="AK71" s="236"/>
      <c r="AL71" s="236"/>
      <c r="AM71" s="236"/>
      <c r="AN71" s="236"/>
      <c r="AO71" s="236"/>
      <c r="AP71" s="236"/>
      <c r="AQ71" s="236"/>
      <c r="AR71" s="239" t="s">
        <v>158</v>
      </c>
      <c r="AS71" s="236"/>
      <c r="AT71" s="236"/>
      <c r="AU71" s="236"/>
      <c r="AV71" s="236"/>
      <c r="AW71" s="236"/>
      <c r="AX71" s="236"/>
      <c r="AY71" s="236"/>
      <c r="AZ71" s="236"/>
      <c r="BA71" s="236"/>
      <c r="BB71" s="236"/>
      <c r="BC71" s="236"/>
      <c r="BD71" s="236"/>
      <c r="BE71" s="236"/>
      <c r="BF71" s="236"/>
      <c r="BG71" s="236"/>
      <c r="BH71" s="236"/>
      <c r="BI71" s="236"/>
      <c r="BJ71" s="236"/>
      <c r="BK71" s="238"/>
      <c r="BL71" s="102" t="s">
        <v>365</v>
      </c>
      <c r="BM71" s="88"/>
      <c r="BN71" s="88"/>
      <c r="BO71" s="88"/>
      <c r="BP71" s="88"/>
      <c r="BQ71" s="88"/>
      <c r="BR71" s="88"/>
      <c r="BS71" s="88"/>
      <c r="BT71" s="88"/>
      <c r="BU71" s="88"/>
      <c r="BV71" s="88"/>
      <c r="BW71" s="88"/>
      <c r="BX71" s="88"/>
      <c r="BY71" s="88"/>
      <c r="BZ71" s="88"/>
      <c r="CA71" s="91"/>
      <c r="CB71" s="130"/>
    </row>
    <row r="72" spans="1:80" ht="18.75">
      <c r="A72" s="235"/>
      <c r="B72" s="236"/>
      <c r="C72" s="237"/>
      <c r="D72" s="236"/>
      <c r="E72" s="236"/>
      <c r="F72" s="236"/>
      <c r="G72" s="236"/>
      <c r="H72" s="236"/>
      <c r="I72" s="236"/>
      <c r="J72" s="326" t="s">
        <v>176</v>
      </c>
      <c r="K72" s="244" t="s">
        <v>180</v>
      </c>
      <c r="L72" s="236"/>
      <c r="M72" s="237"/>
      <c r="N72" s="237"/>
      <c r="O72" s="236"/>
      <c r="P72" s="236"/>
      <c r="Q72" s="236"/>
      <c r="R72" s="236"/>
      <c r="S72" s="236"/>
      <c r="T72" s="236"/>
      <c r="U72" s="326" t="s">
        <v>176</v>
      </c>
      <c r="V72" s="244" t="s">
        <v>178</v>
      </c>
      <c r="W72" s="236"/>
      <c r="X72" s="237"/>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236"/>
      <c r="BJ72" s="236"/>
      <c r="BK72" s="238"/>
      <c r="BL72" s="91"/>
      <c r="BM72" s="88"/>
      <c r="BN72" s="89" t="s">
        <v>340</v>
      </c>
      <c r="BO72" s="92" t="s">
        <v>341</v>
      </c>
      <c r="BP72" s="90" t="s">
        <v>226</v>
      </c>
      <c r="BQ72" s="550">
        <f>BQ11</f>
        <v>866.66666666666663</v>
      </c>
      <c r="BR72" s="550"/>
      <c r="BS72" s="88"/>
      <c r="BT72" s="88"/>
      <c r="BU72" s="88"/>
      <c r="BV72" s="90" t="str">
        <f t="shared" ref="BV72:BV79" si="58">BP72</f>
        <v>W</v>
      </c>
      <c r="BW72" s="550">
        <f>BW11</f>
        <v>1000</v>
      </c>
      <c r="BX72" s="550"/>
      <c r="BY72" s="550">
        <f>BY11</f>
        <v>1000</v>
      </c>
      <c r="BZ72" s="568"/>
      <c r="CA72" s="91"/>
      <c r="CB72" s="130"/>
    </row>
    <row r="73" spans="1:80">
      <c r="A73" s="235"/>
      <c r="B73" s="236"/>
      <c r="C73" s="237"/>
      <c r="D73" s="236"/>
      <c r="E73" s="236"/>
      <c r="F73" s="236"/>
      <c r="G73" s="236"/>
      <c r="H73" s="236"/>
      <c r="I73" s="236"/>
      <c r="J73" s="236"/>
      <c r="K73" s="239" t="s">
        <v>84</v>
      </c>
      <c r="L73" s="236"/>
      <c r="M73" s="237"/>
      <c r="N73" s="237"/>
      <c r="O73" s="236"/>
      <c r="P73" s="236"/>
      <c r="Q73" s="236"/>
      <c r="R73" s="236"/>
      <c r="S73" s="236"/>
      <c r="T73" s="236"/>
      <c r="U73" s="236"/>
      <c r="V73" s="239" t="s">
        <v>84</v>
      </c>
      <c r="W73" s="236"/>
      <c r="X73" s="237"/>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36"/>
      <c r="AY73" s="236"/>
      <c r="AZ73" s="236"/>
      <c r="BA73" s="236"/>
      <c r="BB73" s="236"/>
      <c r="BC73" s="236"/>
      <c r="BD73" s="236"/>
      <c r="BE73" s="236"/>
      <c r="BF73" s="236"/>
      <c r="BG73" s="236"/>
      <c r="BH73" s="236"/>
      <c r="BI73" s="236"/>
      <c r="BJ73" s="236"/>
      <c r="BK73" s="238"/>
      <c r="BL73" s="91"/>
      <c r="BM73" s="88"/>
      <c r="BN73" s="89" t="s">
        <v>346</v>
      </c>
      <c r="BO73" s="92" t="s">
        <v>348</v>
      </c>
      <c r="BP73" s="90" t="s">
        <v>226</v>
      </c>
      <c r="BQ73" s="550">
        <v>50</v>
      </c>
      <c r="BR73" s="550"/>
      <c r="BS73" s="88"/>
      <c r="BT73" s="88"/>
      <c r="BU73" s="88"/>
      <c r="BV73" s="90" t="str">
        <f t="shared" si="58"/>
        <v>W</v>
      </c>
      <c r="BW73" s="550">
        <v>50</v>
      </c>
      <c r="BX73" s="550"/>
      <c r="BY73" s="566">
        <f>BW73</f>
        <v>50</v>
      </c>
      <c r="BZ73" s="567"/>
      <c r="CA73" s="91"/>
      <c r="CB73" s="130"/>
    </row>
    <row r="74" spans="1:80">
      <c r="A74" s="235"/>
      <c r="B74" s="236"/>
      <c r="C74" s="237"/>
      <c r="D74" s="236"/>
      <c r="E74" s="236"/>
      <c r="F74" s="236"/>
      <c r="G74" s="236"/>
      <c r="H74" s="236"/>
      <c r="I74" s="236"/>
      <c r="J74" s="245"/>
      <c r="K74" s="239" t="s">
        <v>112</v>
      </c>
      <c r="L74" s="236" t="s">
        <v>113</v>
      </c>
      <c r="M74" s="237"/>
      <c r="N74" s="237"/>
      <c r="O74" s="236"/>
      <c r="P74" s="236"/>
      <c r="Q74" s="236"/>
      <c r="R74" s="236"/>
      <c r="S74" s="236"/>
      <c r="T74" s="236"/>
      <c r="U74" s="236"/>
      <c r="V74" s="240" t="s">
        <v>172</v>
      </c>
      <c r="W74" s="236" t="s">
        <v>114</v>
      </c>
      <c r="X74" s="237"/>
      <c r="Y74" s="236"/>
      <c r="Z74" s="236"/>
      <c r="AA74" s="236"/>
      <c r="AB74" s="236"/>
      <c r="AC74" s="236"/>
      <c r="AD74" s="236"/>
      <c r="AE74" s="236"/>
      <c r="AF74" s="236"/>
      <c r="AG74" s="236"/>
      <c r="AH74" s="236"/>
      <c r="AI74" s="236"/>
      <c r="AJ74" s="236"/>
      <c r="AK74" s="236"/>
      <c r="AL74" s="236"/>
      <c r="AM74" s="236"/>
      <c r="AN74" s="236"/>
      <c r="AO74" s="236"/>
      <c r="AP74" s="236"/>
      <c r="AQ74" s="236"/>
      <c r="AR74" s="236"/>
      <c r="AS74" s="236"/>
      <c r="AT74" s="236"/>
      <c r="AU74" s="236"/>
      <c r="AV74" s="236"/>
      <c r="AW74" s="236"/>
      <c r="AX74" s="236"/>
      <c r="AY74" s="236"/>
      <c r="AZ74" s="236"/>
      <c r="BA74" s="236"/>
      <c r="BB74" s="236"/>
      <c r="BC74" s="236"/>
      <c r="BD74" s="236"/>
      <c r="BE74" s="236"/>
      <c r="BF74" s="236"/>
      <c r="BG74" s="236"/>
      <c r="BH74" s="236"/>
      <c r="BI74" s="236"/>
      <c r="BJ74" s="236"/>
      <c r="BK74" s="238"/>
      <c r="BL74" s="91"/>
      <c r="BM74" s="88"/>
      <c r="BN74" s="89" t="s">
        <v>347</v>
      </c>
      <c r="BO74" s="92" t="s">
        <v>349</v>
      </c>
      <c r="BP74" s="90" t="s">
        <v>226</v>
      </c>
      <c r="BQ74" s="550">
        <v>1</v>
      </c>
      <c r="BR74" s="550"/>
      <c r="BS74" s="88"/>
      <c r="BT74" s="88"/>
      <c r="BU74" s="88"/>
      <c r="BV74" s="90" t="str">
        <f t="shared" si="58"/>
        <v>W</v>
      </c>
      <c r="BW74" s="550">
        <v>1</v>
      </c>
      <c r="BX74" s="550"/>
      <c r="BY74" s="566">
        <f>BW74</f>
        <v>1</v>
      </c>
      <c r="BZ74" s="567"/>
      <c r="CA74" s="91"/>
      <c r="CB74" s="130"/>
    </row>
    <row r="75" spans="1:80">
      <c r="A75" s="235"/>
      <c r="B75" s="236"/>
      <c r="C75" s="236"/>
      <c r="D75" s="236"/>
      <c r="E75" s="236"/>
      <c r="F75" s="236"/>
      <c r="G75" s="236"/>
      <c r="H75" s="236"/>
      <c r="I75" s="236"/>
      <c r="J75" s="236"/>
      <c r="K75" s="236"/>
      <c r="L75" s="236"/>
      <c r="M75" s="237"/>
      <c r="N75" s="237"/>
      <c r="O75" s="236"/>
      <c r="P75" s="236"/>
      <c r="Q75" s="236"/>
      <c r="R75" s="236"/>
      <c r="S75" s="236"/>
      <c r="T75" s="236"/>
      <c r="U75" s="236"/>
      <c r="V75" s="240" t="s">
        <v>173</v>
      </c>
      <c r="W75" s="236" t="s">
        <v>115</v>
      </c>
      <c r="X75" s="237"/>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236"/>
      <c r="AY75" s="236"/>
      <c r="AZ75" s="236"/>
      <c r="BA75" s="236"/>
      <c r="BB75" s="236"/>
      <c r="BC75" s="236"/>
      <c r="BD75" s="236"/>
      <c r="BE75" s="236"/>
      <c r="BF75" s="236"/>
      <c r="BG75" s="236"/>
      <c r="BH75" s="236"/>
      <c r="BI75" s="236"/>
      <c r="BJ75" s="236"/>
      <c r="BK75" s="238"/>
      <c r="BL75" s="91"/>
      <c r="BM75" s="88"/>
      <c r="BN75" s="89" t="s">
        <v>350</v>
      </c>
      <c r="BO75" s="92" t="s">
        <v>351</v>
      </c>
      <c r="BP75" s="90" t="s">
        <v>88</v>
      </c>
      <c r="BQ75" s="551">
        <v>750</v>
      </c>
      <c r="BR75" s="551"/>
      <c r="BS75" s="88"/>
      <c r="BT75" s="88"/>
      <c r="BU75" s="88"/>
      <c r="BV75" s="90" t="str">
        <f t="shared" si="58"/>
        <v>h/a</v>
      </c>
      <c r="BW75" s="551">
        <v>750</v>
      </c>
      <c r="BX75" s="551"/>
      <c r="BY75" s="551">
        <v>750</v>
      </c>
      <c r="BZ75" s="551"/>
      <c r="CA75" s="91"/>
      <c r="CB75" s="130"/>
    </row>
    <row r="76" spans="1:80">
      <c r="A76" s="235"/>
      <c r="B76" s="236"/>
      <c r="C76" s="237"/>
      <c r="D76" s="236"/>
      <c r="E76" s="236"/>
      <c r="F76" s="236"/>
      <c r="G76" s="236"/>
      <c r="H76" s="236"/>
      <c r="I76" s="236"/>
      <c r="J76" s="236"/>
      <c r="K76" s="236"/>
      <c r="L76" s="236"/>
      <c r="M76" s="237"/>
      <c r="N76" s="237"/>
      <c r="O76" s="236"/>
      <c r="P76" s="236"/>
      <c r="Q76" s="236"/>
      <c r="R76" s="236"/>
      <c r="S76" s="236"/>
      <c r="T76" s="236"/>
      <c r="U76" s="236"/>
      <c r="V76" s="239" t="s">
        <v>72</v>
      </c>
      <c r="W76" s="243" t="s">
        <v>151</v>
      </c>
      <c r="X76" s="237"/>
      <c r="Y76" s="236"/>
      <c r="Z76" s="236"/>
      <c r="AA76" s="236"/>
      <c r="AB76" s="236"/>
      <c r="AC76" s="236"/>
      <c r="AD76" s="236"/>
      <c r="AE76" s="236"/>
      <c r="AF76" s="236"/>
      <c r="AG76" s="236"/>
      <c r="AH76" s="236"/>
      <c r="AI76" s="236"/>
      <c r="AJ76" s="236"/>
      <c r="AK76" s="236"/>
      <c r="AL76" s="236"/>
      <c r="AM76" s="236"/>
      <c r="AN76" s="236"/>
      <c r="AO76" s="236"/>
      <c r="AP76" s="236"/>
      <c r="AQ76" s="236"/>
      <c r="AR76" s="236"/>
      <c r="AS76" s="236"/>
      <c r="AT76" s="236"/>
      <c r="AU76" s="236"/>
      <c r="AV76" s="236"/>
      <c r="AW76" s="236"/>
      <c r="AX76" s="236"/>
      <c r="AY76" s="236"/>
      <c r="AZ76" s="236"/>
      <c r="BA76" s="236"/>
      <c r="BB76" s="236"/>
      <c r="BC76" s="236"/>
      <c r="BD76" s="236"/>
      <c r="BE76" s="236"/>
      <c r="BF76" s="236"/>
      <c r="BG76" s="236"/>
      <c r="BH76" s="236"/>
      <c r="BI76" s="236"/>
      <c r="BJ76" s="236"/>
      <c r="BK76" s="238"/>
      <c r="BL76" s="91"/>
      <c r="BM76" s="88"/>
      <c r="BN76" s="89" t="s">
        <v>350</v>
      </c>
      <c r="BO76" s="92" t="s">
        <v>348</v>
      </c>
      <c r="BP76" s="90" t="s">
        <v>88</v>
      </c>
      <c r="BQ76" s="551">
        <v>880</v>
      </c>
      <c r="BR76" s="551"/>
      <c r="BS76" s="88"/>
      <c r="BT76" s="88"/>
      <c r="BU76" s="88"/>
      <c r="BV76" s="90" t="str">
        <f t="shared" si="58"/>
        <v>h/a</v>
      </c>
      <c r="BW76" s="551">
        <v>880</v>
      </c>
      <c r="BX76" s="551"/>
      <c r="BY76" s="551">
        <v>880</v>
      </c>
      <c r="BZ76" s="551"/>
      <c r="CA76" s="91"/>
      <c r="CB76" s="130"/>
    </row>
    <row r="77" spans="1:80">
      <c r="A77" s="235"/>
      <c r="B77" s="236"/>
      <c r="C77" s="236"/>
      <c r="D77" s="236"/>
      <c r="E77" s="236"/>
      <c r="F77" s="236"/>
      <c r="G77" s="236"/>
      <c r="H77" s="236"/>
      <c r="I77" s="236"/>
      <c r="J77" s="236"/>
      <c r="K77" s="236"/>
      <c r="L77" s="236"/>
      <c r="M77" s="237"/>
      <c r="N77" s="237"/>
      <c r="O77" s="236"/>
      <c r="P77" s="236"/>
      <c r="Q77" s="236"/>
      <c r="R77" s="236"/>
      <c r="S77" s="236"/>
      <c r="T77" s="236"/>
      <c r="U77" s="236"/>
      <c r="V77" s="236"/>
      <c r="W77" s="236"/>
      <c r="X77" s="237"/>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36"/>
      <c r="AY77" s="236"/>
      <c r="AZ77" s="236"/>
      <c r="BA77" s="236"/>
      <c r="BB77" s="236"/>
      <c r="BC77" s="236"/>
      <c r="BD77" s="236"/>
      <c r="BE77" s="236"/>
      <c r="BF77" s="236"/>
      <c r="BG77" s="236"/>
      <c r="BH77" s="236"/>
      <c r="BI77" s="236"/>
      <c r="BJ77" s="236"/>
      <c r="BK77" s="238"/>
      <c r="BL77" s="91"/>
      <c r="BM77" s="88"/>
      <c r="BN77" s="89" t="s">
        <v>350</v>
      </c>
      <c r="BO77" s="92" t="s">
        <v>349</v>
      </c>
      <c r="BP77" s="90" t="s">
        <v>88</v>
      </c>
      <c r="BQ77" s="551">
        <v>1355</v>
      </c>
      <c r="BR77" s="551"/>
      <c r="BS77" s="88"/>
      <c r="BT77" s="88"/>
      <c r="BU77" s="88"/>
      <c r="BV77" s="90" t="str">
        <f t="shared" si="58"/>
        <v>h/a</v>
      </c>
      <c r="BW77" s="551">
        <v>1355</v>
      </c>
      <c r="BX77" s="551"/>
      <c r="BY77" s="551">
        <v>1355</v>
      </c>
      <c r="BZ77" s="551"/>
      <c r="CA77" s="91"/>
      <c r="CB77" s="130"/>
    </row>
    <row r="78" spans="1:80">
      <c r="A78" s="235"/>
      <c r="B78" s="236"/>
      <c r="C78" s="237"/>
      <c r="D78" s="236"/>
      <c r="E78" s="239" t="s">
        <v>70</v>
      </c>
      <c r="F78" s="236" t="s">
        <v>118</v>
      </c>
      <c r="G78" s="236"/>
      <c r="H78" s="236"/>
      <c r="I78" s="236"/>
      <c r="J78" s="236"/>
      <c r="K78" s="236"/>
      <c r="L78" s="236"/>
      <c r="M78" s="237"/>
      <c r="N78" s="237"/>
      <c r="O78" s="236"/>
      <c r="P78" s="239" t="s">
        <v>70</v>
      </c>
      <c r="Q78" s="236" t="s">
        <v>118</v>
      </c>
      <c r="R78" s="236"/>
      <c r="S78" s="236"/>
      <c r="T78" s="236"/>
      <c r="U78" s="236"/>
      <c r="V78" s="236"/>
      <c r="W78" s="236"/>
      <c r="X78" s="237"/>
      <c r="Y78" s="236"/>
      <c r="Z78" s="236"/>
      <c r="AA78" s="239" t="s">
        <v>70</v>
      </c>
      <c r="AB78" s="236" t="s">
        <v>118</v>
      </c>
      <c r="AC78" s="236"/>
      <c r="AD78" s="236"/>
      <c r="AE78" s="236"/>
      <c r="AF78" s="236"/>
      <c r="AG78" s="236"/>
      <c r="AH78" s="236"/>
      <c r="AI78" s="236"/>
      <c r="AJ78" s="236"/>
      <c r="AK78" s="236"/>
      <c r="AL78" s="239" t="s">
        <v>70</v>
      </c>
      <c r="AM78" s="236" t="s">
        <v>118</v>
      </c>
      <c r="AN78" s="236"/>
      <c r="AO78" s="236"/>
      <c r="AP78" s="236"/>
      <c r="AQ78" s="236"/>
      <c r="AR78" s="236"/>
      <c r="AS78" s="236"/>
      <c r="AT78" s="236"/>
      <c r="AU78" s="236"/>
      <c r="AV78" s="236"/>
      <c r="AW78" s="239" t="s">
        <v>70</v>
      </c>
      <c r="AX78" s="236" t="s">
        <v>191</v>
      </c>
      <c r="AY78" s="236"/>
      <c r="AZ78" s="236"/>
      <c r="BA78" s="236"/>
      <c r="BB78" s="236"/>
      <c r="BC78" s="236"/>
      <c r="BD78" s="236"/>
      <c r="BE78" s="236"/>
      <c r="BF78" s="236"/>
      <c r="BG78" s="236"/>
      <c r="BH78" s="236"/>
      <c r="BI78" s="236"/>
      <c r="BJ78" s="236"/>
      <c r="BK78" s="238"/>
      <c r="BL78" s="91"/>
      <c r="BM78" s="88"/>
      <c r="BN78" s="89" t="s">
        <v>352</v>
      </c>
      <c r="BO78" s="92" t="s">
        <v>367</v>
      </c>
      <c r="BP78" s="88" t="s">
        <v>353</v>
      </c>
      <c r="BQ78" s="548">
        <f>SUMPRODUCT(BQ72,BQ75)*0.001</f>
        <v>650</v>
      </c>
      <c r="BR78" s="548"/>
      <c r="BS78" s="88"/>
      <c r="BT78" s="88"/>
      <c r="BU78" s="88"/>
      <c r="BV78" s="90" t="str">
        <f t="shared" ref="BV78" si="59">BP78</f>
        <v>kWh/a</v>
      </c>
      <c r="BW78" s="540">
        <f>BW72*BW75*0.001</f>
        <v>750</v>
      </c>
      <c r="BX78" s="549"/>
      <c r="BY78" s="540">
        <f>BY72*BY75*0.001</f>
        <v>750</v>
      </c>
      <c r="BZ78" s="541"/>
      <c r="CA78" s="91"/>
      <c r="CB78" s="130"/>
    </row>
    <row r="79" spans="1:80">
      <c r="A79" s="235"/>
      <c r="B79" s="236"/>
      <c r="C79" s="236"/>
      <c r="D79" s="236"/>
      <c r="E79" s="239" t="s">
        <v>90</v>
      </c>
      <c r="F79" s="236" t="s">
        <v>111</v>
      </c>
      <c r="G79" s="236"/>
      <c r="H79" s="236"/>
      <c r="I79" s="236"/>
      <c r="J79" s="236"/>
      <c r="K79" s="236"/>
      <c r="L79" s="236"/>
      <c r="M79" s="237"/>
      <c r="N79" s="237"/>
      <c r="O79" s="236"/>
      <c r="P79" s="239" t="s">
        <v>90</v>
      </c>
      <c r="Q79" s="236" t="s">
        <v>111</v>
      </c>
      <c r="R79" s="236"/>
      <c r="S79" s="236"/>
      <c r="T79" s="236"/>
      <c r="U79" s="236"/>
      <c r="V79" s="236"/>
      <c r="W79" s="236"/>
      <c r="X79" s="237"/>
      <c r="Y79" s="236"/>
      <c r="Z79" s="236"/>
      <c r="AA79" s="239" t="s">
        <v>90</v>
      </c>
      <c r="AB79" s="236" t="s">
        <v>111</v>
      </c>
      <c r="AC79" s="236"/>
      <c r="AD79" s="236"/>
      <c r="AE79" s="236"/>
      <c r="AF79" s="236"/>
      <c r="AG79" s="236"/>
      <c r="AH79" s="236"/>
      <c r="AI79" s="236"/>
      <c r="AJ79" s="236"/>
      <c r="AK79" s="236"/>
      <c r="AL79" s="239" t="s">
        <v>90</v>
      </c>
      <c r="AM79" s="236" t="s">
        <v>111</v>
      </c>
      <c r="AN79" s="236"/>
      <c r="AO79" s="236"/>
      <c r="AP79" s="236"/>
      <c r="AQ79" s="236"/>
      <c r="AR79" s="236"/>
      <c r="AS79" s="236"/>
      <c r="AT79" s="236"/>
      <c r="AU79" s="236"/>
      <c r="AV79" s="236"/>
      <c r="AW79" s="239" t="s">
        <v>90</v>
      </c>
      <c r="AX79" s="236" t="s">
        <v>111</v>
      </c>
      <c r="AY79" s="236"/>
      <c r="AZ79" s="236"/>
      <c r="BA79" s="236"/>
      <c r="BB79" s="236"/>
      <c r="BC79" s="236"/>
      <c r="BD79" s="236"/>
      <c r="BE79" s="236"/>
      <c r="BF79" s="236"/>
      <c r="BG79" s="236"/>
      <c r="BH79" s="236"/>
      <c r="BI79" s="236"/>
      <c r="BJ79" s="236"/>
      <c r="BK79" s="238"/>
      <c r="BL79" s="91"/>
      <c r="BM79" s="88"/>
      <c r="BN79" s="89" t="s">
        <v>352</v>
      </c>
      <c r="BO79" s="92" t="s">
        <v>354</v>
      </c>
      <c r="BP79" s="88" t="s">
        <v>353</v>
      </c>
      <c r="BQ79" s="548">
        <f>SUMPRODUCT(BQ73:BR74,BQ76:BR77)*0.001</f>
        <v>45.355000000000004</v>
      </c>
      <c r="BR79" s="548"/>
      <c r="BS79" s="88"/>
      <c r="BT79" s="88"/>
      <c r="BU79" s="88"/>
      <c r="BV79" s="90" t="str">
        <f t="shared" si="58"/>
        <v>kWh/a</v>
      </c>
      <c r="BW79" s="540">
        <f>SUMPRODUCT(BW73:BX74,BW76:BX77)*0.001</f>
        <v>45.355000000000004</v>
      </c>
      <c r="BX79" s="549"/>
      <c r="BY79" s="540">
        <f>SUMPRODUCT(BY73:BZ74,BY76:BZ77)*0.001</f>
        <v>45.355000000000004</v>
      </c>
      <c r="BZ79" s="541"/>
      <c r="CA79" s="91"/>
      <c r="CB79" s="130"/>
    </row>
    <row r="80" spans="1:80">
      <c r="A80" s="235"/>
      <c r="B80" s="236"/>
      <c r="C80" s="237"/>
      <c r="D80" s="236"/>
      <c r="E80" s="239" t="s">
        <v>101</v>
      </c>
      <c r="F80" s="236" t="s">
        <v>121</v>
      </c>
      <c r="G80" s="236"/>
      <c r="H80" s="236"/>
      <c r="I80" s="236"/>
      <c r="J80" s="236"/>
      <c r="K80" s="236"/>
      <c r="L80" s="236"/>
      <c r="M80" s="237"/>
      <c r="N80" s="237"/>
      <c r="O80" s="236"/>
      <c r="P80" s="239" t="s">
        <v>101</v>
      </c>
      <c r="Q80" s="236" t="s">
        <v>121</v>
      </c>
      <c r="R80" s="236"/>
      <c r="S80" s="236"/>
      <c r="T80" s="236"/>
      <c r="U80" s="236"/>
      <c r="V80" s="236"/>
      <c r="W80" s="236"/>
      <c r="X80" s="237"/>
      <c r="Y80" s="236"/>
      <c r="Z80" s="236"/>
      <c r="AA80" s="239" t="s">
        <v>101</v>
      </c>
      <c r="AB80" s="236" t="s">
        <v>121</v>
      </c>
      <c r="AC80" s="236"/>
      <c r="AD80" s="236"/>
      <c r="AE80" s="236"/>
      <c r="AF80" s="236"/>
      <c r="AG80" s="236"/>
      <c r="AH80" s="236"/>
      <c r="AI80" s="236"/>
      <c r="AJ80" s="236"/>
      <c r="AK80" s="236"/>
      <c r="AL80" s="239" t="s">
        <v>101</v>
      </c>
      <c r="AM80" s="236" t="s">
        <v>121</v>
      </c>
      <c r="AN80" s="236"/>
      <c r="AO80" s="236"/>
      <c r="AP80" s="236"/>
      <c r="AQ80" s="236"/>
      <c r="AR80" s="236"/>
      <c r="AS80" s="236"/>
      <c r="AT80" s="236"/>
      <c r="AU80" s="236"/>
      <c r="AV80" s="236"/>
      <c r="AW80" s="239" t="s">
        <v>101</v>
      </c>
      <c r="AX80" s="236" t="s">
        <v>200</v>
      </c>
      <c r="AY80" s="236"/>
      <c r="AZ80" s="236"/>
      <c r="BA80" s="236"/>
      <c r="BB80" s="236"/>
      <c r="BC80" s="236"/>
      <c r="BD80" s="236"/>
      <c r="BE80" s="236"/>
      <c r="BF80" s="236"/>
      <c r="BG80" s="236"/>
      <c r="BH80" s="236"/>
      <c r="BI80" s="236"/>
      <c r="BJ80" s="236"/>
      <c r="BK80" s="238"/>
      <c r="BL80" s="91"/>
      <c r="BM80" s="88"/>
      <c r="BN80" s="89" t="s">
        <v>352</v>
      </c>
      <c r="BO80" s="92" t="s">
        <v>355</v>
      </c>
      <c r="BP80" s="88" t="s">
        <v>353</v>
      </c>
      <c r="BQ80" s="548">
        <f>SUMPRODUCT(BQ72:BR74,BQ75:BR77)*0.001</f>
        <v>695.35500000000002</v>
      </c>
      <c r="BR80" s="548"/>
      <c r="BS80" s="88"/>
      <c r="BT80" s="88"/>
      <c r="BU80" s="88"/>
      <c r="BV80" s="90" t="str">
        <f t="shared" ref="BV80" si="60">BP80</f>
        <v>kWh/a</v>
      </c>
      <c r="BW80" s="540">
        <f>SUMPRODUCT(BW72:BX74,BW75:BX77)*0.001</f>
        <v>795.35500000000002</v>
      </c>
      <c r="BX80" s="549"/>
      <c r="BY80" s="540">
        <f>SUMPRODUCT(BY72:BZ74,BY75:BZ77)*0.001</f>
        <v>795.35500000000002</v>
      </c>
      <c r="BZ80" s="541"/>
      <c r="CA80" s="91"/>
      <c r="CB80" s="130"/>
    </row>
    <row r="81" spans="1:80">
      <c r="A81" s="235"/>
      <c r="B81" s="236"/>
      <c r="C81" s="236"/>
      <c r="D81" s="236"/>
      <c r="E81" s="239" t="s">
        <v>99</v>
      </c>
      <c r="F81" s="236" t="s">
        <v>100</v>
      </c>
      <c r="G81" s="236"/>
      <c r="H81" s="236"/>
      <c r="I81" s="236"/>
      <c r="J81" s="236"/>
      <c r="K81" s="236"/>
      <c r="L81" s="236"/>
      <c r="M81" s="237"/>
      <c r="N81" s="237"/>
      <c r="O81" s="236"/>
      <c r="P81" s="239" t="s">
        <v>99</v>
      </c>
      <c r="Q81" s="236" t="s">
        <v>100</v>
      </c>
      <c r="R81" s="236"/>
      <c r="S81" s="236"/>
      <c r="T81" s="236"/>
      <c r="U81" s="236"/>
      <c r="V81" s="236"/>
      <c r="W81" s="236"/>
      <c r="X81" s="237"/>
      <c r="Y81" s="236"/>
      <c r="Z81" s="236"/>
      <c r="AA81" s="239" t="s">
        <v>99</v>
      </c>
      <c r="AB81" s="236" t="s">
        <v>100</v>
      </c>
      <c r="AC81" s="236"/>
      <c r="AD81" s="236"/>
      <c r="AE81" s="236"/>
      <c r="AF81" s="236"/>
      <c r="AG81" s="236"/>
      <c r="AH81" s="236"/>
      <c r="AI81" s="236"/>
      <c r="AJ81" s="236"/>
      <c r="AK81" s="236"/>
      <c r="AL81" s="239" t="s">
        <v>99</v>
      </c>
      <c r="AM81" s="236" t="s">
        <v>100</v>
      </c>
      <c r="AN81" s="236"/>
      <c r="AO81" s="236"/>
      <c r="AP81" s="236"/>
      <c r="AQ81" s="236"/>
      <c r="AR81" s="236"/>
      <c r="AS81" s="236"/>
      <c r="AT81" s="236"/>
      <c r="AU81" s="236"/>
      <c r="AV81" s="236"/>
      <c r="AW81" s="239" t="s">
        <v>99</v>
      </c>
      <c r="AX81" s="236" t="s">
        <v>100</v>
      </c>
      <c r="AY81" s="236"/>
      <c r="AZ81" s="236"/>
      <c r="BA81" s="236"/>
      <c r="BB81" s="236"/>
      <c r="BC81" s="236"/>
      <c r="BD81" s="236"/>
      <c r="BE81" s="236"/>
      <c r="BF81" s="236"/>
      <c r="BG81" s="236"/>
      <c r="BH81" s="236"/>
      <c r="BI81" s="236"/>
      <c r="BJ81" s="236"/>
      <c r="BK81" s="238"/>
      <c r="BL81" s="102" t="s">
        <v>366</v>
      </c>
      <c r="BM81" s="88"/>
      <c r="BN81" s="88"/>
      <c r="BO81" s="88"/>
      <c r="BP81" s="88"/>
      <c r="BQ81" s="88"/>
      <c r="BR81" s="88"/>
      <c r="BS81" s="88"/>
      <c r="BT81" s="88"/>
      <c r="BU81" s="88"/>
      <c r="BV81" s="88"/>
      <c r="BW81" s="88"/>
      <c r="BX81" s="88"/>
      <c r="BY81" s="88"/>
      <c r="BZ81" s="88"/>
      <c r="CA81" s="91"/>
      <c r="CB81" s="88"/>
    </row>
    <row r="82" spans="1:80">
      <c r="A82" s="235"/>
      <c r="B82" s="236"/>
      <c r="C82" s="237"/>
      <c r="D82" s="236"/>
      <c r="E82" s="239" t="s">
        <v>140</v>
      </c>
      <c r="F82" s="236" t="s">
        <v>168</v>
      </c>
      <c r="G82" s="236"/>
      <c r="H82" s="236"/>
      <c r="I82" s="236"/>
      <c r="J82" s="236"/>
      <c r="K82" s="236"/>
      <c r="L82" s="236"/>
      <c r="M82" s="237"/>
      <c r="N82" s="237"/>
      <c r="O82" s="236"/>
      <c r="P82" s="239" t="s">
        <v>140</v>
      </c>
      <c r="Q82" s="236" t="s">
        <v>168</v>
      </c>
      <c r="R82" s="236"/>
      <c r="S82" s="236"/>
      <c r="T82" s="236"/>
      <c r="U82" s="236"/>
      <c r="V82" s="236"/>
      <c r="W82" s="236"/>
      <c r="X82" s="237"/>
      <c r="Y82" s="236"/>
      <c r="Z82" s="236"/>
      <c r="AA82" s="239" t="s">
        <v>140</v>
      </c>
      <c r="AB82" s="236" t="s">
        <v>168</v>
      </c>
      <c r="AC82" s="236"/>
      <c r="AD82" s="236"/>
      <c r="AE82" s="236"/>
      <c r="AF82" s="236"/>
      <c r="AG82" s="236"/>
      <c r="AH82" s="236"/>
      <c r="AI82" s="236"/>
      <c r="AJ82" s="236"/>
      <c r="AK82" s="236"/>
      <c r="AL82" s="239" t="s">
        <v>140</v>
      </c>
      <c r="AM82" s="236" t="s">
        <v>168</v>
      </c>
      <c r="AN82" s="236"/>
      <c r="AO82" s="236"/>
      <c r="AP82" s="236"/>
      <c r="AQ82" s="236"/>
      <c r="AR82" s="236"/>
      <c r="AS82" s="236"/>
      <c r="AT82" s="236"/>
      <c r="AU82" s="236"/>
      <c r="AV82" s="236"/>
      <c r="AW82" s="239" t="s">
        <v>140</v>
      </c>
      <c r="AX82" s="236" t="s">
        <v>168</v>
      </c>
      <c r="AY82" s="236"/>
      <c r="AZ82" s="236"/>
      <c r="BA82" s="236"/>
      <c r="BB82" s="236"/>
      <c r="BC82" s="236"/>
      <c r="BD82" s="236"/>
      <c r="BE82" s="236"/>
      <c r="BF82" s="236"/>
      <c r="BG82" s="236"/>
      <c r="BH82" s="236"/>
      <c r="BI82" s="236"/>
      <c r="BJ82" s="236"/>
      <c r="BK82" s="238"/>
      <c r="BL82" s="91"/>
      <c r="BM82" s="88"/>
      <c r="BN82" s="88"/>
      <c r="BO82" s="88"/>
      <c r="BP82" s="88"/>
      <c r="BQ82" s="546" t="s">
        <v>356</v>
      </c>
      <c r="BR82" s="546"/>
      <c r="BS82" s="88"/>
      <c r="BT82" s="88"/>
      <c r="BU82" s="88"/>
      <c r="BV82" s="88"/>
      <c r="BW82" s="546" t="s">
        <v>357</v>
      </c>
      <c r="BX82" s="546"/>
      <c r="BY82" s="546" t="s">
        <v>358</v>
      </c>
      <c r="BZ82" s="526"/>
      <c r="CA82" s="91"/>
      <c r="CB82" s="130"/>
    </row>
    <row r="83" spans="1:80">
      <c r="A83" s="235"/>
      <c r="B83" s="236"/>
      <c r="C83" s="237"/>
      <c r="D83" s="236"/>
      <c r="E83" s="236"/>
      <c r="F83" s="236"/>
      <c r="G83" s="236"/>
      <c r="H83" s="236"/>
      <c r="I83" s="236"/>
      <c r="J83" s="236"/>
      <c r="K83" s="236"/>
      <c r="L83" s="236"/>
      <c r="M83" s="237"/>
      <c r="N83" s="237"/>
      <c r="O83" s="236"/>
      <c r="P83" s="236"/>
      <c r="Q83" s="236"/>
      <c r="R83" s="236"/>
      <c r="S83" s="236"/>
      <c r="T83" s="236"/>
      <c r="U83" s="236"/>
      <c r="V83" s="236"/>
      <c r="W83" s="236"/>
      <c r="X83" s="237"/>
      <c r="Y83" s="236"/>
      <c r="Z83" s="236"/>
      <c r="AA83" s="239"/>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c r="AY83" s="236"/>
      <c r="AZ83" s="236"/>
      <c r="BA83" s="236"/>
      <c r="BB83" s="236"/>
      <c r="BC83" s="236"/>
      <c r="BD83" s="236"/>
      <c r="BE83" s="236"/>
      <c r="BF83" s="236"/>
      <c r="BG83" s="236"/>
      <c r="BH83" s="236"/>
      <c r="BI83" s="236"/>
      <c r="BJ83" s="236"/>
      <c r="BK83" s="238"/>
      <c r="BL83" s="91"/>
      <c r="BM83" s="88"/>
      <c r="BN83" s="88"/>
      <c r="BO83" s="88"/>
      <c r="BP83" s="88"/>
      <c r="BQ83" s="546"/>
      <c r="BR83" s="546"/>
      <c r="BS83" s="88"/>
      <c r="BT83" s="88"/>
      <c r="BU83" s="88"/>
      <c r="BV83" s="88"/>
      <c r="BW83" s="542">
        <f>BW66/((BW78+BW79)/(750*0.001))</f>
        <v>7.4232402151016128</v>
      </c>
      <c r="BX83" s="542"/>
      <c r="BY83" s="542">
        <f>BY66/((BY78+BY79)/(750*0.001))</f>
        <v>8.1728686287053929</v>
      </c>
      <c r="BZ83" s="543"/>
      <c r="CA83" s="91"/>
      <c r="CB83" s="130"/>
    </row>
    <row r="84" spans="1:80">
      <c r="A84" s="235"/>
      <c r="B84" s="236"/>
      <c r="C84" s="236"/>
      <c r="D84" s="236"/>
      <c r="E84" s="236"/>
      <c r="F84" s="236"/>
      <c r="G84" s="236"/>
      <c r="H84" s="236"/>
      <c r="I84" s="236"/>
      <c r="J84" s="236"/>
      <c r="K84" s="236"/>
      <c r="L84" s="236"/>
      <c r="M84" s="237"/>
      <c r="N84" s="237"/>
      <c r="O84" s="236"/>
      <c r="P84" s="236"/>
      <c r="Q84" s="236"/>
      <c r="R84" s="236"/>
      <c r="S84" s="236"/>
      <c r="T84" s="236"/>
      <c r="U84" s="236"/>
      <c r="V84" s="236"/>
      <c r="W84" s="236"/>
      <c r="X84" s="237"/>
      <c r="Y84" s="236"/>
      <c r="Z84" s="236"/>
      <c r="AA84" s="239"/>
      <c r="AB84" s="236"/>
      <c r="AC84" s="236"/>
      <c r="AD84" s="236"/>
      <c r="AE84" s="236"/>
      <c r="AF84" s="236"/>
      <c r="AG84" s="236"/>
      <c r="AH84" s="236"/>
      <c r="AI84" s="236"/>
      <c r="AJ84" s="236"/>
      <c r="AK84" s="236"/>
      <c r="AL84" s="236"/>
      <c r="AM84" s="236"/>
      <c r="AN84" s="236"/>
      <c r="AO84" s="236"/>
      <c r="AP84" s="236"/>
      <c r="AQ84" s="236"/>
      <c r="AR84" s="236"/>
      <c r="AS84" s="236"/>
      <c r="AT84" s="236"/>
      <c r="AU84" s="236"/>
      <c r="AV84" s="236"/>
      <c r="AW84" s="236"/>
      <c r="AX84" s="236"/>
      <c r="AY84" s="236"/>
      <c r="AZ84" s="236"/>
      <c r="BA84" s="236"/>
      <c r="BB84" s="236"/>
      <c r="BC84" s="236"/>
      <c r="BD84" s="236"/>
      <c r="BE84" s="236"/>
      <c r="BF84" s="236"/>
      <c r="BG84" s="236"/>
      <c r="BH84" s="236"/>
      <c r="BI84" s="236"/>
      <c r="BJ84" s="236"/>
      <c r="BK84" s="238"/>
      <c r="BL84" s="91"/>
      <c r="BM84" s="88"/>
      <c r="BN84" s="89" t="s">
        <v>360</v>
      </c>
      <c r="BO84" s="92" t="s">
        <v>359</v>
      </c>
      <c r="BP84" s="88" t="s">
        <v>361</v>
      </c>
      <c r="BQ84" s="547">
        <f>BQ68/((BQ78+BQ79)/(750*0.001))</f>
        <v>7.0931947580741879</v>
      </c>
      <c r="BR84" s="547"/>
      <c r="BS84" s="122" t="s">
        <v>393</v>
      </c>
      <c r="BT84" s="88"/>
      <c r="BU84" s="88"/>
      <c r="BV84" s="90" t="str">
        <f t="shared" ref="BV84:BV86" si="61">BP84</f>
        <v>Btu/Wh</v>
      </c>
      <c r="BW84" s="544">
        <f>BW83*0.2 + BY83*0.8</f>
        <v>8.0229429459846369</v>
      </c>
      <c r="BX84" s="544"/>
      <c r="BY84" s="544"/>
      <c r="BZ84" s="545"/>
      <c r="CA84" s="91"/>
      <c r="CB84" s="130"/>
    </row>
    <row r="85" spans="1:80">
      <c r="A85" s="235"/>
      <c r="B85" s="236"/>
      <c r="C85" s="237"/>
      <c r="D85" s="236"/>
      <c r="E85" s="236"/>
      <c r="F85" s="236"/>
      <c r="G85" s="236"/>
      <c r="H85" s="236"/>
      <c r="I85" s="236"/>
      <c r="J85" s="236"/>
      <c r="K85" s="236"/>
      <c r="L85" s="236"/>
      <c r="M85" s="237"/>
      <c r="N85" s="237"/>
      <c r="O85" s="236"/>
      <c r="P85" s="236"/>
      <c r="Q85" s="236"/>
      <c r="R85" s="236"/>
      <c r="S85" s="236"/>
      <c r="T85" s="236"/>
      <c r="U85" s="236"/>
      <c r="V85" s="236"/>
      <c r="W85" s="236"/>
      <c r="X85" s="237"/>
      <c r="Y85" s="236"/>
      <c r="Z85" s="236"/>
      <c r="AA85" s="236"/>
      <c r="AB85" s="236"/>
      <c r="AC85" s="236"/>
      <c r="AD85" s="236"/>
      <c r="AE85" s="236"/>
      <c r="AF85" s="236"/>
      <c r="AG85" s="236"/>
      <c r="AH85" s="236"/>
      <c r="AI85" s="236"/>
      <c r="AJ85" s="236"/>
      <c r="AK85" s="236"/>
      <c r="AL85" s="236"/>
      <c r="AM85" s="236"/>
      <c r="AN85" s="236"/>
      <c r="AO85" s="236"/>
      <c r="AP85" s="236"/>
      <c r="AQ85" s="236"/>
      <c r="AR85" s="236"/>
      <c r="AS85" s="236"/>
      <c r="AT85" s="236"/>
      <c r="AU85" s="236"/>
      <c r="AV85" s="236"/>
      <c r="AW85" s="236"/>
      <c r="AX85" s="236"/>
      <c r="AY85" s="236"/>
      <c r="AZ85" s="236"/>
      <c r="BA85" s="236"/>
      <c r="BB85" s="236"/>
      <c r="BC85" s="236"/>
      <c r="BD85" s="236"/>
      <c r="BE85" s="236"/>
      <c r="BF85" s="236"/>
      <c r="BG85" s="236"/>
      <c r="BH85" s="236"/>
      <c r="BI85" s="236"/>
      <c r="BJ85" s="236"/>
      <c r="BK85" s="238"/>
      <c r="BL85" s="91"/>
      <c r="BM85" s="88"/>
      <c r="BN85" s="88" t="s">
        <v>400</v>
      </c>
      <c r="BO85" s="92" t="s">
        <v>401</v>
      </c>
      <c r="BP85" s="88" t="s">
        <v>203</v>
      </c>
      <c r="BQ85" s="552">
        <f>BQ84/BQ13</f>
        <v>0.69293672622959968</v>
      </c>
      <c r="BR85" s="552"/>
      <c r="BS85" s="88"/>
      <c r="BT85" s="88"/>
      <c r="BU85" s="88"/>
      <c r="BV85" s="90" t="str">
        <f t="shared" si="61"/>
        <v>(-)</v>
      </c>
      <c r="BW85" s="552">
        <f>BW84/BW13</f>
        <v>0.97970519796266631</v>
      </c>
      <c r="BX85" s="552"/>
      <c r="BY85" s="552"/>
      <c r="BZ85" s="552"/>
      <c r="CA85" s="91"/>
      <c r="CB85" s="130"/>
    </row>
    <row r="86" spans="1:80">
      <c r="A86" s="235"/>
      <c r="B86" s="236"/>
      <c r="C86" s="237"/>
      <c r="D86" s="236"/>
      <c r="E86" s="236"/>
      <c r="F86" s="236"/>
      <c r="G86" s="236"/>
      <c r="H86" s="236"/>
      <c r="I86" s="236"/>
      <c r="J86" s="236"/>
      <c r="K86" s="236"/>
      <c r="L86" s="236"/>
      <c r="M86" s="237"/>
      <c r="N86" s="237"/>
      <c r="O86" s="236"/>
      <c r="P86" s="236"/>
      <c r="Q86" s="236"/>
      <c r="R86" s="236"/>
      <c r="S86" s="236"/>
      <c r="T86" s="236"/>
      <c r="U86" s="236"/>
      <c r="V86" s="236"/>
      <c r="W86" s="236"/>
      <c r="X86" s="237"/>
      <c r="Y86" s="236"/>
      <c r="Z86" s="236"/>
      <c r="AA86" s="236"/>
      <c r="AB86" s="236"/>
      <c r="AC86" s="236"/>
      <c r="AD86" s="236"/>
      <c r="AE86" s="236"/>
      <c r="AF86" s="236"/>
      <c r="AG86" s="236"/>
      <c r="AH86" s="236"/>
      <c r="AI86" s="236"/>
      <c r="AJ86" s="236"/>
      <c r="AK86" s="236"/>
      <c r="AL86" s="236"/>
      <c r="AM86" s="236"/>
      <c r="AN86" s="236"/>
      <c r="AO86" s="236"/>
      <c r="AP86" s="236"/>
      <c r="AQ86" s="236"/>
      <c r="AR86" s="236"/>
      <c r="AS86" s="236"/>
      <c r="AT86" s="236"/>
      <c r="AU86" s="236"/>
      <c r="AV86" s="236"/>
      <c r="AW86" s="236"/>
      <c r="AX86" s="236"/>
      <c r="AY86" s="236"/>
      <c r="AZ86" s="236"/>
      <c r="BA86" s="236"/>
      <c r="BB86" s="236"/>
      <c r="BC86" s="236"/>
      <c r="BD86" s="236"/>
      <c r="BE86" s="236"/>
      <c r="BF86" s="236"/>
      <c r="BG86" s="236"/>
      <c r="BH86" s="236"/>
      <c r="BI86" s="236"/>
      <c r="BJ86" s="236"/>
      <c r="BK86" s="238"/>
      <c r="BL86" s="83"/>
      <c r="BM86" s="83"/>
      <c r="BN86" s="84" t="s">
        <v>379</v>
      </c>
      <c r="BO86" s="85" t="s">
        <v>380</v>
      </c>
      <c r="BP86" s="83" t="s">
        <v>361</v>
      </c>
      <c r="BQ86" s="535">
        <f>1.04*BQ68/(3.7117*BQ68^0.6384)</f>
        <v>6.7304584105221315</v>
      </c>
      <c r="BR86" s="535"/>
      <c r="BS86" s="88"/>
      <c r="BT86" s="83"/>
      <c r="BU86" s="84" t="s">
        <v>471</v>
      </c>
      <c r="BV86" s="86" t="str">
        <f t="shared" si="61"/>
        <v>Btu/Wh</v>
      </c>
      <c r="BW86" s="535">
        <f>BQ86</f>
        <v>6.7304584105221315</v>
      </c>
      <c r="BX86" s="535"/>
      <c r="BY86" s="535"/>
      <c r="BZ86" s="535"/>
      <c r="CA86" s="91"/>
      <c r="CB86" s="88"/>
    </row>
    <row r="87" spans="1:80">
      <c r="C87" s="3"/>
      <c r="BL87" s="88"/>
      <c r="BM87" s="88"/>
      <c r="BN87" s="88"/>
      <c r="BO87" s="88"/>
      <c r="BP87" s="88"/>
      <c r="BQ87" s="88"/>
      <c r="BR87" s="88"/>
      <c r="BS87" s="88"/>
      <c r="BT87" s="88"/>
      <c r="BU87" s="88"/>
      <c r="BV87" s="88"/>
      <c r="BW87" s="88"/>
      <c r="BX87" s="88"/>
      <c r="BY87" s="88"/>
      <c r="BZ87" s="88"/>
      <c r="CA87" s="88"/>
      <c r="CB87" s="88"/>
    </row>
    <row r="88" spans="1:80">
      <c r="C88" s="3"/>
      <c r="BL88" s="88"/>
      <c r="BM88" s="88"/>
      <c r="BN88" s="88"/>
      <c r="BO88" s="88"/>
      <c r="BP88" s="88"/>
      <c r="BQ88" s="88"/>
      <c r="BR88" s="88"/>
      <c r="BS88" s="88"/>
      <c r="BT88" s="88"/>
      <c r="BU88" s="88"/>
      <c r="BV88" s="88"/>
      <c r="BW88" s="88"/>
      <c r="BX88" s="88"/>
      <c r="BY88" s="88"/>
      <c r="BZ88" s="88"/>
      <c r="CA88" s="88"/>
      <c r="CB88" s="88"/>
    </row>
    <row r="89" spans="1:80">
      <c r="C89" s="3"/>
      <c r="BL89" s="88"/>
      <c r="BM89" s="88"/>
      <c r="BN89" s="88"/>
      <c r="BO89" s="88"/>
      <c r="BP89" s="88"/>
      <c r="BQ89" s="88"/>
      <c r="BR89" s="88"/>
      <c r="BS89" s="88"/>
      <c r="BT89" s="88"/>
      <c r="BU89" s="88"/>
      <c r="BV89" s="88"/>
      <c r="BW89" s="88"/>
      <c r="BX89" s="88"/>
      <c r="BY89" s="88"/>
      <c r="BZ89" s="88"/>
      <c r="CA89" s="88"/>
      <c r="CB89" s="88"/>
    </row>
    <row r="90" spans="1:80">
      <c r="BL90" s="88"/>
      <c r="BM90" s="88"/>
      <c r="BN90" s="88"/>
      <c r="BO90" s="88"/>
      <c r="BP90" s="88"/>
      <c r="BQ90" s="88"/>
      <c r="BR90" s="88"/>
      <c r="BS90" s="88"/>
      <c r="BT90" s="88"/>
      <c r="BU90" s="88"/>
      <c r="BV90" s="88"/>
      <c r="BW90" s="88"/>
      <c r="BX90" s="88"/>
      <c r="BY90" s="88"/>
      <c r="BZ90" s="88"/>
      <c r="CA90" s="88"/>
      <c r="CB90" s="88"/>
    </row>
    <row r="91" spans="1:80">
      <c r="BL91" s="88"/>
      <c r="BM91" s="88"/>
      <c r="BN91" s="88"/>
      <c r="BO91" s="88"/>
      <c r="BP91" s="88"/>
      <c r="BQ91" s="88"/>
      <c r="BR91" s="88"/>
      <c r="BS91" s="88"/>
      <c r="BT91" s="88"/>
      <c r="BU91" s="88"/>
      <c r="BV91" s="88"/>
      <c r="BW91" s="88"/>
      <c r="BX91" s="88"/>
      <c r="BY91" s="88"/>
      <c r="BZ91" s="88"/>
    </row>
    <row r="98" spans="64:64">
      <c r="BL98" s="67" t="s">
        <v>381</v>
      </c>
    </row>
    <row r="101" spans="64:64">
      <c r="BL101" s="7" t="s">
        <v>391</v>
      </c>
    </row>
    <row r="119" spans="64:64">
      <c r="BL119" s="7" t="s">
        <v>467</v>
      </c>
    </row>
  </sheetData>
  <mergeCells count="132">
    <mergeCell ref="BQ85:BR85"/>
    <mergeCell ref="BW85:BZ85"/>
    <mergeCell ref="BW9:BX9"/>
    <mergeCell ref="BW10:BX10"/>
    <mergeCell ref="BW11:BX11"/>
    <mergeCell ref="BY9:BZ9"/>
    <mergeCell ref="BY10:BZ10"/>
    <mergeCell ref="BY11:BZ11"/>
    <mergeCell ref="BW8:BX8"/>
    <mergeCell ref="BY8:BZ8"/>
    <mergeCell ref="BQ60:BR61"/>
    <mergeCell ref="BQ77:BR77"/>
    <mergeCell ref="BW76:BX76"/>
    <mergeCell ref="BY76:BZ76"/>
    <mergeCell ref="BW77:BX77"/>
    <mergeCell ref="BY77:BZ77"/>
    <mergeCell ref="BW73:BX73"/>
    <mergeCell ref="BY73:BZ73"/>
    <mergeCell ref="BW74:BX74"/>
    <mergeCell ref="BY74:BZ74"/>
    <mergeCell ref="BW75:BX75"/>
    <mergeCell ref="BY75:BZ75"/>
    <mergeCell ref="BW72:BX72"/>
    <mergeCell ref="BY72:BZ72"/>
    <mergeCell ref="BQ86:BR86"/>
    <mergeCell ref="BW60:BZ61"/>
    <mergeCell ref="BW86:BZ86"/>
    <mergeCell ref="BY79:BZ79"/>
    <mergeCell ref="BY80:BZ80"/>
    <mergeCell ref="BW83:BX83"/>
    <mergeCell ref="BY83:BZ83"/>
    <mergeCell ref="BW84:BZ84"/>
    <mergeCell ref="BQ82:BR83"/>
    <mergeCell ref="BW82:BX82"/>
    <mergeCell ref="BY82:BZ82"/>
    <mergeCell ref="BQ84:BR84"/>
    <mergeCell ref="BQ79:BR79"/>
    <mergeCell ref="BQ80:BR80"/>
    <mergeCell ref="BQ78:BR78"/>
    <mergeCell ref="BW78:BX78"/>
    <mergeCell ref="BW79:BX79"/>
    <mergeCell ref="BW80:BX80"/>
    <mergeCell ref="BY78:BZ78"/>
    <mergeCell ref="BQ72:BR72"/>
    <mergeCell ref="BQ73:BR73"/>
    <mergeCell ref="BQ74:BR74"/>
    <mergeCell ref="BQ75:BR75"/>
    <mergeCell ref="BQ76:BR76"/>
    <mergeCell ref="BW65:BX65"/>
    <mergeCell ref="BY65:BZ65"/>
    <mergeCell ref="BQ69:BR69"/>
    <mergeCell ref="BW69:BZ69"/>
    <mergeCell ref="BQ70:BR70"/>
    <mergeCell ref="BW70:BZ70"/>
    <mergeCell ref="BW66:BX66"/>
    <mergeCell ref="BY66:BZ66"/>
    <mergeCell ref="BQ68:BR68"/>
    <mergeCell ref="BW68:BZ68"/>
    <mergeCell ref="BQ67:BR67"/>
    <mergeCell ref="BW67:BZ67"/>
    <mergeCell ref="BW56:BX56"/>
    <mergeCell ref="BY56:BZ56"/>
    <mergeCell ref="BW58:BX58"/>
    <mergeCell ref="BY58:BZ58"/>
    <mergeCell ref="BW59:BX59"/>
    <mergeCell ref="BY59:BZ59"/>
    <mergeCell ref="BW40:BX40"/>
    <mergeCell ref="BY40:BZ40"/>
    <mergeCell ref="BQ27:BR27"/>
    <mergeCell ref="BW49:BX49"/>
    <mergeCell ref="BY49:BZ49"/>
    <mergeCell ref="BW51:BX51"/>
    <mergeCell ref="BY51:BZ51"/>
    <mergeCell ref="BQ54:BR54"/>
    <mergeCell ref="BW54:BX54"/>
    <mergeCell ref="BY54:BZ54"/>
    <mergeCell ref="BW57:BX57"/>
    <mergeCell ref="BY57:BZ57"/>
    <mergeCell ref="BQ55:BR55"/>
    <mergeCell ref="BW55:BX55"/>
    <mergeCell ref="BY55:BZ55"/>
    <mergeCell ref="BW53:BX53"/>
    <mergeCell ref="BY53:BZ53"/>
    <mergeCell ref="BQ52:BR52"/>
    <mergeCell ref="BW52:BX52"/>
    <mergeCell ref="BY52:BZ52"/>
    <mergeCell ref="BQ48:BR48"/>
    <mergeCell ref="BW48:BX48"/>
    <mergeCell ref="BY48:BZ48"/>
    <mergeCell ref="BW50:BX50"/>
    <mergeCell ref="BY50:BZ50"/>
    <mergeCell ref="BW46:BX46"/>
    <mergeCell ref="BY46:BZ46"/>
    <mergeCell ref="BQ47:BR47"/>
    <mergeCell ref="BW47:BX47"/>
    <mergeCell ref="BY47:BZ47"/>
    <mergeCell ref="BW45:BX45"/>
    <mergeCell ref="BY45:BZ45"/>
    <mergeCell ref="BQ43:BR43"/>
    <mergeCell ref="BW43:BX43"/>
    <mergeCell ref="BY43:BZ43"/>
    <mergeCell ref="BW44:BX44"/>
    <mergeCell ref="BY44:BZ44"/>
    <mergeCell ref="BQ41:BR41"/>
    <mergeCell ref="BW41:BX41"/>
    <mergeCell ref="BY41:BZ41"/>
    <mergeCell ref="BQ42:BR42"/>
    <mergeCell ref="BW42:BX42"/>
    <mergeCell ref="BY42:BZ42"/>
    <mergeCell ref="BW28:BX28"/>
    <mergeCell ref="BY28:BZ28"/>
    <mergeCell ref="BW39:BX39"/>
    <mergeCell ref="BQ39:BR39"/>
    <mergeCell ref="BY39:BZ39"/>
    <mergeCell ref="BQ38:BR38"/>
    <mergeCell ref="BW38:BX38"/>
    <mergeCell ref="BY38:BZ38"/>
    <mergeCell ref="BQ28:BR28"/>
    <mergeCell ref="I9:J9"/>
    <mergeCell ref="T9:U9"/>
    <mergeCell ref="AE9:AF9"/>
    <mergeCell ref="AP9:AQ9"/>
    <mergeCell ref="BA9:BB9"/>
    <mergeCell ref="BW3:BX3"/>
    <mergeCell ref="BY3:BZ3"/>
    <mergeCell ref="BQ3:BR3"/>
    <mergeCell ref="BW27:BX27"/>
    <mergeCell ref="BY27:BZ27"/>
    <mergeCell ref="BQ15:BR15"/>
    <mergeCell ref="BQ8:BR8"/>
    <mergeCell ref="BW13:BX13"/>
    <mergeCell ref="BY13:BZ13"/>
  </mergeCells>
  <phoneticPr fontId="31" type="noConversion"/>
  <conditionalFormatting sqref="F39:F56">
    <cfRule type="cellIs" dxfId="6" priority="7" operator="equal">
      <formula>G39</formula>
    </cfRule>
  </conditionalFormatting>
  <conditionalFormatting sqref="Q39:Q56">
    <cfRule type="cellIs" dxfId="5" priority="5" operator="equal">
      <formula>R39</formula>
    </cfRule>
  </conditionalFormatting>
  <conditionalFormatting sqref="AR33:AR56">
    <cfRule type="cellIs" dxfId="4" priority="1" operator="lessThan">
      <formula>AG33</formula>
    </cfRule>
  </conditionalFormatting>
  <dataValidations count="1">
    <dataValidation type="list" allowBlank="1" showInputMessage="1" showErrorMessage="1" sqref="AX8" xr:uid="{DA67CAE2-8752-4110-AB16-E2CD5C1EEA39}">
      <formula1>$BE$7:$BE$8</formula1>
    </dataValidation>
  </dataValidations>
  <pageMargins left="0.7" right="0.7" top="0.75" bottom="0.75" header="0.3" footer="0.3"/>
  <pageSetup orientation="portrait" r:id="rId1"/>
  <ignoredErrors>
    <ignoredError sqref="Q20 AB20 AM20 AX20 F23 Q23" formulaRange="1"/>
    <ignoredError sqref="BX23:BY23 BX32:BY32"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1BAC1-DC6F-4FC1-9ACB-7AD55ABA8FE7}">
  <sheetPr codeName="Sheet2">
    <tabColor theme="5" tint="-0.249977111117893"/>
    <pageSetUpPr autoPageBreaks="0"/>
  </sheetPr>
  <dimension ref="A1:BM100"/>
  <sheetViews>
    <sheetView zoomScale="70" zoomScaleNormal="70" workbookViewId="0"/>
  </sheetViews>
  <sheetFormatPr defaultRowHeight="15"/>
  <cols>
    <col min="1" max="1" width="20.5703125" customWidth="1"/>
    <col min="2" max="2" width="40.5703125" customWidth="1"/>
    <col min="8" max="8" width="9.140625" customWidth="1"/>
    <col min="9" max="9" width="9.28515625" customWidth="1"/>
    <col min="10" max="10" width="8.42578125" customWidth="1"/>
    <col min="11" max="11" width="10.28515625" customWidth="1"/>
    <col min="13" max="13" width="11.140625" bestFit="1" customWidth="1"/>
    <col min="14" max="15" width="10.5703125" customWidth="1"/>
    <col min="30" max="30" width="9.42578125" customWidth="1"/>
  </cols>
  <sheetData>
    <row r="1" spans="1:65" ht="180" customHeight="1">
      <c r="A1" s="365" t="s">
        <v>489</v>
      </c>
      <c r="C1" s="203"/>
      <c r="D1" s="203"/>
      <c r="E1" s="203"/>
      <c r="F1" s="203"/>
      <c r="G1" s="203"/>
      <c r="H1" s="203"/>
      <c r="I1" s="203"/>
      <c r="J1" s="203"/>
      <c r="K1" s="203"/>
      <c r="L1" s="203"/>
      <c r="M1" s="203"/>
      <c r="N1" s="203"/>
      <c r="O1" s="203"/>
      <c r="P1" s="203"/>
      <c r="Q1" s="38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row>
    <row r="2" spans="1:65" ht="27" thickBot="1">
      <c r="A2" s="328" t="s">
        <v>473</v>
      </c>
      <c r="B2" s="487"/>
      <c r="C2" s="487"/>
      <c r="D2" s="487"/>
      <c r="E2" s="581" t="s">
        <v>437</v>
      </c>
      <c r="F2" s="582"/>
      <c r="G2" s="582"/>
      <c r="H2" s="582"/>
      <c r="I2" s="582"/>
      <c r="J2" s="582"/>
      <c r="K2" s="582"/>
      <c r="L2" s="582"/>
      <c r="M2" s="582"/>
      <c r="N2" s="582"/>
      <c r="O2" s="582"/>
      <c r="P2" s="582"/>
      <c r="Q2" s="487"/>
      <c r="R2" s="575"/>
      <c r="S2" s="487"/>
      <c r="T2" s="487"/>
      <c r="U2" s="487"/>
      <c r="V2" s="487"/>
      <c r="W2" s="583" t="s">
        <v>472</v>
      </c>
      <c r="X2" s="583"/>
      <c r="Y2" s="583"/>
      <c r="Z2" s="583"/>
      <c r="AA2" s="583"/>
      <c r="AB2" s="583"/>
      <c r="AC2" s="583"/>
      <c r="AD2" s="584"/>
      <c r="AE2" s="584"/>
      <c r="AF2" s="584"/>
      <c r="AG2" s="584"/>
      <c r="AH2" s="584"/>
      <c r="AI2" s="584"/>
      <c r="AJ2" s="203"/>
      <c r="AK2" s="203"/>
      <c r="AL2" s="203"/>
      <c r="AM2" s="203"/>
      <c r="AN2" s="203"/>
      <c r="AO2" s="203"/>
      <c r="AP2" s="203"/>
      <c r="AQ2" s="203"/>
      <c r="AR2" s="203"/>
      <c r="AS2" s="203"/>
      <c r="AT2" s="203"/>
      <c r="AU2" s="203"/>
      <c r="AV2" s="203"/>
    </row>
    <row r="3" spans="1:65">
      <c r="A3" s="328" t="s">
        <v>474</v>
      </c>
      <c r="B3" s="203"/>
      <c r="C3" s="203"/>
      <c r="D3" s="203"/>
      <c r="E3" s="474" t="s">
        <v>46</v>
      </c>
      <c r="F3" s="374" t="s">
        <v>428</v>
      </c>
      <c r="G3" s="569"/>
      <c r="H3" s="570"/>
      <c r="I3" s="424" t="s">
        <v>12</v>
      </c>
      <c r="J3" s="482"/>
      <c r="K3" s="483" t="s">
        <v>429</v>
      </c>
      <c r="L3" s="276">
        <f>(16-$J$9)/(16-C$76)</f>
        <v>0.34615384615384615</v>
      </c>
      <c r="M3" s="483" t="s">
        <v>429</v>
      </c>
      <c r="N3" s="276">
        <f>(16-$J$9)/(16-D$76)</f>
        <v>0.6428571428571429</v>
      </c>
      <c r="O3" s="483" t="s">
        <v>429</v>
      </c>
      <c r="P3" s="276">
        <f>(16-$J$9)/(16-E$76)</f>
        <v>0.23684210526315788</v>
      </c>
      <c r="Q3" s="383"/>
      <c r="R3" s="232"/>
      <c r="S3" s="203"/>
      <c r="T3" s="203"/>
      <c r="U3" s="409"/>
      <c r="V3" s="203"/>
      <c r="W3" s="423"/>
      <c r="X3" s="423"/>
      <c r="Y3" s="424" t="s">
        <v>12</v>
      </c>
      <c r="Z3" s="425"/>
      <c r="AA3" s="426"/>
      <c r="AB3" s="427"/>
      <c r="AC3" s="203"/>
      <c r="AD3" s="203"/>
      <c r="AE3" s="203"/>
      <c r="AF3" s="203"/>
      <c r="AG3" s="203"/>
      <c r="AH3" s="203"/>
      <c r="AI3" s="203"/>
      <c r="AJ3" s="203"/>
      <c r="AK3" s="203"/>
      <c r="AL3" s="203"/>
      <c r="AM3" s="203"/>
      <c r="AN3" s="203"/>
      <c r="AO3" s="203"/>
      <c r="AP3" s="203"/>
      <c r="AQ3" s="203"/>
      <c r="AR3" s="203"/>
      <c r="AS3" s="203"/>
      <c r="AT3" s="203"/>
      <c r="AU3" s="203"/>
      <c r="AV3" s="203"/>
    </row>
    <row r="4" spans="1:65">
      <c r="A4" s="579" t="s">
        <v>477</v>
      </c>
      <c r="B4" s="203"/>
      <c r="C4" s="203"/>
      <c r="D4" s="203"/>
      <c r="E4" s="424" t="s">
        <v>48</v>
      </c>
      <c r="F4" s="428" t="s">
        <v>61</v>
      </c>
      <c r="G4" s="571" t="str">
        <f>F14</f>
        <v>Warm</v>
      </c>
      <c r="H4" s="572"/>
      <c r="I4" s="232"/>
      <c r="J4" s="383" t="s">
        <v>426</v>
      </c>
      <c r="K4" s="277" t="str">
        <f>C31</f>
        <v>Average</v>
      </c>
      <c r="L4" s="278" t="str">
        <f>K4</f>
        <v>Average</v>
      </c>
      <c r="M4" s="277" t="str">
        <f>D31</f>
        <v>Warm</v>
      </c>
      <c r="N4" s="278" t="str">
        <f>M4</f>
        <v>Warm</v>
      </c>
      <c r="O4" s="277" t="str">
        <f>E31</f>
        <v>Cold</v>
      </c>
      <c r="P4" s="278" t="str">
        <f>O4</f>
        <v>Cold</v>
      </c>
      <c r="Q4" s="383"/>
      <c r="R4" s="232"/>
      <c r="S4" s="203"/>
      <c r="T4" s="203"/>
      <c r="U4" s="383"/>
      <c r="V4" s="203"/>
      <c r="W4" s="424" t="s">
        <v>48</v>
      </c>
      <c r="X4" s="428" t="s">
        <v>61</v>
      </c>
      <c r="Y4" s="573"/>
      <c r="Z4" s="574"/>
      <c r="AA4" s="383"/>
      <c r="AB4" s="429"/>
      <c r="AC4" s="203"/>
      <c r="AD4" s="203"/>
      <c r="AE4" s="203"/>
      <c r="AF4" s="203"/>
      <c r="AG4" s="203"/>
      <c r="AH4" s="203"/>
      <c r="AI4" s="203"/>
      <c r="AJ4" s="203"/>
      <c r="AK4" s="203"/>
      <c r="AL4" s="203"/>
      <c r="AM4" s="203"/>
      <c r="AN4" s="203"/>
      <c r="AO4" s="203"/>
      <c r="AP4" s="203"/>
      <c r="AQ4" s="203"/>
      <c r="AR4" s="203"/>
      <c r="AS4" s="203"/>
      <c r="AT4" s="203"/>
      <c r="AU4" s="203"/>
      <c r="AV4" s="203"/>
    </row>
    <row r="5" spans="1:65">
      <c r="A5" s="374" t="s">
        <v>487</v>
      </c>
      <c r="B5" s="203"/>
      <c r="C5" s="203"/>
      <c r="D5" s="203"/>
      <c r="E5" s="430"/>
      <c r="F5" s="431" t="s">
        <v>49</v>
      </c>
      <c r="G5" s="295" t="s">
        <v>41</v>
      </c>
      <c r="H5" s="296" t="s">
        <v>18</v>
      </c>
      <c r="I5" s="430"/>
      <c r="J5" s="407" t="s">
        <v>427</v>
      </c>
      <c r="K5" s="279" t="s">
        <v>41</v>
      </c>
      <c r="L5" s="280" t="s">
        <v>18</v>
      </c>
      <c r="M5" s="279" t="s">
        <v>41</v>
      </c>
      <c r="N5" s="280" t="s">
        <v>18</v>
      </c>
      <c r="O5" s="279" t="s">
        <v>41</v>
      </c>
      <c r="P5" s="280" t="s">
        <v>18</v>
      </c>
      <c r="Q5" s="383"/>
      <c r="R5" s="232"/>
      <c r="S5" s="203"/>
      <c r="T5" s="203"/>
      <c r="U5" s="410"/>
      <c r="V5" s="203"/>
      <c r="W5" s="430"/>
      <c r="X5" s="431" t="s">
        <v>49</v>
      </c>
      <c r="Y5" s="432" t="s">
        <v>41</v>
      </c>
      <c r="Z5" s="433" t="s">
        <v>18</v>
      </c>
      <c r="AA5" s="434" t="s">
        <v>54</v>
      </c>
      <c r="AB5" s="435" t="s">
        <v>434</v>
      </c>
      <c r="AC5" s="203"/>
      <c r="AD5" s="203"/>
      <c r="AE5" s="203"/>
      <c r="AF5" s="203"/>
      <c r="AG5" s="203"/>
      <c r="AH5" s="203"/>
      <c r="AI5" s="203"/>
      <c r="AJ5" s="203"/>
      <c r="AK5" s="203"/>
      <c r="AL5" s="203"/>
      <c r="AM5" s="203"/>
      <c r="AN5" s="203"/>
      <c r="AO5" s="203"/>
      <c r="AP5" s="203"/>
      <c r="AQ5" s="203"/>
      <c r="AR5" s="203"/>
      <c r="AS5" s="203"/>
      <c r="AT5" s="203"/>
      <c r="AU5" s="203"/>
      <c r="AV5" s="203"/>
    </row>
    <row r="6" spans="1:65" ht="15" customHeight="1">
      <c r="A6" s="88"/>
      <c r="B6" s="203"/>
      <c r="C6" s="203"/>
      <c r="D6" s="380"/>
      <c r="E6" s="475" t="s">
        <v>17</v>
      </c>
      <c r="F6" s="478">
        <v>-15</v>
      </c>
      <c r="G6" s="264" cm="1">
        <f t="array" ref="G6">INDEX($K$6:$P$17,MATCH($F$3&amp;$F6,$I$6:$I$17&amp;$J$6:$J$17,0),MATCH($F$14&amp;$G$5,$K$4:$P$4&amp;$K$5:$P$5,0))</f>
        <v>0</v>
      </c>
      <c r="H6" s="265" cm="1">
        <f t="array" ref="H6">INDEX($K$6:$P$17,MATCH($F$3&amp;$F6,$I$6:$I$17&amp;$J$6:$J$17,0),MATCH($F$14&amp;$H$5,$K$4:$P$4&amp;$K$5:$P$5,0))</f>
        <v>0</v>
      </c>
      <c r="I6" s="263" t="s">
        <v>425</v>
      </c>
      <c r="J6" s="479">
        <v>-15</v>
      </c>
      <c r="K6" s="366">
        <v>0</v>
      </c>
      <c r="L6" s="367">
        <v>0</v>
      </c>
      <c r="M6" s="366">
        <v>0</v>
      </c>
      <c r="N6" s="367">
        <v>0</v>
      </c>
      <c r="O6" s="366">
        <v>3</v>
      </c>
      <c r="P6" s="367">
        <v>2.2999999999999998</v>
      </c>
      <c r="Q6" s="383"/>
      <c r="R6" s="232"/>
      <c r="S6" s="203"/>
      <c r="T6" s="203"/>
      <c r="U6" s="411"/>
      <c r="V6" s="203"/>
      <c r="W6" s="436" t="s">
        <v>452</v>
      </c>
      <c r="X6" s="253">
        <f>MAX($AD$25,$X$11)</f>
        <v>2</v>
      </c>
      <c r="Y6" s="376">
        <v>2.6</v>
      </c>
      <c r="Z6" s="376">
        <v>3</v>
      </c>
      <c r="AA6" s="377">
        <f>520/3600</f>
        <v>0.14444444444444443</v>
      </c>
      <c r="AB6" s="282">
        <v>1</v>
      </c>
      <c r="AC6" s="203"/>
      <c r="AD6" s="203"/>
      <c r="AE6" s="203"/>
      <c r="AF6" s="203"/>
      <c r="AG6" s="203"/>
      <c r="AH6" s="203"/>
      <c r="AI6" s="203"/>
      <c r="AJ6" s="203"/>
      <c r="AK6" s="203"/>
      <c r="AL6" s="203"/>
      <c r="AM6" s="203"/>
      <c r="AN6" s="203"/>
      <c r="AO6" s="203"/>
      <c r="AP6" s="203"/>
      <c r="AQ6" s="203"/>
      <c r="AR6" s="203"/>
      <c r="AS6" s="203"/>
      <c r="AT6" s="203"/>
      <c r="AU6" s="203"/>
      <c r="AV6" s="203"/>
    </row>
    <row r="7" spans="1:65">
      <c r="A7" s="88"/>
      <c r="B7" s="203"/>
      <c r="C7" s="203"/>
      <c r="D7" s="380"/>
      <c r="E7" s="476" t="s">
        <v>13</v>
      </c>
      <c r="F7" s="422">
        <v>-7</v>
      </c>
      <c r="G7" s="266" cm="1">
        <f t="array" ref="G7">INDEX($K$6:$P$17,MATCH($F$3&amp;$F7,$I$6:$I$17&amp;$J$6:$J$17,0),MATCH($F$14&amp;$G$5,$K$4:$P$4&amp;$K$5:$P$5,0))</f>
        <v>0</v>
      </c>
      <c r="H7" s="267" cm="1">
        <f t="array" ref="H7">INDEX($K$6:$P$17,MATCH($F$3&amp;$F7,$I$6:$I$17&amp;$J$6:$J$17,0),MATCH($F$14&amp;$H$5,$K$4:$P$4&amp;$K$5:$P$5,0))</f>
        <v>0</v>
      </c>
      <c r="I7" s="263" t="s">
        <v>425</v>
      </c>
      <c r="J7" s="480">
        <v>-7</v>
      </c>
      <c r="K7" s="366">
        <v>3</v>
      </c>
      <c r="L7" s="367">
        <f>2.9</f>
        <v>2.9</v>
      </c>
      <c r="M7" s="366">
        <v>0</v>
      </c>
      <c r="N7" s="367">
        <v>0</v>
      </c>
      <c r="O7" s="366">
        <v>3</v>
      </c>
      <c r="P7" s="367">
        <f>2.9</f>
        <v>2.9</v>
      </c>
      <c r="Q7" s="383"/>
      <c r="R7" s="232"/>
      <c r="S7" s="203"/>
      <c r="T7" s="203"/>
      <c r="U7" s="411"/>
      <c r="V7" s="203"/>
      <c r="W7" s="437" t="s">
        <v>431</v>
      </c>
      <c r="X7" s="253">
        <f>IF($X$17="on/off",X6,X8)</f>
        <v>2</v>
      </c>
      <c r="Y7" s="301">
        <f>IF($X$17="on/off",Y6,Y8)</f>
        <v>2.6</v>
      </c>
      <c r="Z7" s="302">
        <f>IF($X$17="on/off",Z6,Z8)</f>
        <v>3</v>
      </c>
      <c r="AA7" s="302">
        <f>IF($X$17="on/off",AA6,AA8)</f>
        <v>0.14444444444444443</v>
      </c>
      <c r="AB7" s="293">
        <f>IF($X$17="on/off",AB6,AB8)</f>
        <v>1</v>
      </c>
      <c r="AC7" s="203"/>
      <c r="AD7" s="203"/>
      <c r="AE7" s="203"/>
      <c r="AF7" s="203"/>
      <c r="AG7" s="203"/>
      <c r="AH7" s="203"/>
      <c r="AI7" s="203"/>
      <c r="AJ7" s="203"/>
      <c r="AK7" s="203"/>
      <c r="AL7" s="203"/>
      <c r="AM7" s="203"/>
      <c r="AN7" s="203"/>
      <c r="AO7" s="203"/>
      <c r="AP7" s="203"/>
      <c r="AQ7" s="203"/>
      <c r="AR7" s="203"/>
      <c r="AS7" s="203"/>
      <c r="AT7" s="203"/>
      <c r="AU7" s="203"/>
      <c r="AV7" s="203"/>
    </row>
    <row r="8" spans="1:65">
      <c r="A8" s="88"/>
      <c r="B8" s="203"/>
      <c r="C8" s="203"/>
      <c r="D8" s="380"/>
      <c r="E8" s="476" t="s">
        <v>14</v>
      </c>
      <c r="F8" s="422">
        <v>2</v>
      </c>
      <c r="G8" s="266" cm="1">
        <f t="array" ref="G8">INDEX($K$6:$P$17,MATCH($F$3&amp;$F8,$I$6:$I$17&amp;$J$6:$J$17,0),MATCH($F$14&amp;$G$5,$K$4:$P$4&amp;$K$5:$P$5,0))</f>
        <v>0.84999999999999987</v>
      </c>
      <c r="H8" s="267" cm="1">
        <f t="array" ref="H8">INDEX($K$6:$P$17,MATCH($F$3&amp;$F8,$I$6:$I$17&amp;$J$6:$J$17,0),MATCH($F$14&amp;$H$5,$K$4:$P$4&amp;$K$5:$P$5,0))</f>
        <v>1.55</v>
      </c>
      <c r="I8" s="263" t="s">
        <v>425</v>
      </c>
      <c r="J8" s="480">
        <v>2</v>
      </c>
      <c r="K8" s="366">
        <v>2.5</v>
      </c>
      <c r="L8" s="367">
        <v>3.2</v>
      </c>
      <c r="M8" s="366">
        <v>4.5</v>
      </c>
      <c r="N8" s="367">
        <v>3.5</v>
      </c>
      <c r="O8" s="366">
        <v>2.5</v>
      </c>
      <c r="P8" s="367">
        <v>3.2</v>
      </c>
      <c r="Q8" s="383"/>
      <c r="R8" s="232"/>
      <c r="S8" s="203"/>
      <c r="T8" s="203"/>
      <c r="U8" s="411"/>
      <c r="V8" s="203"/>
      <c r="W8" s="438" t="s">
        <v>52</v>
      </c>
      <c r="X8" s="254">
        <f>_xlfn.XLOOKUP($AB$8,$T$33:$T$74,$V$33:$V$74,,1,1)</f>
        <v>6</v>
      </c>
      <c r="Y8" s="378">
        <f>Y6/1.5</f>
        <v>1.7333333333333334</v>
      </c>
      <c r="Z8" s="379">
        <f>Z6*1.33</f>
        <v>3.99</v>
      </c>
      <c r="AA8" s="378">
        <f>200*Y8/3600</f>
        <v>9.6296296296296297E-2</v>
      </c>
      <c r="AB8" s="292">
        <f>Y8/Y6</f>
        <v>0.66666666666666663</v>
      </c>
      <c r="AC8" s="203"/>
      <c r="AD8" s="203"/>
      <c r="AE8" s="203"/>
      <c r="AF8" s="203"/>
      <c r="AG8" s="203"/>
      <c r="AH8" s="203"/>
      <c r="AI8" s="203"/>
      <c r="AJ8" s="203"/>
      <c r="AK8" s="203"/>
      <c r="AL8" s="203"/>
      <c r="AM8" s="203"/>
      <c r="AN8" s="203"/>
      <c r="AO8" s="203"/>
      <c r="AP8" s="203"/>
      <c r="AQ8" s="203"/>
      <c r="AR8" s="203"/>
      <c r="AS8" s="203"/>
      <c r="AT8" s="203"/>
      <c r="AU8" s="203"/>
      <c r="AV8" s="203"/>
    </row>
    <row r="9" spans="1:65">
      <c r="A9" s="88"/>
      <c r="B9" s="203"/>
      <c r="C9" s="203"/>
      <c r="D9" s="380"/>
      <c r="E9" s="476" t="s">
        <v>15</v>
      </c>
      <c r="F9" s="422">
        <v>7</v>
      </c>
      <c r="G9" s="266" cm="1">
        <f t="array" ref="G9">INDEX($K$6:$P$17,MATCH($F$3&amp;$F9,$I$6:$I$17&amp;$J$6:$J$17,0),MATCH($F$14&amp;$G$5,$K$4:$P$4&amp;$K$5:$P$5,0))</f>
        <v>1.7</v>
      </c>
      <c r="H9" s="267" cm="1">
        <f t="array" ref="H9">INDEX($K$6:$P$17,MATCH($F$3&amp;$F9,$I$6:$I$17&amp;$J$6:$J$17,0),MATCH($F$14&amp;$H$5,$K$4:$P$4&amp;$K$5:$P$5,0))</f>
        <v>3.1</v>
      </c>
      <c r="I9" s="263" t="s">
        <v>425</v>
      </c>
      <c r="J9" s="480">
        <v>7</v>
      </c>
      <c r="K9" s="366">
        <v>2</v>
      </c>
      <c r="L9" s="367">
        <v>3.9</v>
      </c>
      <c r="M9" s="366">
        <v>4</v>
      </c>
      <c r="N9" s="367">
        <v>3.8</v>
      </c>
      <c r="O9" s="366">
        <v>2</v>
      </c>
      <c r="P9" s="367">
        <v>3.9</v>
      </c>
      <c r="Q9" s="383"/>
      <c r="R9" s="232"/>
      <c r="S9" s="203"/>
      <c r="T9" s="203"/>
      <c r="U9" s="411"/>
      <c r="V9" s="203"/>
      <c r="W9" s="485"/>
      <c r="X9" s="481"/>
      <c r="Y9" s="484"/>
      <c r="Z9" s="411"/>
      <c r="AA9" s="411"/>
      <c r="AB9" s="203"/>
      <c r="AC9" s="203"/>
      <c r="AD9" s="203"/>
      <c r="AE9" s="203"/>
      <c r="AF9" s="203"/>
      <c r="AG9" s="203"/>
      <c r="AH9" s="203"/>
      <c r="AI9" s="203"/>
      <c r="AJ9" s="203"/>
      <c r="AK9" s="203"/>
      <c r="AL9" s="203"/>
      <c r="AM9" s="203"/>
      <c r="AN9" s="203"/>
      <c r="AO9" s="203"/>
      <c r="AP9" s="203"/>
      <c r="AQ9" s="203"/>
      <c r="AR9" s="203"/>
      <c r="AS9" s="203"/>
      <c r="AT9" s="203"/>
      <c r="AU9" s="203"/>
      <c r="AV9" s="203"/>
    </row>
    <row r="10" spans="1:65">
      <c r="A10" s="88"/>
      <c r="B10" s="203"/>
      <c r="C10" s="203"/>
      <c r="D10" s="380"/>
      <c r="E10" s="476" t="s">
        <v>16</v>
      </c>
      <c r="F10" s="422">
        <v>12</v>
      </c>
      <c r="G10" s="266" cm="1">
        <f t="array" ref="G10">INDEX($K$6:$P$17,MATCH($F$3&amp;$F10,$I$6:$I$17&amp;$J$6:$J$17,0),MATCH($F$14&amp;$G$5,$K$4:$P$4&amp;$K$5:$P$5,0))</f>
        <v>2.5499999999999998</v>
      </c>
      <c r="H10" s="267" cm="1">
        <f t="array" ref="H10">INDEX($K$6:$P$17,MATCH($F$3&amp;$F10,$I$6:$I$17&amp;$J$6:$J$17,0),MATCH($F$14&amp;$H$5,$K$4:$P$4&amp;$K$5:$P$5,0))</f>
        <v>4.6500000000000004</v>
      </c>
      <c r="I10" s="263" t="s">
        <v>425</v>
      </c>
      <c r="J10" s="480">
        <v>12</v>
      </c>
      <c r="K10" s="366">
        <v>1.5</v>
      </c>
      <c r="L10" s="367">
        <v>4.5</v>
      </c>
      <c r="M10" s="366">
        <v>2.5</v>
      </c>
      <c r="N10" s="367">
        <v>4.2</v>
      </c>
      <c r="O10" s="366">
        <v>1.5</v>
      </c>
      <c r="P10" s="367">
        <v>4.5</v>
      </c>
      <c r="Q10" s="383"/>
      <c r="R10" s="232"/>
      <c r="S10" s="203"/>
      <c r="T10" s="203"/>
      <c r="U10" s="411"/>
      <c r="V10" s="203"/>
      <c r="W10" s="412"/>
      <c r="X10" s="410"/>
      <c r="Y10" s="203"/>
      <c r="Z10" s="203"/>
      <c r="AA10" s="203"/>
      <c r="AB10" s="203"/>
      <c r="AC10" s="203"/>
      <c r="AD10" s="203"/>
      <c r="AE10" s="203"/>
      <c r="AF10" s="203"/>
      <c r="AG10" s="203"/>
      <c r="AH10" s="203"/>
      <c r="AI10" s="203"/>
      <c r="AJ10" s="412"/>
      <c r="AK10" s="413"/>
      <c r="AL10" s="414"/>
      <c r="AM10" s="203"/>
      <c r="AN10" s="203"/>
      <c r="AO10" s="203"/>
      <c r="AP10" s="203"/>
      <c r="AQ10" s="203"/>
      <c r="AR10" s="203"/>
      <c r="AS10" s="203"/>
      <c r="AT10" s="203"/>
      <c r="AU10" s="203"/>
      <c r="AV10" s="203"/>
    </row>
    <row r="11" spans="1:65" ht="15.75" thickBot="1">
      <c r="A11" s="88"/>
      <c r="B11" s="203"/>
      <c r="C11" s="203"/>
      <c r="D11" s="380"/>
      <c r="E11" s="477" t="s">
        <v>20</v>
      </c>
      <c r="F11" s="290">
        <f>IF(F14="Average",$C$76,IF(F14="Warm",$D$76,$E$76))</f>
        <v>2</v>
      </c>
      <c r="G11" s="268"/>
      <c r="H11" s="269"/>
      <c r="I11" s="263"/>
      <c r="J11" s="304"/>
      <c r="K11" s="305"/>
      <c r="L11" s="306"/>
      <c r="M11" s="305"/>
      <c r="N11" s="307"/>
      <c r="O11" s="305"/>
      <c r="P11" s="306"/>
      <c r="Q11" s="383"/>
      <c r="R11" s="232"/>
      <c r="S11" s="203"/>
      <c r="T11" s="203"/>
      <c r="U11" s="383"/>
      <c r="V11" s="203"/>
      <c r="W11" s="486" t="s">
        <v>20</v>
      </c>
      <c r="X11" s="291">
        <f>IF(X14="Average",$C$76,IF(X14="Warm",$D$76,$E$76))</f>
        <v>2</v>
      </c>
      <c r="Y11" s="203"/>
      <c r="Z11" s="203"/>
      <c r="AA11" s="203"/>
      <c r="AB11" s="203"/>
      <c r="AC11" s="203"/>
      <c r="AD11" s="203"/>
      <c r="AE11" s="203"/>
      <c r="AF11" s="203"/>
      <c r="AG11" s="203"/>
      <c r="AH11" s="203"/>
      <c r="AI11" s="203"/>
      <c r="AJ11" s="412"/>
      <c r="AK11" s="413"/>
      <c r="AL11" s="414"/>
      <c r="AM11" s="203"/>
      <c r="AN11" s="203"/>
      <c r="AO11" s="203"/>
      <c r="AP11" s="203"/>
      <c r="AQ11" s="203"/>
      <c r="AR11" s="203"/>
      <c r="AS11" s="203"/>
      <c r="AT11" s="203"/>
      <c r="AU11" s="203"/>
      <c r="AV11" s="203"/>
    </row>
    <row r="12" spans="1:65" ht="15" customHeight="1" thickBot="1">
      <c r="A12" s="88"/>
      <c r="B12" s="203"/>
      <c r="C12" s="203"/>
      <c r="D12" s="380"/>
      <c r="E12" s="476" t="s">
        <v>185</v>
      </c>
      <c r="F12" s="371">
        <v>2</v>
      </c>
      <c r="G12" s="203"/>
      <c r="H12" s="203"/>
      <c r="I12" s="263" t="s">
        <v>428</v>
      </c>
      <c r="J12" s="481">
        <v>-15</v>
      </c>
      <c r="K12" s="368">
        <f>MAX(K$15+(($J12-$J$15)*0.17),0)</f>
        <v>0</v>
      </c>
      <c r="L12" s="368">
        <f>MAX(L$15+(($J12-$J$15)*0.31),0)</f>
        <v>0</v>
      </c>
      <c r="M12" s="368">
        <f>MAX(M$15+(($J12-$J$15)*0.17),0)</f>
        <v>0</v>
      </c>
      <c r="N12" s="368">
        <f>MAX(N$15+(($J12-$J$15)*0.31),0)</f>
        <v>0</v>
      </c>
      <c r="O12" s="368">
        <f>MAX(O$15+(($J12-$J$15)*0.17),0)</f>
        <v>0</v>
      </c>
      <c r="P12" s="368">
        <f>MAX(P$15+(($J12-$J$15)*0.31),0)</f>
        <v>0</v>
      </c>
      <c r="Q12" s="383"/>
      <c r="R12" s="232"/>
      <c r="S12" s="203"/>
      <c r="T12" s="203"/>
      <c r="U12" s="203"/>
      <c r="V12" s="203"/>
      <c r="W12" s="440" t="s">
        <v>185</v>
      </c>
      <c r="X12" s="371">
        <v>2.6</v>
      </c>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row>
    <row r="13" spans="1:65">
      <c r="A13" s="88"/>
      <c r="B13" s="203"/>
      <c r="C13" s="203"/>
      <c r="D13" s="381"/>
      <c r="E13" s="382" t="s">
        <v>22</v>
      </c>
      <c r="F13" s="372">
        <v>0.25</v>
      </c>
      <c r="G13" s="203" t="s">
        <v>206</v>
      </c>
      <c r="H13" s="203"/>
      <c r="I13" s="263" t="s">
        <v>428</v>
      </c>
      <c r="J13" s="410">
        <v>-7</v>
      </c>
      <c r="K13" s="368">
        <f>MAX(K$15+(($J13-$J$15)*0.17),0)</f>
        <v>0</v>
      </c>
      <c r="L13" s="368">
        <f>MAX(L$15+(($J13-$J$15)*0.31),0)</f>
        <v>0</v>
      </c>
      <c r="M13" s="368">
        <f>MAX(M$15+(($J13-$J$15)*0.17),0)</f>
        <v>0</v>
      </c>
      <c r="N13" s="368">
        <f>MAX(N$15+(($J13-$J$15)*0.31),0)</f>
        <v>0</v>
      </c>
      <c r="O13" s="368">
        <f>MAX(O$15+(($J13-$J$15)*0.17),0)</f>
        <v>0</v>
      </c>
      <c r="P13" s="368">
        <f>MAX(P$15+(($J13-$J$15)*0.31),0)</f>
        <v>0</v>
      </c>
      <c r="Q13" s="383"/>
      <c r="R13" s="232"/>
      <c r="S13" s="203"/>
      <c r="T13" s="203"/>
      <c r="U13" s="203"/>
      <c r="V13" s="203"/>
      <c r="W13" s="441" t="s">
        <v>22</v>
      </c>
      <c r="X13" s="372">
        <v>0.25</v>
      </c>
      <c r="Y13" s="203"/>
      <c r="Z13" s="203"/>
      <c r="AA13" s="203"/>
      <c r="AB13" s="203"/>
      <c r="AC13" s="203"/>
      <c r="AD13" s="412"/>
      <c r="AE13" s="203"/>
      <c r="AF13" s="203"/>
      <c r="AG13" s="203"/>
      <c r="AH13" s="203"/>
      <c r="AI13" s="203"/>
      <c r="AJ13" s="203"/>
      <c r="AK13" s="203"/>
      <c r="AL13" s="203"/>
      <c r="AM13" s="203"/>
      <c r="AN13" s="203"/>
      <c r="AO13" s="203"/>
      <c r="AP13" s="203"/>
      <c r="AQ13" s="203"/>
      <c r="AR13" s="203"/>
      <c r="AS13" s="203"/>
      <c r="AT13" s="203"/>
      <c r="AU13" s="203"/>
      <c r="AV13" s="203"/>
    </row>
    <row r="14" spans="1:65">
      <c r="A14" s="88"/>
      <c r="B14" s="203"/>
      <c r="C14" s="203"/>
      <c r="D14" s="203"/>
      <c r="E14" s="441" t="s">
        <v>483</v>
      </c>
      <c r="F14" s="374" t="s">
        <v>2</v>
      </c>
      <c r="G14" s="203" t="s">
        <v>206</v>
      </c>
      <c r="H14" s="203"/>
      <c r="I14" s="263" t="s">
        <v>428</v>
      </c>
      <c r="J14" s="410">
        <v>2</v>
      </c>
      <c r="K14" s="368">
        <f>K$15+(($J14-$J$15)*0.17)</f>
        <v>0.84999999999999987</v>
      </c>
      <c r="L14" s="368">
        <f>L$15+(($J14-$J$15)*0.31)</f>
        <v>1.55</v>
      </c>
      <c r="M14" s="368">
        <f t="shared" ref="M14:O14" si="0">M$15+(($J14-$J$15)*0.17)</f>
        <v>0.84999999999999987</v>
      </c>
      <c r="N14" s="368">
        <f>N$15+(($J14-$J$15)*0.31)</f>
        <v>1.55</v>
      </c>
      <c r="O14" s="368">
        <f t="shared" si="0"/>
        <v>0.84999999999999987</v>
      </c>
      <c r="P14" s="368">
        <f>P$15+(($J14-$J$15)*0.31)</f>
        <v>1.55</v>
      </c>
      <c r="Q14" s="383"/>
      <c r="R14" s="232"/>
      <c r="S14" s="203"/>
      <c r="T14" s="410"/>
      <c r="U14" s="410"/>
      <c r="V14" s="203"/>
      <c r="W14" s="441" t="s">
        <v>483</v>
      </c>
      <c r="X14" s="374" t="s">
        <v>2</v>
      </c>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row>
    <row r="15" spans="1:65">
      <c r="A15" s="88"/>
      <c r="B15" s="203"/>
      <c r="C15" s="203"/>
      <c r="D15" s="203"/>
      <c r="E15" s="437" t="s">
        <v>482</v>
      </c>
      <c r="F15" s="374" t="s">
        <v>37</v>
      </c>
      <c r="G15" s="203" t="s">
        <v>206</v>
      </c>
      <c r="H15" s="203"/>
      <c r="I15" s="263" t="s">
        <v>428</v>
      </c>
      <c r="J15" s="410">
        <v>7</v>
      </c>
      <c r="K15" s="369">
        <v>1.7</v>
      </c>
      <c r="L15" s="369">
        <v>3.1</v>
      </c>
      <c r="M15" s="369">
        <v>1.7</v>
      </c>
      <c r="N15" s="369">
        <v>3.1</v>
      </c>
      <c r="O15" s="369">
        <v>1.7</v>
      </c>
      <c r="P15" s="369">
        <v>3.1</v>
      </c>
      <c r="Q15" s="383"/>
      <c r="R15" s="232"/>
      <c r="S15" s="203"/>
      <c r="T15" s="203"/>
      <c r="U15" s="203"/>
      <c r="V15" s="203"/>
      <c r="W15" s="437" t="s">
        <v>482</v>
      </c>
      <c r="X15" s="374" t="s">
        <v>56</v>
      </c>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row>
    <row r="16" spans="1:65">
      <c r="A16" s="329" t="s">
        <v>478</v>
      </c>
      <c r="B16" s="203"/>
      <c r="C16" s="203"/>
      <c r="D16" s="203"/>
      <c r="E16" s="437" t="s">
        <v>417</v>
      </c>
      <c r="F16" s="253">
        <f>MAX(L25,F11)</f>
        <v>7</v>
      </c>
      <c r="G16" s="203" t="s">
        <v>49</v>
      </c>
      <c r="H16" s="203"/>
      <c r="I16" s="263" t="s">
        <v>428</v>
      </c>
      <c r="J16" s="410">
        <v>12</v>
      </c>
      <c r="K16" s="368">
        <f>K$15+(($J16-$J$15)*0.17)</f>
        <v>2.5499999999999998</v>
      </c>
      <c r="L16" s="370">
        <f>L$15+(($J16-$J$15)*0.31)</f>
        <v>4.6500000000000004</v>
      </c>
      <c r="M16" s="368">
        <f t="shared" ref="M16:O16" si="1">M$15+(($J16-$J$15)*0.17)</f>
        <v>2.5499999999999998</v>
      </c>
      <c r="N16" s="368">
        <f>N$15+(($J16-$J$15)*0.31)</f>
        <v>4.6500000000000004</v>
      </c>
      <c r="O16" s="368">
        <f t="shared" si="1"/>
        <v>2.5499999999999998</v>
      </c>
      <c r="P16" s="368">
        <f>P$15+(($J16-$J$15)*0.31)</f>
        <v>4.6500000000000004</v>
      </c>
      <c r="Q16" s="383"/>
      <c r="R16" s="232"/>
      <c r="S16" s="203"/>
      <c r="T16" s="203"/>
      <c r="U16" s="203"/>
      <c r="V16" s="203"/>
      <c r="W16" s="437" t="s">
        <v>417</v>
      </c>
      <c r="X16" s="25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row>
    <row r="17" spans="1:48">
      <c r="A17" s="88"/>
      <c r="B17" s="203"/>
      <c r="C17" s="203"/>
      <c r="D17" s="203"/>
      <c r="E17" s="437" t="s">
        <v>481</v>
      </c>
      <c r="F17" s="373" t="s">
        <v>418</v>
      </c>
      <c r="G17" s="203"/>
      <c r="H17" s="203"/>
      <c r="I17" s="203"/>
      <c r="J17" s="203"/>
      <c r="K17" s="203"/>
      <c r="L17" s="203"/>
      <c r="M17" s="203"/>
      <c r="N17" s="203"/>
      <c r="O17" s="203"/>
      <c r="P17" s="203"/>
      <c r="Q17" s="383"/>
      <c r="R17" s="232"/>
      <c r="S17" s="203"/>
      <c r="T17" s="409"/>
      <c r="U17" s="409"/>
      <c r="V17" s="203"/>
      <c r="W17" s="437" t="s">
        <v>481</v>
      </c>
      <c r="X17" s="373" t="s">
        <v>192</v>
      </c>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row>
    <row r="18" spans="1:48">
      <c r="A18" s="88"/>
      <c r="B18" s="203"/>
      <c r="C18" s="203"/>
      <c r="D18" s="203"/>
      <c r="E18" s="203"/>
      <c r="F18" s="203"/>
      <c r="G18" s="417" t="s">
        <v>484</v>
      </c>
      <c r="H18" s="203"/>
      <c r="I18" s="203"/>
      <c r="J18" s="203"/>
      <c r="K18" s="203"/>
      <c r="L18" s="437" t="s">
        <v>470</v>
      </c>
      <c r="M18" s="413"/>
      <c r="N18" s="203"/>
      <c r="O18" s="203"/>
      <c r="P18" s="203"/>
      <c r="Q18" s="203"/>
      <c r="R18" s="232"/>
      <c r="S18" s="409"/>
      <c r="T18" s="409"/>
      <c r="U18" s="203"/>
      <c r="V18" s="203"/>
      <c r="W18" s="203"/>
      <c r="X18" s="203"/>
      <c r="Y18" s="417" t="s">
        <v>484</v>
      </c>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row>
    <row r="19" spans="1:48">
      <c r="A19" s="88"/>
      <c r="B19" s="203"/>
      <c r="C19" s="203"/>
      <c r="D19" s="203"/>
      <c r="E19" s="203"/>
      <c r="F19" s="473" t="s">
        <v>28</v>
      </c>
      <c r="G19" s="473" t="s">
        <v>204</v>
      </c>
      <c r="H19" s="203"/>
      <c r="I19" s="203"/>
      <c r="J19" s="203"/>
      <c r="K19" s="437" t="s">
        <v>38</v>
      </c>
      <c r="L19" s="469">
        <f>F12*G24</f>
        <v>2800</v>
      </c>
      <c r="M19" s="413"/>
      <c r="N19" s="203"/>
      <c r="O19" s="203"/>
      <c r="P19" s="203"/>
      <c r="Q19" s="203"/>
      <c r="R19" s="576"/>
      <c r="S19" s="380"/>
      <c r="T19" s="380"/>
      <c r="U19" s="409"/>
      <c r="V19" s="203"/>
      <c r="W19" s="203"/>
      <c r="X19" s="421" t="s">
        <v>28</v>
      </c>
      <c r="Y19" s="230" t="s">
        <v>204</v>
      </c>
      <c r="Z19" s="203"/>
      <c r="AA19" s="203"/>
      <c r="AB19" s="203"/>
      <c r="AC19" s="230" t="s">
        <v>38</v>
      </c>
      <c r="AD19" s="415">
        <f>X12*Y24</f>
        <v>3640</v>
      </c>
      <c r="AE19" s="203"/>
      <c r="AF19" s="203"/>
      <c r="AG19" s="203"/>
      <c r="AH19" s="203"/>
      <c r="AI19" s="203"/>
      <c r="AJ19" s="203"/>
      <c r="AK19" s="203"/>
      <c r="AL19" s="203"/>
      <c r="AM19" s="203"/>
      <c r="AN19" s="203"/>
      <c r="AO19" s="203"/>
      <c r="AP19" s="203"/>
      <c r="AQ19" s="203"/>
      <c r="AR19" s="203"/>
      <c r="AS19" s="203"/>
      <c r="AT19" s="203"/>
      <c r="AU19" s="203"/>
      <c r="AV19" s="203"/>
    </row>
    <row r="20" spans="1:48">
      <c r="A20" s="88"/>
      <c r="B20" s="203"/>
      <c r="C20" s="203"/>
      <c r="D20" s="203"/>
      <c r="E20" s="437" t="s">
        <v>25</v>
      </c>
      <c r="F20" s="375">
        <v>2.4E-2</v>
      </c>
      <c r="G20" s="58" cm="1">
        <f t="array" ref="G20">_xlfn.XLOOKUP($H20,$B$79:$B$85,_xlfn.XLOOKUP($F$14,$C$31:$E$31,$C$79:$E$85,"not found",0,1))</f>
        <v>755</v>
      </c>
      <c r="H20" s="472" t="s">
        <v>32</v>
      </c>
      <c r="I20" s="203"/>
      <c r="J20" s="203"/>
      <c r="K20" s="470" t="s">
        <v>29</v>
      </c>
      <c r="L20" s="471">
        <f>SUMPRODUCT($F$33:$F$74,$G$33:$G$74) / SUMPRODUCT($F$33:$F$74,$M$33:$M$74)</f>
        <v>2.3480828568348637</v>
      </c>
      <c r="M20" s="413"/>
      <c r="N20" s="203"/>
      <c r="O20" s="203"/>
      <c r="P20" s="203"/>
      <c r="Q20" s="203"/>
      <c r="R20" s="576"/>
      <c r="S20" s="380"/>
      <c r="T20" s="380"/>
      <c r="U20" s="380"/>
      <c r="V20" s="203"/>
      <c r="W20" s="437" t="s">
        <v>25</v>
      </c>
      <c r="X20" s="375">
        <v>2.4E-2</v>
      </c>
      <c r="Y20" s="58" cm="1">
        <f t="array" ref="Y20">IFERROR(INDEX($C$86:$E$93,MATCH($X$15&amp;$Z20,$A$86:$A$93&amp;$B$86:$B$93,0),MATCH($X$14,$C$31:$E$31,0)),0)</f>
        <v>755</v>
      </c>
      <c r="Z20" s="418" t="s">
        <v>32</v>
      </c>
      <c r="AA20" s="203"/>
      <c r="AB20" s="419">
        <f>AD19/AD21</f>
        <v>0.71782483408423037</v>
      </c>
      <c r="AC20" s="230" t="s">
        <v>29</v>
      </c>
      <c r="AD20" s="416">
        <f>SUMPRODUCT(U33:U74,X33:X74) / SUMPRODUCT(U33:U74,AH33:AH74)</f>
        <v>0.68735627641647223</v>
      </c>
      <c r="AE20" s="203"/>
      <c r="AF20" s="203"/>
      <c r="AG20" s="203"/>
      <c r="AH20" s="203"/>
      <c r="AI20" s="203"/>
      <c r="AJ20" s="203"/>
      <c r="AK20" s="203"/>
      <c r="AL20" s="203"/>
      <c r="AM20" s="203"/>
      <c r="AN20" s="203"/>
      <c r="AO20" s="203"/>
      <c r="AP20" s="203"/>
      <c r="AQ20" s="203"/>
      <c r="AR20" s="203"/>
      <c r="AS20" s="203"/>
      <c r="AT20" s="203"/>
      <c r="AU20" s="203"/>
      <c r="AV20" s="203"/>
    </row>
    <row r="21" spans="1:48" ht="16.5" customHeight="1">
      <c r="A21" s="88"/>
      <c r="B21" s="203"/>
      <c r="C21" s="203"/>
      <c r="D21" s="203"/>
      <c r="E21" s="437" t="s">
        <v>24</v>
      </c>
      <c r="F21" s="375">
        <f>0.5/1000</f>
        <v>5.0000000000000001E-4</v>
      </c>
      <c r="G21" s="58" cm="1">
        <f t="array" ref="G21">_xlfn.XLOOKUP($H21,$B$79:$B$85,_xlfn.XLOOKUP($F$14,$C$31:$E$31,$C$79:$E$85,"not found",0,1))</f>
        <v>0</v>
      </c>
      <c r="H21" s="472" t="s">
        <v>33</v>
      </c>
      <c r="I21" s="203"/>
      <c r="J21" s="203"/>
      <c r="K21" s="437" t="s">
        <v>42</v>
      </c>
      <c r="L21" s="469">
        <f>M75+$F$25</f>
        <v>1155.8871025513199</v>
      </c>
      <c r="M21" s="413"/>
      <c r="N21" s="203"/>
      <c r="O21" s="203"/>
      <c r="P21" s="203"/>
      <c r="Q21" s="203"/>
      <c r="R21" s="232"/>
      <c r="S21" s="203"/>
      <c r="T21" s="203"/>
      <c r="U21" s="380"/>
      <c r="V21" s="203"/>
      <c r="W21" s="437" t="s">
        <v>24</v>
      </c>
      <c r="X21" s="375">
        <f>0.5/1000</f>
        <v>5.0000000000000001E-4</v>
      </c>
      <c r="Y21" s="58" cm="1">
        <f t="array" ref="Y21">IFERROR(INDEX($C$86:$E$93,MATCH($X$15&amp;$Z21,$A$86:$A$93&amp;$B$86:$B$93,0),MATCH($X$14,$C$31:$E$31,0)),0)</f>
        <v>0</v>
      </c>
      <c r="Z21" s="418" t="s">
        <v>33</v>
      </c>
      <c r="AA21" s="203"/>
      <c r="AB21" s="203"/>
      <c r="AC21" s="230" t="s">
        <v>42</v>
      </c>
      <c r="AD21" s="415">
        <f>AH75+X25</f>
        <v>5070.8749922865982</v>
      </c>
      <c r="AE21" s="203"/>
      <c r="AF21" s="203"/>
      <c r="AG21" s="203"/>
      <c r="AH21" s="203"/>
      <c r="AI21" s="203"/>
      <c r="AJ21" s="203"/>
      <c r="AK21" s="203"/>
      <c r="AL21" s="203"/>
      <c r="AM21" s="203"/>
      <c r="AN21" s="203"/>
      <c r="AO21" s="203"/>
      <c r="AP21" s="203"/>
      <c r="AQ21" s="203"/>
      <c r="AR21" s="203"/>
      <c r="AS21" s="203"/>
      <c r="AT21" s="203"/>
      <c r="AU21" s="203"/>
      <c r="AV21" s="203"/>
    </row>
    <row r="22" spans="1:48" ht="23.25">
      <c r="A22" s="88"/>
      <c r="B22" s="203"/>
      <c r="C22" s="203"/>
      <c r="D22" s="203"/>
      <c r="E22" s="437" t="s">
        <v>26</v>
      </c>
      <c r="F22" s="375">
        <v>0</v>
      </c>
      <c r="G22" s="58" cm="1">
        <f t="array" ref="G22">INDEX($C$79:$E$85,MATCH($F$15&amp;$H22,$A$79:$A$85&amp;$B$79:$B$85,0),MATCH($F$14,$C$31:$E$31,0))</f>
        <v>4416</v>
      </c>
      <c r="H22" s="472" t="s">
        <v>34</v>
      </c>
      <c r="I22" s="203"/>
      <c r="J22" s="415">
        <f>IF(F14="Average",$C$77,IF(F14="Warm",$D$77,$E$77))</f>
        <v>1335.7857142857144</v>
      </c>
      <c r="K22" s="309" t="s">
        <v>30</v>
      </c>
      <c r="L22" s="250">
        <f>L19/(L21)</f>
        <v>2.4223819037514378</v>
      </c>
      <c r="M22" s="413"/>
      <c r="N22" s="203"/>
      <c r="O22" s="203"/>
      <c r="P22" s="203"/>
      <c r="Q22" s="203"/>
      <c r="R22" s="232"/>
      <c r="S22" s="203"/>
      <c r="T22" s="203"/>
      <c r="U22" s="203"/>
      <c r="V22" s="203"/>
      <c r="W22" s="437" t="s">
        <v>26</v>
      </c>
      <c r="X22" s="375">
        <v>0</v>
      </c>
      <c r="Y22" s="58" cm="1">
        <f t="array" ref="Y22">IFERROR(INDEX($C$86:$E$93,MATCH($X$15&amp;$Z22,$A$86:$A$93&amp;$B$86:$B$93,0),MATCH($X$14,$C$31:$E$31,0)),0)</f>
        <v>5171</v>
      </c>
      <c r="Z22" s="418" t="s">
        <v>34</v>
      </c>
      <c r="AA22" s="203"/>
      <c r="AB22" s="203"/>
      <c r="AC22" s="309" t="s">
        <v>30</v>
      </c>
      <c r="AD22" s="250">
        <f>AD19/(AD21)</f>
        <v>0.71782483408423037</v>
      </c>
      <c r="AE22" s="203"/>
      <c r="AF22" s="203"/>
      <c r="AG22" s="203"/>
      <c r="AH22" s="203"/>
      <c r="AI22" s="203"/>
      <c r="AJ22" s="203"/>
      <c r="AK22" s="203"/>
      <c r="AL22" s="203"/>
      <c r="AM22" s="203"/>
      <c r="AN22" s="203"/>
      <c r="AO22" s="203"/>
      <c r="AP22" s="203"/>
      <c r="AQ22" s="203"/>
      <c r="AR22" s="203"/>
      <c r="AS22" s="203"/>
      <c r="AT22" s="203"/>
      <c r="AU22" s="203"/>
      <c r="AV22" s="203"/>
    </row>
    <row r="23" spans="1:48">
      <c r="A23" s="328" t="s">
        <v>475</v>
      </c>
      <c r="B23" s="203"/>
      <c r="C23" s="203"/>
      <c r="D23" s="203"/>
      <c r="E23" s="437" t="s">
        <v>27</v>
      </c>
      <c r="F23" s="375">
        <f>1/1000</f>
        <v>1E-3</v>
      </c>
      <c r="G23" s="58" cm="1">
        <f t="array" ref="G23">INDEX($C$79:$E$85,MATCH($F$15&amp;$H23,$A$79:$A$85&amp;$B$79:$B$85,0),MATCH($F$14,$C$31:$E$31,0))</f>
        <v>0</v>
      </c>
      <c r="H23" s="472" t="s">
        <v>36</v>
      </c>
      <c r="I23" s="203"/>
      <c r="J23" s="203"/>
      <c r="K23" s="230" t="s">
        <v>43</v>
      </c>
      <c r="L23" s="443">
        <v>1</v>
      </c>
      <c r="M23" s="413"/>
      <c r="N23" s="203"/>
      <c r="O23" s="203"/>
      <c r="P23" s="203"/>
      <c r="Q23" s="203"/>
      <c r="R23" s="232"/>
      <c r="S23" s="203"/>
      <c r="T23" s="203"/>
      <c r="U23" s="203"/>
      <c r="V23" s="203"/>
      <c r="W23" s="437" t="s">
        <v>27</v>
      </c>
      <c r="X23" s="375">
        <f>1/1000</f>
        <v>1E-3</v>
      </c>
      <c r="Y23" s="58" cm="1">
        <f t="array" ref="Y23">IFERROR(INDEX($C$86:$E$93,MATCH($X$15&amp;$Z23,$A$86:$A$93&amp;$B$86:$B$93,0),MATCH($X$14,$C$31:$E$31,0)),0)</f>
        <v>4416</v>
      </c>
      <c r="Z23" s="418" t="s">
        <v>36</v>
      </c>
      <c r="AA23" s="203"/>
      <c r="AB23" s="203"/>
      <c r="AC23" s="1" t="s">
        <v>43</v>
      </c>
      <c r="AD23" s="2">
        <v>0.95</v>
      </c>
      <c r="AE23" s="203"/>
      <c r="AF23" s="203"/>
      <c r="AG23" s="203"/>
      <c r="AH23" s="203"/>
      <c r="AI23" s="203"/>
      <c r="AJ23" s="203"/>
      <c r="AK23" s="203"/>
      <c r="AL23" s="203"/>
      <c r="AM23" s="203"/>
      <c r="AN23" s="203"/>
      <c r="AO23" s="203"/>
      <c r="AP23" s="203"/>
      <c r="AQ23" s="203"/>
      <c r="AR23" s="203"/>
      <c r="AS23" s="203"/>
      <c r="AT23" s="203"/>
      <c r="AU23" s="203"/>
      <c r="AV23" s="203"/>
    </row>
    <row r="24" spans="1:48" ht="21.75" thickBot="1">
      <c r="A24" s="580" t="s">
        <v>476</v>
      </c>
      <c r="B24" s="203"/>
      <c r="C24" s="203"/>
      <c r="D24" s="203"/>
      <c r="E24" s="437" t="s">
        <v>205</v>
      </c>
      <c r="G24" s="58" cm="1">
        <f t="array" ref="G24">_xlfn.XLOOKUP($H24,$B$79:$B$85,_xlfn.XLOOKUP($F$14,$C$31:$E$31,$C$79:$E$85,"not found",0,1))</f>
        <v>1400</v>
      </c>
      <c r="H24" s="472" t="s">
        <v>31</v>
      </c>
      <c r="I24" s="203"/>
      <c r="J24" s="203"/>
      <c r="K24" s="251" t="s">
        <v>44</v>
      </c>
      <c r="L24" s="308">
        <f>L22/$C$94 * (0.9+0.1*L23)</f>
        <v>1.1535151922625895</v>
      </c>
      <c r="M24" s="413"/>
      <c r="N24" s="203"/>
      <c r="O24" s="203"/>
      <c r="P24" s="203"/>
      <c r="Q24" s="203"/>
      <c r="R24" s="232"/>
      <c r="S24" s="203"/>
      <c r="T24" s="203"/>
      <c r="U24" s="203"/>
      <c r="V24" s="203"/>
      <c r="W24" s="437"/>
      <c r="X24" s="203"/>
      <c r="Y24" s="58" cm="1">
        <f t="array" ref="Y24">INDEX($C$86:$E$93,MATCH($X$15&amp;$Z24,$A$86:$A$93&amp;$B$86:$B$93,0),MATCH($X$14,$C$31:$E$31,0))</f>
        <v>1400</v>
      </c>
      <c r="Z24" s="418" t="s">
        <v>31</v>
      </c>
      <c r="AA24" s="203"/>
      <c r="AB24" s="203"/>
      <c r="AC24" s="251" t="s">
        <v>65</v>
      </c>
      <c r="AD24" s="252">
        <f>AD22/$C$94 * (0.9+0.1*$AD$23)</f>
        <v>0.34011224281609959</v>
      </c>
      <c r="AE24" s="420" t="s">
        <v>488</v>
      </c>
      <c r="AF24" s="203"/>
      <c r="AG24" s="203"/>
      <c r="AH24" s="203"/>
      <c r="AI24" s="203"/>
      <c r="AJ24" s="203"/>
      <c r="AK24" s="203"/>
      <c r="AL24" s="203"/>
      <c r="AM24" s="203"/>
      <c r="AN24" s="203"/>
      <c r="AO24" s="203"/>
      <c r="AP24" s="203"/>
      <c r="AQ24" s="203"/>
      <c r="AR24" s="203"/>
      <c r="AS24" s="203"/>
      <c r="AT24" s="203"/>
      <c r="AU24" s="203"/>
      <c r="AV24" s="203"/>
    </row>
    <row r="25" spans="1:48" ht="15.75" thickBot="1">
      <c r="A25" s="88"/>
      <c r="B25" s="203"/>
      <c r="C25" s="203"/>
      <c r="D25" s="203"/>
      <c r="E25" s="437" t="s">
        <v>96</v>
      </c>
      <c r="F25" s="303">
        <f>SUMPRODUCT(F20:F23,G20:G23)</f>
        <v>18.12</v>
      </c>
      <c r="G25" s="56" t="s">
        <v>95</v>
      </c>
      <c r="H25" s="203"/>
      <c r="I25" s="203"/>
      <c r="J25" s="203" t="s">
        <v>66</v>
      </c>
      <c r="K25" s="4" t="s">
        <v>485</v>
      </c>
      <c r="L25" s="294">
        <v>7</v>
      </c>
      <c r="M25" s="203"/>
      <c r="N25" s="203"/>
      <c r="O25" s="203"/>
      <c r="P25" s="203"/>
      <c r="Q25" s="203"/>
      <c r="R25" s="232"/>
      <c r="S25" s="203"/>
      <c r="T25" s="203"/>
      <c r="U25" s="203"/>
      <c r="V25" s="203"/>
      <c r="W25" s="437" t="s">
        <v>96</v>
      </c>
      <c r="X25" s="303">
        <f>SUMPRODUCT(X20,Y20)</f>
        <v>18.12</v>
      </c>
      <c r="Y25" s="439" t="s">
        <v>95</v>
      </c>
      <c r="Z25" s="203"/>
      <c r="AA25" s="203"/>
      <c r="AB25" s="203"/>
      <c r="AC25" s="4" t="s">
        <v>485</v>
      </c>
      <c r="AD25" s="294">
        <v>-8</v>
      </c>
      <c r="AE25" s="203" t="s">
        <v>486</v>
      </c>
      <c r="AF25" s="203"/>
      <c r="AG25" s="203"/>
      <c r="AH25" s="203"/>
      <c r="AI25" s="203"/>
      <c r="AJ25" s="203"/>
      <c r="AK25" s="203"/>
      <c r="AL25" s="203"/>
      <c r="AM25" s="203"/>
      <c r="AN25" s="203"/>
      <c r="AO25" s="203"/>
      <c r="AP25" s="203"/>
      <c r="AQ25" s="203"/>
      <c r="AR25" s="203"/>
      <c r="AS25" s="203"/>
      <c r="AT25" s="203"/>
      <c r="AU25" s="203"/>
      <c r="AV25" s="203"/>
    </row>
    <row r="26" spans="1:48">
      <c r="A26" s="88"/>
      <c r="B26" s="203"/>
      <c r="C26" s="203"/>
      <c r="D26" s="203"/>
      <c r="E26" s="380"/>
      <c r="F26" s="380"/>
      <c r="G26" s="380"/>
      <c r="H26" s="380"/>
      <c r="I26" s="203"/>
      <c r="J26" s="203"/>
      <c r="K26" s="203"/>
      <c r="L26" s="203"/>
      <c r="M26" s="380"/>
      <c r="N26" s="203"/>
      <c r="O26" s="203"/>
      <c r="P26" s="203"/>
      <c r="Q26" s="203"/>
      <c r="R26" s="232"/>
      <c r="S26" s="203"/>
      <c r="T26" s="203"/>
      <c r="U26" s="203"/>
      <c r="V26" s="203"/>
      <c r="W26" s="384"/>
      <c r="X26" s="203"/>
      <c r="Y26" s="203"/>
      <c r="Z26" s="203"/>
      <c r="AA26" s="385"/>
      <c r="AB26" s="385"/>
      <c r="AC26" s="386" t="s">
        <v>438</v>
      </c>
      <c r="AD26" s="387">
        <f>INDEX($V$33:$V$73,MATCH(1,$AE$33:$AE$73,1))</f>
        <v>10</v>
      </c>
      <c r="AE26" s="203" t="s">
        <v>49</v>
      </c>
      <c r="AF26" s="203"/>
      <c r="AG26" s="203"/>
      <c r="AH26" s="203"/>
      <c r="AI26" s="203"/>
      <c r="AJ26" s="203"/>
      <c r="AK26" s="203"/>
      <c r="AL26" s="203"/>
      <c r="AM26" s="203"/>
      <c r="AN26" s="203"/>
      <c r="AO26" s="203"/>
      <c r="AP26" s="203"/>
      <c r="AQ26" s="203"/>
      <c r="AR26" s="203"/>
      <c r="AS26" s="203"/>
      <c r="AT26" s="203"/>
      <c r="AU26" s="203"/>
      <c r="AV26" s="203"/>
    </row>
    <row r="27" spans="1:48">
      <c r="A27" s="88"/>
      <c r="B27" s="203"/>
      <c r="C27" s="203"/>
      <c r="D27" s="203"/>
      <c r="E27" s="203"/>
      <c r="F27" s="203"/>
      <c r="G27" s="203"/>
      <c r="H27" s="203"/>
      <c r="I27" s="203"/>
      <c r="J27" s="203"/>
      <c r="K27" s="203"/>
      <c r="L27" s="203"/>
      <c r="M27" s="203"/>
      <c r="N27" s="203"/>
      <c r="O27" s="203"/>
      <c r="P27" s="203"/>
      <c r="Q27" s="203"/>
      <c r="R27" s="232"/>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row>
    <row r="28" spans="1:48">
      <c r="A28" s="88"/>
      <c r="B28" s="203"/>
      <c r="C28" s="203"/>
      <c r="D28" s="203"/>
      <c r="E28" s="203"/>
      <c r="F28" s="203"/>
      <c r="G28" s="203"/>
      <c r="H28" s="203"/>
      <c r="I28" s="203"/>
      <c r="J28" s="203"/>
      <c r="K28" s="203"/>
      <c r="L28" s="203"/>
      <c r="M28" s="203"/>
      <c r="N28" s="203"/>
      <c r="O28" s="203"/>
      <c r="P28" s="203"/>
      <c r="Q28" s="203"/>
      <c r="R28" s="232"/>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row>
    <row r="29" spans="1:48" ht="26.25">
      <c r="A29" s="203"/>
      <c r="B29" s="203"/>
      <c r="C29" s="203"/>
      <c r="D29" s="203"/>
      <c r="E29" s="203"/>
      <c r="F29" s="203"/>
      <c r="G29" s="203"/>
      <c r="H29" s="203"/>
      <c r="I29" s="203"/>
      <c r="J29" s="203"/>
      <c r="K29" s="388"/>
      <c r="L29" s="203"/>
      <c r="M29" s="203"/>
      <c r="N29" s="203"/>
      <c r="O29" s="203"/>
      <c r="P29" s="203"/>
      <c r="Q29" s="203"/>
      <c r="R29" s="232"/>
      <c r="S29" s="203"/>
      <c r="T29" s="203"/>
      <c r="U29" s="203"/>
      <c r="V29" s="203"/>
      <c r="W29" s="203"/>
      <c r="X29" s="203"/>
      <c r="Y29" s="389"/>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row>
    <row r="30" spans="1:48">
      <c r="A30" s="382" t="s">
        <v>11</v>
      </c>
      <c r="B30" s="382" t="s">
        <v>5</v>
      </c>
      <c r="C30" s="382" t="s">
        <v>6</v>
      </c>
      <c r="D30" s="383"/>
      <c r="E30" s="383"/>
      <c r="F30" s="390" t="str">
        <f>F14</f>
        <v>Warm</v>
      </c>
      <c r="G30" s="203" t="s">
        <v>212</v>
      </c>
      <c r="H30" s="203" t="s">
        <v>211</v>
      </c>
      <c r="I30" s="383"/>
      <c r="J30" s="203"/>
      <c r="K30" s="203"/>
      <c r="L30" s="383"/>
      <c r="M30" s="391" t="s">
        <v>50</v>
      </c>
      <c r="N30" s="203"/>
      <c r="O30" s="203"/>
      <c r="P30" s="203"/>
      <c r="Q30" s="203"/>
      <c r="R30" s="232"/>
      <c r="S30" s="203"/>
      <c r="T30" s="203"/>
      <c r="U30" s="203"/>
      <c r="V30" s="203"/>
      <c r="W30" s="203"/>
      <c r="X30" s="203" t="s">
        <v>210</v>
      </c>
      <c r="Y30" s="203" t="s">
        <v>211</v>
      </c>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row>
    <row r="31" spans="1:48" ht="48.75" customHeight="1">
      <c r="A31" s="324"/>
      <c r="B31" s="324" t="s">
        <v>61</v>
      </c>
      <c r="C31" s="324" t="s">
        <v>1</v>
      </c>
      <c r="D31" s="324" t="s">
        <v>2</v>
      </c>
      <c r="E31" s="324" t="s">
        <v>3</v>
      </c>
      <c r="F31" s="392" t="s">
        <v>207</v>
      </c>
      <c r="G31" s="393" t="s">
        <v>39</v>
      </c>
      <c r="H31" s="394" t="s">
        <v>40</v>
      </c>
      <c r="I31" s="394" t="s">
        <v>23</v>
      </c>
      <c r="J31" s="394" t="s">
        <v>436</v>
      </c>
      <c r="K31" s="394" t="s">
        <v>420</v>
      </c>
      <c r="L31" s="393" t="s">
        <v>97</v>
      </c>
      <c r="M31" s="395" t="s">
        <v>208</v>
      </c>
      <c r="N31" s="203"/>
      <c r="O31" s="203"/>
      <c r="P31" s="203"/>
      <c r="Q31" s="203"/>
      <c r="R31" s="577" t="s">
        <v>209</v>
      </c>
      <c r="S31" s="396" t="s">
        <v>439</v>
      </c>
      <c r="T31" s="397" t="s">
        <v>435</v>
      </c>
      <c r="U31" s="398" t="s">
        <v>207</v>
      </c>
      <c r="V31" s="399" t="s">
        <v>61</v>
      </c>
      <c r="W31" s="399" t="s">
        <v>58</v>
      </c>
      <c r="X31" s="393" t="s">
        <v>39</v>
      </c>
      <c r="Y31" s="394" t="s">
        <v>40</v>
      </c>
      <c r="Z31" s="400" t="s">
        <v>419</v>
      </c>
      <c r="AA31" s="394" t="s">
        <v>412</v>
      </c>
      <c r="AB31" s="394" t="s">
        <v>421</v>
      </c>
      <c r="AC31" s="394" t="s">
        <v>60</v>
      </c>
      <c r="AD31" s="394" t="s">
        <v>213</v>
      </c>
      <c r="AE31" s="394" t="s">
        <v>62</v>
      </c>
      <c r="AF31" s="394" t="s">
        <v>63</v>
      </c>
      <c r="AG31" s="394" t="s">
        <v>433</v>
      </c>
      <c r="AH31" s="394" t="s">
        <v>430</v>
      </c>
      <c r="AI31" s="394" t="s">
        <v>432</v>
      </c>
      <c r="AJ31" s="203"/>
      <c r="AK31" s="203"/>
      <c r="AL31" s="203"/>
      <c r="AM31" s="203"/>
      <c r="AN31" s="203"/>
      <c r="AO31" s="203"/>
      <c r="AP31" s="203"/>
      <c r="AQ31" s="203"/>
      <c r="AR31" s="203"/>
      <c r="AS31" s="203"/>
      <c r="AT31" s="203"/>
      <c r="AU31" s="203"/>
      <c r="AV31" s="203"/>
    </row>
    <row r="32" spans="1:48" ht="16.5" customHeight="1">
      <c r="A32" s="204"/>
      <c r="B32" s="204" t="s">
        <v>49</v>
      </c>
      <c r="C32" s="204"/>
      <c r="D32" s="204"/>
      <c r="E32" s="204"/>
      <c r="F32" s="401" t="s">
        <v>64</v>
      </c>
      <c r="G32" s="402" t="s">
        <v>28</v>
      </c>
      <c r="H32" s="402" t="s">
        <v>28</v>
      </c>
      <c r="I32" s="403" t="s">
        <v>203</v>
      </c>
      <c r="J32" s="403" t="s">
        <v>203</v>
      </c>
      <c r="K32" s="403" t="s">
        <v>203</v>
      </c>
      <c r="L32" s="402" t="s">
        <v>28</v>
      </c>
      <c r="M32" s="404" t="s">
        <v>28</v>
      </c>
      <c r="N32" s="203"/>
      <c r="O32" s="203"/>
      <c r="P32" s="203"/>
      <c r="Q32" s="203"/>
      <c r="R32" s="577"/>
      <c r="S32" s="405"/>
      <c r="T32" s="405"/>
      <c r="U32" s="406" t="s">
        <v>64</v>
      </c>
      <c r="V32" s="407"/>
      <c r="W32" s="407"/>
      <c r="X32" s="407"/>
      <c r="Y32" s="407"/>
      <c r="Z32" s="408"/>
      <c r="AA32" s="407"/>
      <c r="AB32" s="407"/>
      <c r="AC32" s="407"/>
      <c r="AD32" s="407"/>
      <c r="AE32" s="407"/>
      <c r="AF32" s="407"/>
      <c r="AG32" s="407"/>
      <c r="AH32" s="407"/>
      <c r="AI32" s="407"/>
      <c r="AJ32" s="203"/>
      <c r="AK32" s="203"/>
      <c r="AL32" s="203"/>
      <c r="AM32" s="203"/>
      <c r="AN32" s="203"/>
      <c r="AO32" s="203"/>
      <c r="AP32" s="203"/>
      <c r="AQ32" s="203"/>
      <c r="AR32" s="203"/>
      <c r="AS32" s="203"/>
      <c r="AT32" s="203"/>
      <c r="AU32" s="203"/>
      <c r="AV32" s="203"/>
    </row>
    <row r="33" spans="1:48" ht="12" customHeight="1">
      <c r="A33" s="453"/>
      <c r="B33" s="454">
        <v>-25</v>
      </c>
      <c r="C33" s="455"/>
      <c r="D33" s="456"/>
      <c r="E33" s="457"/>
      <c r="F33" s="285">
        <f t="shared" ref="F33:F74" si="2">IF($F$14="Average",C33,IF($F$14="Warm",D33,E33))</f>
        <v>0</v>
      </c>
      <c r="G33" s="310">
        <f t="shared" ref="G33:G74" si="3">IF($B33&lt;$F$11,0,(16-B33)/(16-$F$11) * $F$12)</f>
        <v>0</v>
      </c>
      <c r="H33" s="311">
        <f t="shared" ref="H33:H42" si="4">IF($B33&gt;=$F$16,FORECAST($B33,$G$6:$G$7,$F$6:$F$7),0)</f>
        <v>0</v>
      </c>
      <c r="I33" s="467">
        <f>IF($B33&gt;=$F$16,FORECAST($B33,$H$6:$H$7,$F$6:$F$7),0)</f>
        <v>0</v>
      </c>
      <c r="J33" s="286">
        <f t="shared" ref="J33:J74" si="5">IF($H33=0,0,IF($H33&lt;$G33,1,$G33/$H33))</f>
        <v>0</v>
      </c>
      <c r="K33" s="284">
        <f t="shared" ref="K33:K74" si="6">I33*(1-$F$13*(1-$J33))</f>
        <v>0</v>
      </c>
      <c r="L33" s="312">
        <f t="shared" ref="L33:L74" si="7">IF(G33&gt;H33,G33-H33,0)</f>
        <v>0</v>
      </c>
      <c r="M33" s="312">
        <f t="shared" ref="M33:M74" si="8">IFERROR((G33-L33)/K33,0) + L33</f>
        <v>0</v>
      </c>
      <c r="N33" s="443">
        <f>(16-$B33)/(16-C$76)</f>
        <v>1.5769230769230769</v>
      </c>
      <c r="O33" s="443">
        <f t="shared" ref="O33:P33" si="9">(16-$B33)/(16-D$76)</f>
        <v>2.9285714285714284</v>
      </c>
      <c r="P33" s="443">
        <f t="shared" si="9"/>
        <v>1.0789473684210527</v>
      </c>
      <c r="Q33" s="203"/>
      <c r="R33" s="578">
        <f t="shared" ref="R33:R73" si="10">IFERROR(FORECAST($V33,$AA$6:$AA$8,$X$6:$X$8),$AA$6)</f>
        <v>0.46944444444444433</v>
      </c>
      <c r="S33" s="283">
        <f>$U33/$U$75</f>
        <v>0</v>
      </c>
      <c r="T33" s="283">
        <f t="shared" ref="T33:T73" si="11">IF(V33&gt;=$X$6,(V33-16)/($X$6-16),0)</f>
        <v>0</v>
      </c>
      <c r="U33" s="285">
        <f>IF($X$14="Average",C33,IF($X$14="Warm",D33,E33))</f>
        <v>0</v>
      </c>
      <c r="V33" s="285">
        <f t="shared" ref="V33:V73" si="12">B33</f>
        <v>-25</v>
      </c>
      <c r="W33" s="286">
        <f t="shared" ref="W33:W73" si="13">IF(V33&lt;$X$11,0,(16-$V33)/(16-$X$11))</f>
        <v>0</v>
      </c>
      <c r="X33" s="284">
        <f t="shared" ref="X33:X73" si="14">$X$12*W33</f>
        <v>0</v>
      </c>
      <c r="Y33" s="284">
        <f t="shared" ref="Y33:Y73" si="15">IF($V33&lt;$X$6,0,IF($X$17="on/off",$Y$6,MAX(FORECAST($T33,$Y$6:$Y$8,$AB$6:$AB$8),$Y$8)))</f>
        <v>0</v>
      </c>
      <c r="Z33" s="300">
        <f t="shared" ref="Z33:Z73" si="16">IF($V33&lt;$X$6,0,IF($V33&gt;=$X$6,IFERROR(FORECAST($T33,$AA$6:$AA$7,$AB$6:$AB$7),$AA$6)*1.006*((-0.005*$V33+1.3)*$V33-24)))</f>
        <v>0</v>
      </c>
      <c r="AA33" s="287">
        <f t="shared" ref="AA33:AA59" si="17">IF($V33&gt;=$X$6,$Y33+$Z33,0)</f>
        <v>0</v>
      </c>
      <c r="AB33" s="287">
        <f t="shared" ref="AB33:AB73" si="18">IF($T33&lt;=0%,0,IF($X$17="on/off",$Z$6,MIN(FORECAST($T33,$Z$6:$Z$8,$AB$6:$AB$8),$Z$8)))</f>
        <v>0</v>
      </c>
      <c r="AC33" s="286">
        <f t="shared" ref="AC33:AC72" si="19">MIN(IF($Y33=0,0,IF($Y33&lt;$X33,1,$X33/$Y33)),1)</f>
        <v>0</v>
      </c>
      <c r="AD33" s="287">
        <f t="shared" ref="AD33:AD72" si="20">IF($T33&gt;0%,(1-($X$13*(1-AC33))),0)</f>
        <v>0</v>
      </c>
      <c r="AE33" s="287">
        <f t="shared" ref="AE33:AE58" si="21">IFERROR((AB33*AD33)*AA33/Y33,0)</f>
        <v>0</v>
      </c>
      <c r="AF33" s="287">
        <f t="shared" ref="AF33:AF67" si="22">IF(X33&gt;AA33,X33-AA33,0)</f>
        <v>0</v>
      </c>
      <c r="AG33" s="287">
        <f t="shared" ref="AG33:AG73" si="23">IFERROR(MAX(AA33/AE33,0),0)</f>
        <v>0</v>
      </c>
      <c r="AH33" s="288">
        <f t="shared" ref="AH33:AH73" si="24">AG33+AF33</f>
        <v>0</v>
      </c>
      <c r="AI33" s="289">
        <f t="shared" ref="AI33:AI73" si="25">IFERROR(X33/AH33,0)</f>
        <v>0</v>
      </c>
      <c r="AJ33" s="203"/>
      <c r="AK33" s="203"/>
      <c r="AL33" s="203"/>
      <c r="AM33" s="203"/>
      <c r="AN33" s="203"/>
      <c r="AO33" s="203"/>
      <c r="AP33" s="203"/>
      <c r="AQ33" s="203"/>
      <c r="AR33" s="203"/>
      <c r="AS33" s="203"/>
      <c r="AT33" s="203"/>
      <c r="AU33" s="203"/>
      <c r="AV33" s="203"/>
    </row>
    <row r="34" spans="1:48" ht="12" customHeight="1">
      <c r="A34" s="453"/>
      <c r="B34" s="458">
        <v>-24</v>
      </c>
      <c r="C34" s="459"/>
      <c r="D34" s="460"/>
      <c r="E34" s="461"/>
      <c r="F34" s="285">
        <f t="shared" si="2"/>
        <v>0</v>
      </c>
      <c r="G34" s="310">
        <f t="shared" si="3"/>
        <v>0</v>
      </c>
      <c r="H34" s="311">
        <f t="shared" si="4"/>
        <v>0</v>
      </c>
      <c r="I34" s="467">
        <f t="shared" ref="I34:I42" si="26">IF($B34&gt;=$F$16,FORECAST($B34,$H$6:$H$7,$F$6:$F$7),0)</f>
        <v>0</v>
      </c>
      <c r="J34" s="286">
        <f t="shared" si="5"/>
        <v>0</v>
      </c>
      <c r="K34" s="284">
        <f t="shared" si="6"/>
        <v>0</v>
      </c>
      <c r="L34" s="312">
        <f t="shared" si="7"/>
        <v>0</v>
      </c>
      <c r="M34" s="312">
        <f t="shared" si="8"/>
        <v>0</v>
      </c>
      <c r="N34" s="443">
        <f t="shared" ref="N34:N74" si="27">(16-$B34)/(16-C$76)</f>
        <v>1.5384615384615385</v>
      </c>
      <c r="O34" s="443">
        <f t="shared" ref="O34:O74" si="28">(16-$B34)/(16-D$76)</f>
        <v>2.8571428571428572</v>
      </c>
      <c r="P34" s="443">
        <f t="shared" ref="P34:P74" si="29">(16-$B34)/(16-E$76)</f>
        <v>1.0526315789473684</v>
      </c>
      <c r="Q34" s="203"/>
      <c r="R34" s="578">
        <f t="shared" si="10"/>
        <v>0.45740740740740726</v>
      </c>
      <c r="S34" s="283">
        <f t="shared" ref="S34:S73" si="30">$U34/$U$75</f>
        <v>0</v>
      </c>
      <c r="T34" s="283">
        <f t="shared" si="11"/>
        <v>0</v>
      </c>
      <c r="U34" s="285">
        <f t="shared" ref="U34:U73" si="31">IF($X$14="Average",C34,IF($X$14="Warm",D34,E34))</f>
        <v>0</v>
      </c>
      <c r="V34" s="285">
        <f t="shared" si="12"/>
        <v>-24</v>
      </c>
      <c r="W34" s="286">
        <f t="shared" si="13"/>
        <v>0</v>
      </c>
      <c r="X34" s="284">
        <f t="shared" si="14"/>
        <v>0</v>
      </c>
      <c r="Y34" s="284">
        <f t="shared" si="15"/>
        <v>0</v>
      </c>
      <c r="Z34" s="300">
        <f t="shared" si="16"/>
        <v>0</v>
      </c>
      <c r="AA34" s="287">
        <f t="shared" si="17"/>
        <v>0</v>
      </c>
      <c r="AB34" s="287">
        <f t="shared" si="18"/>
        <v>0</v>
      </c>
      <c r="AC34" s="286">
        <f t="shared" si="19"/>
        <v>0</v>
      </c>
      <c r="AD34" s="287">
        <f t="shared" si="20"/>
        <v>0</v>
      </c>
      <c r="AE34" s="287">
        <f t="shared" si="21"/>
        <v>0</v>
      </c>
      <c r="AF34" s="287">
        <f t="shared" si="22"/>
        <v>0</v>
      </c>
      <c r="AG34" s="287">
        <f t="shared" si="23"/>
        <v>0</v>
      </c>
      <c r="AH34" s="288">
        <f t="shared" si="24"/>
        <v>0</v>
      </c>
      <c r="AI34" s="289">
        <f t="shared" si="25"/>
        <v>0</v>
      </c>
      <c r="AJ34" s="203"/>
      <c r="AK34" s="203"/>
      <c r="AL34" s="203"/>
      <c r="AM34" s="203"/>
      <c r="AN34" s="203"/>
      <c r="AO34" s="203"/>
      <c r="AP34" s="203"/>
      <c r="AQ34" s="203"/>
      <c r="AR34" s="203"/>
      <c r="AS34" s="203"/>
      <c r="AT34" s="203"/>
      <c r="AU34" s="203"/>
      <c r="AV34" s="203"/>
    </row>
    <row r="35" spans="1:48" ht="12" customHeight="1">
      <c r="A35" s="453"/>
      <c r="B35" s="458">
        <v>-23</v>
      </c>
      <c r="C35" s="459"/>
      <c r="D35" s="460"/>
      <c r="E35" s="461"/>
      <c r="F35" s="285">
        <f t="shared" si="2"/>
        <v>0</v>
      </c>
      <c r="G35" s="310">
        <f t="shared" si="3"/>
        <v>0</v>
      </c>
      <c r="H35" s="311">
        <f t="shared" si="4"/>
        <v>0</v>
      </c>
      <c r="I35" s="467">
        <f t="shared" si="26"/>
        <v>0</v>
      </c>
      <c r="J35" s="286">
        <f>IF($H35=0,0,IF($H35&lt;$G35,1,$G35/$H35))</f>
        <v>0</v>
      </c>
      <c r="K35" s="284">
        <f t="shared" si="6"/>
        <v>0</v>
      </c>
      <c r="L35" s="312">
        <f t="shared" si="7"/>
        <v>0</v>
      </c>
      <c r="M35" s="312">
        <f t="shared" si="8"/>
        <v>0</v>
      </c>
      <c r="N35" s="443">
        <f t="shared" si="27"/>
        <v>1.5</v>
      </c>
      <c r="O35" s="443">
        <f t="shared" si="28"/>
        <v>2.7857142857142856</v>
      </c>
      <c r="P35" s="443">
        <f t="shared" si="29"/>
        <v>1.0263157894736843</v>
      </c>
      <c r="Q35" s="203"/>
      <c r="R35" s="578">
        <f t="shared" si="10"/>
        <v>0.44537037037037025</v>
      </c>
      <c r="S35" s="283">
        <f t="shared" si="30"/>
        <v>0</v>
      </c>
      <c r="T35" s="283">
        <f t="shared" si="11"/>
        <v>0</v>
      </c>
      <c r="U35" s="285">
        <f t="shared" si="31"/>
        <v>0</v>
      </c>
      <c r="V35" s="285">
        <f t="shared" si="12"/>
        <v>-23</v>
      </c>
      <c r="W35" s="286">
        <f t="shared" si="13"/>
        <v>0</v>
      </c>
      <c r="X35" s="284">
        <f t="shared" si="14"/>
        <v>0</v>
      </c>
      <c r="Y35" s="284">
        <f t="shared" si="15"/>
        <v>0</v>
      </c>
      <c r="Z35" s="300">
        <f t="shared" si="16"/>
        <v>0</v>
      </c>
      <c r="AA35" s="287">
        <f t="shared" si="17"/>
        <v>0</v>
      </c>
      <c r="AB35" s="287">
        <f t="shared" si="18"/>
        <v>0</v>
      </c>
      <c r="AC35" s="286">
        <f t="shared" si="19"/>
        <v>0</v>
      </c>
      <c r="AD35" s="287">
        <f t="shared" si="20"/>
        <v>0</v>
      </c>
      <c r="AE35" s="287">
        <f t="shared" si="21"/>
        <v>0</v>
      </c>
      <c r="AF35" s="287">
        <f t="shared" si="22"/>
        <v>0</v>
      </c>
      <c r="AG35" s="287">
        <f t="shared" si="23"/>
        <v>0</v>
      </c>
      <c r="AH35" s="288">
        <f t="shared" si="24"/>
        <v>0</v>
      </c>
      <c r="AI35" s="289">
        <f t="shared" si="25"/>
        <v>0</v>
      </c>
      <c r="AJ35" s="203"/>
      <c r="AK35" s="203"/>
      <c r="AL35" s="203"/>
      <c r="AM35" s="203"/>
      <c r="AN35" s="203"/>
      <c r="AO35" s="203"/>
      <c r="AP35" s="203"/>
      <c r="AQ35" s="203"/>
      <c r="AR35" s="203"/>
      <c r="AS35" s="203"/>
      <c r="AT35" s="203"/>
      <c r="AU35" s="203"/>
      <c r="AV35" s="203"/>
    </row>
    <row r="36" spans="1:48" ht="12" customHeight="1">
      <c r="A36" s="453"/>
      <c r="B36" s="458">
        <v>-22</v>
      </c>
      <c r="C36" s="462"/>
      <c r="D36" s="448"/>
      <c r="E36" s="463">
        <v>1</v>
      </c>
      <c r="F36" s="285">
        <f t="shared" si="2"/>
        <v>0</v>
      </c>
      <c r="G36" s="310">
        <f t="shared" si="3"/>
        <v>0</v>
      </c>
      <c r="H36" s="311">
        <f t="shared" si="4"/>
        <v>0</v>
      </c>
      <c r="I36" s="467">
        <f t="shared" si="26"/>
        <v>0</v>
      </c>
      <c r="J36" s="286">
        <f t="shared" si="5"/>
        <v>0</v>
      </c>
      <c r="K36" s="284">
        <f t="shared" si="6"/>
        <v>0</v>
      </c>
      <c r="L36" s="312">
        <f t="shared" si="7"/>
        <v>0</v>
      </c>
      <c r="M36" s="312">
        <f t="shared" si="8"/>
        <v>0</v>
      </c>
      <c r="N36" s="443">
        <f t="shared" si="27"/>
        <v>1.4615384615384615</v>
      </c>
      <c r="O36" s="443">
        <f t="shared" si="28"/>
        <v>2.7142857142857144</v>
      </c>
      <c r="P36" s="443">
        <f t="shared" si="29"/>
        <v>1</v>
      </c>
      <c r="Q36" s="203"/>
      <c r="R36" s="578">
        <f t="shared" si="10"/>
        <v>0.43333333333333324</v>
      </c>
      <c r="S36" s="283">
        <f t="shared" si="30"/>
        <v>0</v>
      </c>
      <c r="T36" s="283">
        <f t="shared" si="11"/>
        <v>0</v>
      </c>
      <c r="U36" s="285">
        <f t="shared" si="31"/>
        <v>0</v>
      </c>
      <c r="V36" s="285">
        <f t="shared" si="12"/>
        <v>-22</v>
      </c>
      <c r="W36" s="286">
        <f t="shared" si="13"/>
        <v>0</v>
      </c>
      <c r="X36" s="284">
        <f t="shared" si="14"/>
        <v>0</v>
      </c>
      <c r="Y36" s="284">
        <f t="shared" si="15"/>
        <v>0</v>
      </c>
      <c r="Z36" s="300">
        <f t="shared" si="16"/>
        <v>0</v>
      </c>
      <c r="AA36" s="287">
        <f t="shared" si="17"/>
        <v>0</v>
      </c>
      <c r="AB36" s="287">
        <f t="shared" si="18"/>
        <v>0</v>
      </c>
      <c r="AC36" s="286">
        <f t="shared" si="19"/>
        <v>0</v>
      </c>
      <c r="AD36" s="287">
        <f t="shared" si="20"/>
        <v>0</v>
      </c>
      <c r="AE36" s="287">
        <f t="shared" si="21"/>
        <v>0</v>
      </c>
      <c r="AF36" s="287">
        <f t="shared" si="22"/>
        <v>0</v>
      </c>
      <c r="AG36" s="287">
        <f t="shared" si="23"/>
        <v>0</v>
      </c>
      <c r="AH36" s="288">
        <f t="shared" si="24"/>
        <v>0</v>
      </c>
      <c r="AI36" s="289">
        <f t="shared" si="25"/>
        <v>0</v>
      </c>
      <c r="AJ36" s="203"/>
      <c r="AK36" s="203"/>
      <c r="AL36" s="203"/>
      <c r="AM36" s="203"/>
      <c r="AN36" s="203"/>
      <c r="AO36" s="203"/>
      <c r="AP36" s="203"/>
      <c r="AQ36" s="203"/>
      <c r="AR36" s="203"/>
      <c r="AS36" s="203"/>
      <c r="AT36" s="203"/>
      <c r="AU36" s="203"/>
      <c r="AV36" s="203"/>
    </row>
    <row r="37" spans="1:48" ht="12" customHeight="1">
      <c r="A37" s="453"/>
      <c r="B37" s="458">
        <v>-21</v>
      </c>
      <c r="C37" s="462"/>
      <c r="D37" s="448"/>
      <c r="E37" s="463">
        <v>6</v>
      </c>
      <c r="F37" s="285">
        <f t="shared" si="2"/>
        <v>0</v>
      </c>
      <c r="G37" s="310">
        <f t="shared" si="3"/>
        <v>0</v>
      </c>
      <c r="H37" s="311">
        <f t="shared" si="4"/>
        <v>0</v>
      </c>
      <c r="I37" s="467">
        <f t="shared" si="26"/>
        <v>0</v>
      </c>
      <c r="J37" s="286">
        <f t="shared" si="5"/>
        <v>0</v>
      </c>
      <c r="K37" s="284">
        <f t="shared" si="6"/>
        <v>0</v>
      </c>
      <c r="L37" s="312">
        <f t="shared" si="7"/>
        <v>0</v>
      </c>
      <c r="M37" s="312">
        <f t="shared" si="8"/>
        <v>0</v>
      </c>
      <c r="N37" s="443">
        <f t="shared" si="27"/>
        <v>1.4230769230769231</v>
      </c>
      <c r="O37" s="443">
        <f t="shared" si="28"/>
        <v>2.6428571428571428</v>
      </c>
      <c r="P37" s="443">
        <f t="shared" si="29"/>
        <v>0.97368421052631582</v>
      </c>
      <c r="Q37" s="203"/>
      <c r="R37" s="578">
        <f t="shared" si="10"/>
        <v>0.42129629629629617</v>
      </c>
      <c r="S37" s="283">
        <f t="shared" si="30"/>
        <v>0</v>
      </c>
      <c r="T37" s="283">
        <f t="shared" si="11"/>
        <v>0</v>
      </c>
      <c r="U37" s="285">
        <f t="shared" si="31"/>
        <v>0</v>
      </c>
      <c r="V37" s="285">
        <f t="shared" si="12"/>
        <v>-21</v>
      </c>
      <c r="W37" s="286">
        <f t="shared" si="13"/>
        <v>0</v>
      </c>
      <c r="X37" s="284">
        <f t="shared" si="14"/>
        <v>0</v>
      </c>
      <c r="Y37" s="284">
        <f t="shared" si="15"/>
        <v>0</v>
      </c>
      <c r="Z37" s="300">
        <f t="shared" si="16"/>
        <v>0</v>
      </c>
      <c r="AA37" s="287">
        <f t="shared" si="17"/>
        <v>0</v>
      </c>
      <c r="AB37" s="287">
        <f t="shared" si="18"/>
        <v>0</v>
      </c>
      <c r="AC37" s="286">
        <f t="shared" si="19"/>
        <v>0</v>
      </c>
      <c r="AD37" s="287">
        <f t="shared" si="20"/>
        <v>0</v>
      </c>
      <c r="AE37" s="287">
        <f t="shared" si="21"/>
        <v>0</v>
      </c>
      <c r="AF37" s="287">
        <f t="shared" si="22"/>
        <v>0</v>
      </c>
      <c r="AG37" s="287">
        <f t="shared" si="23"/>
        <v>0</v>
      </c>
      <c r="AH37" s="288">
        <f t="shared" si="24"/>
        <v>0</v>
      </c>
      <c r="AI37" s="289">
        <f t="shared" si="25"/>
        <v>0</v>
      </c>
      <c r="AJ37" s="203"/>
      <c r="AK37" s="203"/>
      <c r="AL37" s="203"/>
      <c r="AM37" s="203"/>
      <c r="AN37" s="203"/>
      <c r="AO37" s="203"/>
      <c r="AP37" s="203"/>
      <c r="AQ37" s="203"/>
      <c r="AR37" s="203"/>
      <c r="AS37" s="203"/>
      <c r="AT37" s="203"/>
      <c r="AU37" s="203"/>
      <c r="AV37" s="203"/>
    </row>
    <row r="38" spans="1:48" ht="12" customHeight="1">
      <c r="A38" s="453"/>
      <c r="B38" s="458">
        <v>-20</v>
      </c>
      <c r="C38" s="462"/>
      <c r="D38" s="448"/>
      <c r="E38" s="463">
        <v>13</v>
      </c>
      <c r="F38" s="285">
        <f t="shared" si="2"/>
        <v>0</v>
      </c>
      <c r="G38" s="310">
        <f t="shared" si="3"/>
        <v>0</v>
      </c>
      <c r="H38" s="311">
        <f t="shared" si="4"/>
        <v>0</v>
      </c>
      <c r="I38" s="467">
        <f t="shared" si="26"/>
        <v>0</v>
      </c>
      <c r="J38" s="286">
        <f t="shared" si="5"/>
        <v>0</v>
      </c>
      <c r="K38" s="284">
        <f t="shared" si="6"/>
        <v>0</v>
      </c>
      <c r="L38" s="312">
        <f t="shared" si="7"/>
        <v>0</v>
      </c>
      <c r="M38" s="312">
        <f t="shared" si="8"/>
        <v>0</v>
      </c>
      <c r="N38" s="443">
        <f t="shared" si="27"/>
        <v>1.3846153846153846</v>
      </c>
      <c r="O38" s="443">
        <f t="shared" si="28"/>
        <v>2.5714285714285716</v>
      </c>
      <c r="P38" s="443">
        <f t="shared" si="29"/>
        <v>0.94736842105263153</v>
      </c>
      <c r="Q38" s="203"/>
      <c r="R38" s="578">
        <f t="shared" si="10"/>
        <v>0.40925925925925916</v>
      </c>
      <c r="S38" s="283">
        <f t="shared" si="30"/>
        <v>0</v>
      </c>
      <c r="T38" s="283">
        <f t="shared" si="11"/>
        <v>0</v>
      </c>
      <c r="U38" s="285">
        <f t="shared" si="31"/>
        <v>0</v>
      </c>
      <c r="V38" s="285">
        <f t="shared" si="12"/>
        <v>-20</v>
      </c>
      <c r="W38" s="286">
        <f t="shared" si="13"/>
        <v>0</v>
      </c>
      <c r="X38" s="284">
        <f t="shared" si="14"/>
        <v>0</v>
      </c>
      <c r="Y38" s="284">
        <f t="shared" si="15"/>
        <v>0</v>
      </c>
      <c r="Z38" s="300">
        <f>IF($V38&lt;$X$6,0,IF($V38&gt;=$X$6,IFERROR(FORECAST($T38,$AA$6:$AA$7,$AB$6:$AB$7),$AA$6)*1.006*((-0.005*$V38+1.3)*$V38-24)))</f>
        <v>0</v>
      </c>
      <c r="AA38" s="287">
        <f t="shared" si="17"/>
        <v>0</v>
      </c>
      <c r="AB38" s="287">
        <f t="shared" si="18"/>
        <v>0</v>
      </c>
      <c r="AC38" s="286">
        <f t="shared" si="19"/>
        <v>0</v>
      </c>
      <c r="AD38" s="287">
        <f t="shared" si="20"/>
        <v>0</v>
      </c>
      <c r="AE38" s="287">
        <f t="shared" si="21"/>
        <v>0</v>
      </c>
      <c r="AF38" s="287">
        <f t="shared" si="22"/>
        <v>0</v>
      </c>
      <c r="AG38" s="287">
        <f t="shared" si="23"/>
        <v>0</v>
      </c>
      <c r="AH38" s="288">
        <f t="shared" si="24"/>
        <v>0</v>
      </c>
      <c r="AI38" s="289">
        <f t="shared" si="25"/>
        <v>0</v>
      </c>
      <c r="AJ38" s="203"/>
      <c r="AK38" s="203"/>
      <c r="AL38" s="203"/>
      <c r="AM38" s="203"/>
      <c r="AN38" s="203"/>
      <c r="AO38" s="203"/>
      <c r="AP38" s="203"/>
      <c r="AQ38" s="203"/>
      <c r="AR38" s="203"/>
      <c r="AS38" s="203"/>
      <c r="AT38" s="203"/>
      <c r="AU38" s="203"/>
      <c r="AV38" s="203"/>
    </row>
    <row r="39" spans="1:48" ht="12" customHeight="1">
      <c r="A39" s="453"/>
      <c r="B39" s="458">
        <v>-19</v>
      </c>
      <c r="C39" s="462"/>
      <c r="D39" s="448"/>
      <c r="E39" s="463">
        <v>17</v>
      </c>
      <c r="F39" s="285">
        <f t="shared" si="2"/>
        <v>0</v>
      </c>
      <c r="G39" s="310">
        <f t="shared" si="3"/>
        <v>0</v>
      </c>
      <c r="H39" s="311">
        <f t="shared" si="4"/>
        <v>0</v>
      </c>
      <c r="I39" s="467">
        <f t="shared" si="26"/>
        <v>0</v>
      </c>
      <c r="J39" s="286">
        <f t="shared" si="5"/>
        <v>0</v>
      </c>
      <c r="K39" s="284">
        <f t="shared" si="6"/>
        <v>0</v>
      </c>
      <c r="L39" s="312">
        <f t="shared" si="7"/>
        <v>0</v>
      </c>
      <c r="M39" s="312">
        <f t="shared" si="8"/>
        <v>0</v>
      </c>
      <c r="N39" s="443">
        <f t="shared" si="27"/>
        <v>1.3461538461538463</v>
      </c>
      <c r="O39" s="443">
        <f t="shared" si="28"/>
        <v>2.5</v>
      </c>
      <c r="P39" s="443">
        <f t="shared" si="29"/>
        <v>0.92105263157894735</v>
      </c>
      <c r="Q39" s="203"/>
      <c r="R39" s="578">
        <f t="shared" si="10"/>
        <v>0.39722222222222214</v>
      </c>
      <c r="S39" s="283">
        <f t="shared" si="30"/>
        <v>0</v>
      </c>
      <c r="T39" s="283">
        <f t="shared" si="11"/>
        <v>0</v>
      </c>
      <c r="U39" s="285">
        <f t="shared" si="31"/>
        <v>0</v>
      </c>
      <c r="V39" s="285">
        <f t="shared" si="12"/>
        <v>-19</v>
      </c>
      <c r="W39" s="286">
        <f t="shared" si="13"/>
        <v>0</v>
      </c>
      <c r="X39" s="284">
        <f t="shared" si="14"/>
        <v>0</v>
      </c>
      <c r="Y39" s="284">
        <f t="shared" si="15"/>
        <v>0</v>
      </c>
      <c r="Z39" s="300">
        <f t="shared" si="16"/>
        <v>0</v>
      </c>
      <c r="AA39" s="287">
        <f t="shared" si="17"/>
        <v>0</v>
      </c>
      <c r="AB39" s="287">
        <f t="shared" si="18"/>
        <v>0</v>
      </c>
      <c r="AC39" s="286">
        <f t="shared" si="19"/>
        <v>0</v>
      </c>
      <c r="AD39" s="287">
        <f t="shared" si="20"/>
        <v>0</v>
      </c>
      <c r="AE39" s="287">
        <f t="shared" si="21"/>
        <v>0</v>
      </c>
      <c r="AF39" s="287">
        <f t="shared" si="22"/>
        <v>0</v>
      </c>
      <c r="AG39" s="287">
        <f t="shared" si="23"/>
        <v>0</v>
      </c>
      <c r="AH39" s="288">
        <f t="shared" si="24"/>
        <v>0</v>
      </c>
      <c r="AI39" s="289">
        <f t="shared" si="25"/>
        <v>0</v>
      </c>
      <c r="AJ39" s="203"/>
      <c r="AK39" s="203"/>
      <c r="AL39" s="203"/>
      <c r="AM39" s="203"/>
      <c r="AN39" s="203"/>
      <c r="AO39" s="203"/>
      <c r="AP39" s="203"/>
      <c r="AQ39" s="203"/>
      <c r="AR39" s="203"/>
      <c r="AS39" s="203"/>
      <c r="AT39" s="203"/>
      <c r="AU39" s="203"/>
      <c r="AV39" s="203"/>
    </row>
    <row r="40" spans="1:48" ht="12" customHeight="1">
      <c r="A40" s="453"/>
      <c r="B40" s="458">
        <v>-18</v>
      </c>
      <c r="C40" s="462"/>
      <c r="D40" s="448"/>
      <c r="E40" s="463">
        <v>19</v>
      </c>
      <c r="F40" s="285">
        <f t="shared" si="2"/>
        <v>0</v>
      </c>
      <c r="G40" s="310">
        <f t="shared" si="3"/>
        <v>0</v>
      </c>
      <c r="H40" s="311">
        <f t="shared" si="4"/>
        <v>0</v>
      </c>
      <c r="I40" s="467">
        <f t="shared" si="26"/>
        <v>0</v>
      </c>
      <c r="J40" s="286">
        <f t="shared" si="5"/>
        <v>0</v>
      </c>
      <c r="K40" s="284">
        <f t="shared" si="6"/>
        <v>0</v>
      </c>
      <c r="L40" s="312">
        <f t="shared" si="7"/>
        <v>0</v>
      </c>
      <c r="M40" s="312">
        <f t="shared" si="8"/>
        <v>0</v>
      </c>
      <c r="N40" s="443">
        <f t="shared" si="27"/>
        <v>1.3076923076923077</v>
      </c>
      <c r="O40" s="443">
        <f t="shared" si="28"/>
        <v>2.4285714285714284</v>
      </c>
      <c r="P40" s="443">
        <f t="shared" si="29"/>
        <v>0.89473684210526316</v>
      </c>
      <c r="Q40" s="203"/>
      <c r="R40" s="578">
        <f t="shared" si="10"/>
        <v>0.38518518518518507</v>
      </c>
      <c r="S40" s="283">
        <f t="shared" si="30"/>
        <v>0</v>
      </c>
      <c r="T40" s="283">
        <f t="shared" si="11"/>
        <v>0</v>
      </c>
      <c r="U40" s="285">
        <f t="shared" si="31"/>
        <v>0</v>
      </c>
      <c r="V40" s="285">
        <f t="shared" si="12"/>
        <v>-18</v>
      </c>
      <c r="W40" s="286">
        <f t="shared" si="13"/>
        <v>0</v>
      </c>
      <c r="X40" s="284">
        <f t="shared" si="14"/>
        <v>0</v>
      </c>
      <c r="Y40" s="284">
        <f t="shared" si="15"/>
        <v>0</v>
      </c>
      <c r="Z40" s="300">
        <f t="shared" si="16"/>
        <v>0</v>
      </c>
      <c r="AA40" s="287">
        <f t="shared" si="17"/>
        <v>0</v>
      </c>
      <c r="AB40" s="287">
        <f t="shared" si="18"/>
        <v>0</v>
      </c>
      <c r="AC40" s="286">
        <f t="shared" si="19"/>
        <v>0</v>
      </c>
      <c r="AD40" s="287">
        <f t="shared" si="20"/>
        <v>0</v>
      </c>
      <c r="AE40" s="287">
        <f t="shared" si="21"/>
        <v>0</v>
      </c>
      <c r="AF40" s="287">
        <f t="shared" si="22"/>
        <v>0</v>
      </c>
      <c r="AG40" s="287">
        <f t="shared" si="23"/>
        <v>0</v>
      </c>
      <c r="AH40" s="288">
        <f t="shared" si="24"/>
        <v>0</v>
      </c>
      <c r="AI40" s="289">
        <f t="shared" si="25"/>
        <v>0</v>
      </c>
      <c r="AJ40" s="203"/>
      <c r="AK40" s="203"/>
      <c r="AL40" s="203"/>
      <c r="AM40" s="203"/>
      <c r="AN40" s="203"/>
      <c r="AO40" s="203"/>
      <c r="AP40" s="203"/>
      <c r="AQ40" s="203"/>
      <c r="AR40" s="203"/>
      <c r="AS40" s="203"/>
      <c r="AT40" s="203"/>
      <c r="AU40" s="203"/>
      <c r="AV40" s="203"/>
    </row>
    <row r="41" spans="1:48" ht="12" customHeight="1">
      <c r="A41" s="453"/>
      <c r="B41" s="458">
        <v>-17</v>
      </c>
      <c r="C41" s="462"/>
      <c r="D41" s="448"/>
      <c r="E41" s="463">
        <v>26</v>
      </c>
      <c r="F41" s="285">
        <f t="shared" si="2"/>
        <v>0</v>
      </c>
      <c r="G41" s="310">
        <f t="shared" si="3"/>
        <v>0</v>
      </c>
      <c r="H41" s="311">
        <f t="shared" si="4"/>
        <v>0</v>
      </c>
      <c r="I41" s="467">
        <f t="shared" si="26"/>
        <v>0</v>
      </c>
      <c r="J41" s="286">
        <f t="shared" si="5"/>
        <v>0</v>
      </c>
      <c r="K41" s="284">
        <f t="shared" si="6"/>
        <v>0</v>
      </c>
      <c r="L41" s="312">
        <f t="shared" si="7"/>
        <v>0</v>
      </c>
      <c r="M41" s="312">
        <f t="shared" si="8"/>
        <v>0</v>
      </c>
      <c r="N41" s="443">
        <f t="shared" si="27"/>
        <v>1.2692307692307692</v>
      </c>
      <c r="O41" s="443">
        <f t="shared" si="28"/>
        <v>2.3571428571428572</v>
      </c>
      <c r="P41" s="443">
        <f t="shared" si="29"/>
        <v>0.86842105263157898</v>
      </c>
      <c r="Q41" s="203"/>
      <c r="R41" s="578">
        <f t="shared" si="10"/>
        <v>0.37314814814814806</v>
      </c>
      <c r="S41" s="283">
        <f t="shared" si="30"/>
        <v>0</v>
      </c>
      <c r="T41" s="283">
        <f t="shared" si="11"/>
        <v>0</v>
      </c>
      <c r="U41" s="285">
        <f t="shared" si="31"/>
        <v>0</v>
      </c>
      <c r="V41" s="285">
        <f t="shared" si="12"/>
        <v>-17</v>
      </c>
      <c r="W41" s="286">
        <f t="shared" si="13"/>
        <v>0</v>
      </c>
      <c r="X41" s="284">
        <f t="shared" si="14"/>
        <v>0</v>
      </c>
      <c r="Y41" s="284">
        <f t="shared" si="15"/>
        <v>0</v>
      </c>
      <c r="Z41" s="300">
        <f t="shared" si="16"/>
        <v>0</v>
      </c>
      <c r="AA41" s="287">
        <f t="shared" si="17"/>
        <v>0</v>
      </c>
      <c r="AB41" s="287">
        <f t="shared" si="18"/>
        <v>0</v>
      </c>
      <c r="AC41" s="286">
        <f t="shared" si="19"/>
        <v>0</v>
      </c>
      <c r="AD41" s="287">
        <f t="shared" si="20"/>
        <v>0</v>
      </c>
      <c r="AE41" s="287">
        <f t="shared" si="21"/>
        <v>0</v>
      </c>
      <c r="AF41" s="287">
        <f t="shared" si="22"/>
        <v>0</v>
      </c>
      <c r="AG41" s="287">
        <f t="shared" si="23"/>
        <v>0</v>
      </c>
      <c r="AH41" s="288">
        <f t="shared" si="24"/>
        <v>0</v>
      </c>
      <c r="AI41" s="289">
        <f t="shared" si="25"/>
        <v>0</v>
      </c>
      <c r="AJ41" s="203"/>
      <c r="AK41" s="203"/>
      <c r="AL41" s="203"/>
      <c r="AM41" s="203"/>
      <c r="AN41" s="203"/>
      <c r="AO41" s="203"/>
      <c r="AP41" s="203"/>
      <c r="AQ41" s="203"/>
      <c r="AR41" s="203"/>
      <c r="AS41" s="203"/>
      <c r="AT41" s="203"/>
      <c r="AU41" s="203"/>
      <c r="AV41" s="203"/>
    </row>
    <row r="42" spans="1:48" ht="12" customHeight="1">
      <c r="A42" s="453"/>
      <c r="B42" s="458">
        <v>-16</v>
      </c>
      <c r="C42" s="462"/>
      <c r="D42" s="448"/>
      <c r="E42" s="463">
        <v>39</v>
      </c>
      <c r="F42" s="285">
        <f t="shared" si="2"/>
        <v>0</v>
      </c>
      <c r="G42" s="310">
        <f t="shared" si="3"/>
        <v>0</v>
      </c>
      <c r="H42" s="311">
        <f t="shared" si="4"/>
        <v>0</v>
      </c>
      <c r="I42" s="467">
        <f t="shared" si="26"/>
        <v>0</v>
      </c>
      <c r="J42" s="286">
        <f t="shared" si="5"/>
        <v>0</v>
      </c>
      <c r="K42" s="284">
        <f t="shared" si="6"/>
        <v>0</v>
      </c>
      <c r="L42" s="312">
        <f t="shared" si="7"/>
        <v>0</v>
      </c>
      <c r="M42" s="312">
        <f t="shared" si="8"/>
        <v>0</v>
      </c>
      <c r="N42" s="443">
        <f t="shared" si="27"/>
        <v>1.2307692307692308</v>
      </c>
      <c r="O42" s="443">
        <f t="shared" si="28"/>
        <v>2.2857142857142856</v>
      </c>
      <c r="P42" s="443">
        <f t="shared" si="29"/>
        <v>0.84210526315789469</v>
      </c>
      <c r="Q42" s="203"/>
      <c r="R42" s="578">
        <f t="shared" si="10"/>
        <v>0.36111111111111105</v>
      </c>
      <c r="S42" s="283">
        <f t="shared" si="30"/>
        <v>0</v>
      </c>
      <c r="T42" s="283">
        <f t="shared" si="11"/>
        <v>0</v>
      </c>
      <c r="U42" s="285">
        <f t="shared" si="31"/>
        <v>0</v>
      </c>
      <c r="V42" s="285">
        <f t="shared" si="12"/>
        <v>-16</v>
      </c>
      <c r="W42" s="286">
        <f t="shared" si="13"/>
        <v>0</v>
      </c>
      <c r="X42" s="284">
        <f t="shared" si="14"/>
        <v>0</v>
      </c>
      <c r="Y42" s="284">
        <f t="shared" si="15"/>
        <v>0</v>
      </c>
      <c r="Z42" s="300">
        <f t="shared" si="16"/>
        <v>0</v>
      </c>
      <c r="AA42" s="287">
        <f t="shared" si="17"/>
        <v>0</v>
      </c>
      <c r="AB42" s="287">
        <f t="shared" si="18"/>
        <v>0</v>
      </c>
      <c r="AC42" s="286">
        <f t="shared" si="19"/>
        <v>0</v>
      </c>
      <c r="AD42" s="287">
        <f t="shared" si="20"/>
        <v>0</v>
      </c>
      <c r="AE42" s="287">
        <f t="shared" si="21"/>
        <v>0</v>
      </c>
      <c r="AF42" s="287">
        <f t="shared" si="22"/>
        <v>0</v>
      </c>
      <c r="AG42" s="287">
        <f t="shared" si="23"/>
        <v>0</v>
      </c>
      <c r="AH42" s="288">
        <f t="shared" si="24"/>
        <v>0</v>
      </c>
      <c r="AI42" s="289">
        <f t="shared" si="25"/>
        <v>0</v>
      </c>
      <c r="AJ42" s="203"/>
      <c r="AK42" s="203"/>
      <c r="AL42" s="203"/>
      <c r="AM42" s="203"/>
      <c r="AN42" s="203"/>
      <c r="AO42" s="203"/>
      <c r="AP42" s="203"/>
      <c r="AQ42" s="203"/>
      <c r="AR42" s="203"/>
      <c r="AS42" s="203"/>
      <c r="AT42" s="203"/>
      <c r="AU42" s="203"/>
      <c r="AV42" s="203"/>
    </row>
    <row r="43" spans="1:48" ht="12" customHeight="1">
      <c r="A43" s="453" t="s">
        <v>7</v>
      </c>
      <c r="B43" s="458">
        <v>-15</v>
      </c>
      <c r="C43" s="462"/>
      <c r="D43" s="448"/>
      <c r="E43" s="463">
        <v>41</v>
      </c>
      <c r="F43" s="285">
        <f t="shared" si="2"/>
        <v>0</v>
      </c>
      <c r="G43" s="310">
        <f t="shared" si="3"/>
        <v>0</v>
      </c>
      <c r="H43" s="313">
        <f>IF($B43&gt;=$F$16,_xlfn.XLOOKUP($B43,$F$6:$F$10,$G$6:$G$10,,0,1),0)</f>
        <v>0</v>
      </c>
      <c r="I43" s="314">
        <f>IF($B43&gt;=$F$16,_xlfn.XLOOKUP($B43,$F$6:$F$10,$H$6:$H$10,,0,1),0)</f>
        <v>0</v>
      </c>
      <c r="J43" s="286">
        <f t="shared" si="5"/>
        <v>0</v>
      </c>
      <c r="K43" s="284">
        <f t="shared" si="6"/>
        <v>0</v>
      </c>
      <c r="L43" s="312">
        <f t="shared" si="7"/>
        <v>0</v>
      </c>
      <c r="M43" s="312">
        <f t="shared" si="8"/>
        <v>0</v>
      </c>
      <c r="N43" s="443">
        <f t="shared" si="27"/>
        <v>1.1923076923076923</v>
      </c>
      <c r="O43" s="443">
        <f t="shared" si="28"/>
        <v>2.2142857142857144</v>
      </c>
      <c r="P43" s="443">
        <f t="shared" si="29"/>
        <v>0.81578947368421051</v>
      </c>
      <c r="Q43" s="203"/>
      <c r="R43" s="578">
        <f t="shared" si="10"/>
        <v>0.34907407407407398</v>
      </c>
      <c r="S43" s="283">
        <f t="shared" si="30"/>
        <v>0</v>
      </c>
      <c r="T43" s="283">
        <f>IF(V43&gt;=$X$6,(V43-16)/($X$6-16),0)</f>
        <v>0</v>
      </c>
      <c r="U43" s="285">
        <f t="shared" si="31"/>
        <v>0</v>
      </c>
      <c r="V43" s="285">
        <f t="shared" si="12"/>
        <v>-15</v>
      </c>
      <c r="W43" s="286">
        <f t="shared" si="13"/>
        <v>0</v>
      </c>
      <c r="X43" s="284">
        <f t="shared" si="14"/>
        <v>0</v>
      </c>
      <c r="Y43" s="284">
        <f>IF($V43&lt;$X$6,0,IF($X$17="on/off",$Y$6,MAX(FORECAST($T43,$Y$6:$Y$8,$AB$6:$AB$8),$Y$8)))</f>
        <v>0</v>
      </c>
      <c r="Z43" s="300">
        <f>IF($V43&lt;$X$6,0,IF($V43&gt;=$X$6,IFERROR(FORECAST($T43,$AA$6:$AA$7,$AB$6:$AB$7),$AA$6)*1.006*((-0.005*$V43+1.3)*$V43-24)))</f>
        <v>0</v>
      </c>
      <c r="AA43" s="287">
        <f t="shared" si="17"/>
        <v>0</v>
      </c>
      <c r="AB43" s="287">
        <f t="shared" si="18"/>
        <v>0</v>
      </c>
      <c r="AC43" s="286">
        <f t="shared" si="19"/>
        <v>0</v>
      </c>
      <c r="AD43" s="287">
        <f t="shared" si="20"/>
        <v>0</v>
      </c>
      <c r="AE43" s="287">
        <f t="shared" si="21"/>
        <v>0</v>
      </c>
      <c r="AF43" s="287">
        <f t="shared" si="22"/>
        <v>0</v>
      </c>
      <c r="AG43" s="287">
        <f t="shared" si="23"/>
        <v>0</v>
      </c>
      <c r="AH43" s="288">
        <f t="shared" si="24"/>
        <v>0</v>
      </c>
      <c r="AI43" s="289">
        <f t="shared" si="25"/>
        <v>0</v>
      </c>
      <c r="AJ43" s="203"/>
      <c r="AK43" s="203"/>
      <c r="AL43" s="203"/>
      <c r="AM43" s="203"/>
      <c r="AN43" s="203"/>
      <c r="AO43" s="203"/>
      <c r="AP43" s="203"/>
      <c r="AQ43" s="203"/>
      <c r="AR43" s="203"/>
      <c r="AS43" s="203"/>
      <c r="AT43" s="203"/>
      <c r="AU43" s="203"/>
      <c r="AV43" s="203"/>
    </row>
    <row r="44" spans="1:48" ht="12" customHeight="1">
      <c r="A44" s="453"/>
      <c r="B44" s="458">
        <v>-14</v>
      </c>
      <c r="C44" s="462"/>
      <c r="D44" s="448"/>
      <c r="E44" s="463">
        <v>35</v>
      </c>
      <c r="F44" s="285">
        <f t="shared" si="2"/>
        <v>0</v>
      </c>
      <c r="G44" s="310">
        <f t="shared" si="3"/>
        <v>0</v>
      </c>
      <c r="H44" s="311">
        <f t="shared" ref="H44:H50" si="32">IF($B44&gt;=$F$16,FORECAST($B44,$G$6:$G$7,$F$6:$F$7),0)</f>
        <v>0</v>
      </c>
      <c r="I44" s="467">
        <f>IF($B44&gt;=$F$16,FORECAST($B44,$H$6:$H$7,$F$6:$F$7),0)</f>
        <v>0</v>
      </c>
      <c r="J44" s="286">
        <f t="shared" si="5"/>
        <v>0</v>
      </c>
      <c r="K44" s="284">
        <f t="shared" si="6"/>
        <v>0</v>
      </c>
      <c r="L44" s="312">
        <f t="shared" si="7"/>
        <v>0</v>
      </c>
      <c r="M44" s="312">
        <f t="shared" si="8"/>
        <v>0</v>
      </c>
      <c r="N44" s="443">
        <f t="shared" si="27"/>
        <v>1.1538461538461537</v>
      </c>
      <c r="O44" s="443">
        <f t="shared" si="28"/>
        <v>2.1428571428571428</v>
      </c>
      <c r="P44" s="443">
        <f t="shared" si="29"/>
        <v>0.78947368421052633</v>
      </c>
      <c r="Q44" s="203"/>
      <c r="R44" s="578">
        <f t="shared" si="10"/>
        <v>0.33703703703703697</v>
      </c>
      <c r="S44" s="283">
        <f t="shared" si="30"/>
        <v>0</v>
      </c>
      <c r="T44" s="283">
        <f t="shared" si="11"/>
        <v>0</v>
      </c>
      <c r="U44" s="285">
        <f t="shared" si="31"/>
        <v>0</v>
      </c>
      <c r="V44" s="285">
        <f t="shared" si="12"/>
        <v>-14</v>
      </c>
      <c r="W44" s="286">
        <f t="shared" si="13"/>
        <v>0</v>
      </c>
      <c r="X44" s="284">
        <f t="shared" si="14"/>
        <v>0</v>
      </c>
      <c r="Y44" s="284">
        <f t="shared" si="15"/>
        <v>0</v>
      </c>
      <c r="Z44" s="300">
        <f t="shared" si="16"/>
        <v>0</v>
      </c>
      <c r="AA44" s="287">
        <f t="shared" si="17"/>
        <v>0</v>
      </c>
      <c r="AB44" s="287">
        <f t="shared" si="18"/>
        <v>0</v>
      </c>
      <c r="AC44" s="286">
        <f t="shared" si="19"/>
        <v>0</v>
      </c>
      <c r="AD44" s="287">
        <f t="shared" si="20"/>
        <v>0</v>
      </c>
      <c r="AE44" s="287">
        <f t="shared" si="21"/>
        <v>0</v>
      </c>
      <c r="AF44" s="287">
        <f t="shared" si="22"/>
        <v>0</v>
      </c>
      <c r="AG44" s="287">
        <f t="shared" si="23"/>
        <v>0</v>
      </c>
      <c r="AH44" s="288">
        <f t="shared" si="24"/>
        <v>0</v>
      </c>
      <c r="AI44" s="289">
        <f t="shared" si="25"/>
        <v>0</v>
      </c>
      <c r="AJ44" s="203"/>
      <c r="AK44" s="203"/>
      <c r="AL44" s="203"/>
      <c r="AM44" s="203"/>
      <c r="AN44" s="203"/>
      <c r="AO44" s="203"/>
      <c r="AP44" s="203"/>
      <c r="AQ44" s="203"/>
      <c r="AR44" s="203"/>
      <c r="AS44" s="203"/>
      <c r="AT44" s="203"/>
      <c r="AU44" s="203"/>
      <c r="AV44" s="203"/>
    </row>
    <row r="45" spans="1:48" ht="12" customHeight="1">
      <c r="A45" s="453"/>
      <c r="B45" s="458">
        <v>-13</v>
      </c>
      <c r="C45" s="462"/>
      <c r="D45" s="448"/>
      <c r="E45" s="463">
        <v>52</v>
      </c>
      <c r="F45" s="285">
        <f t="shared" si="2"/>
        <v>0</v>
      </c>
      <c r="G45" s="310">
        <f t="shared" si="3"/>
        <v>0</v>
      </c>
      <c r="H45" s="311">
        <f t="shared" si="32"/>
        <v>0</v>
      </c>
      <c r="I45" s="467">
        <f t="shared" ref="I45:I50" si="33">IF($B45&gt;=$F$16,FORECAST($B45,$H$6:$H$7,$F$6:$F$7),0)</f>
        <v>0</v>
      </c>
      <c r="J45" s="286">
        <f t="shared" si="5"/>
        <v>0</v>
      </c>
      <c r="K45" s="284">
        <f t="shared" si="6"/>
        <v>0</v>
      </c>
      <c r="L45" s="312">
        <f t="shared" si="7"/>
        <v>0</v>
      </c>
      <c r="M45" s="312">
        <f t="shared" si="8"/>
        <v>0</v>
      </c>
      <c r="N45" s="443">
        <f t="shared" si="27"/>
        <v>1.1153846153846154</v>
      </c>
      <c r="O45" s="443">
        <f t="shared" si="28"/>
        <v>2.0714285714285716</v>
      </c>
      <c r="P45" s="443">
        <f t="shared" si="29"/>
        <v>0.76315789473684215</v>
      </c>
      <c r="Q45" s="203"/>
      <c r="R45" s="578">
        <f t="shared" si="10"/>
        <v>0.32499999999999996</v>
      </c>
      <c r="S45" s="283">
        <f t="shared" si="30"/>
        <v>0</v>
      </c>
      <c r="T45" s="283">
        <f t="shared" si="11"/>
        <v>0</v>
      </c>
      <c r="U45" s="285">
        <f t="shared" si="31"/>
        <v>0</v>
      </c>
      <c r="V45" s="285">
        <f t="shared" si="12"/>
        <v>-13</v>
      </c>
      <c r="W45" s="286">
        <f t="shared" si="13"/>
        <v>0</v>
      </c>
      <c r="X45" s="284">
        <f t="shared" si="14"/>
        <v>0</v>
      </c>
      <c r="Y45" s="284">
        <f t="shared" si="15"/>
        <v>0</v>
      </c>
      <c r="Z45" s="300">
        <f t="shared" si="16"/>
        <v>0</v>
      </c>
      <c r="AA45" s="287">
        <f t="shared" si="17"/>
        <v>0</v>
      </c>
      <c r="AB45" s="287">
        <f t="shared" si="18"/>
        <v>0</v>
      </c>
      <c r="AC45" s="286">
        <f t="shared" si="19"/>
        <v>0</v>
      </c>
      <c r="AD45" s="287">
        <f t="shared" si="20"/>
        <v>0</v>
      </c>
      <c r="AE45" s="287">
        <f t="shared" si="21"/>
        <v>0</v>
      </c>
      <c r="AF45" s="287">
        <f t="shared" si="22"/>
        <v>0</v>
      </c>
      <c r="AG45" s="287">
        <f t="shared" si="23"/>
        <v>0</v>
      </c>
      <c r="AH45" s="288">
        <f t="shared" si="24"/>
        <v>0</v>
      </c>
      <c r="AI45" s="289">
        <f t="shared" si="25"/>
        <v>0</v>
      </c>
      <c r="AJ45" s="203"/>
      <c r="AK45" s="203"/>
      <c r="AL45" s="203"/>
      <c r="AM45" s="203"/>
      <c r="AN45" s="203"/>
      <c r="AO45" s="203"/>
      <c r="AP45" s="203"/>
      <c r="AQ45" s="203"/>
      <c r="AR45" s="203"/>
      <c r="AS45" s="203"/>
      <c r="AT45" s="203"/>
      <c r="AU45" s="203"/>
      <c r="AV45" s="203"/>
    </row>
    <row r="46" spans="1:48" ht="12" customHeight="1">
      <c r="A46" s="453"/>
      <c r="B46" s="458">
        <v>-12</v>
      </c>
      <c r="C46" s="462"/>
      <c r="D46" s="448"/>
      <c r="E46" s="463">
        <v>37</v>
      </c>
      <c r="F46" s="285">
        <f t="shared" si="2"/>
        <v>0</v>
      </c>
      <c r="G46" s="310">
        <f t="shared" si="3"/>
        <v>0</v>
      </c>
      <c r="H46" s="311">
        <f t="shared" si="32"/>
        <v>0</v>
      </c>
      <c r="I46" s="467">
        <f t="shared" si="33"/>
        <v>0</v>
      </c>
      <c r="J46" s="286">
        <f t="shared" si="5"/>
        <v>0</v>
      </c>
      <c r="K46" s="284">
        <f t="shared" si="6"/>
        <v>0</v>
      </c>
      <c r="L46" s="312">
        <f t="shared" si="7"/>
        <v>0</v>
      </c>
      <c r="M46" s="312">
        <f t="shared" si="8"/>
        <v>0</v>
      </c>
      <c r="N46" s="443">
        <f t="shared" si="27"/>
        <v>1.0769230769230769</v>
      </c>
      <c r="O46" s="443">
        <f t="shared" si="28"/>
        <v>2</v>
      </c>
      <c r="P46" s="443">
        <f t="shared" si="29"/>
        <v>0.73684210526315785</v>
      </c>
      <c r="Q46" s="203"/>
      <c r="R46" s="578">
        <f t="shared" si="10"/>
        <v>0.31296296296296289</v>
      </c>
      <c r="S46" s="283">
        <f t="shared" si="30"/>
        <v>0</v>
      </c>
      <c r="T46" s="283">
        <f t="shared" si="11"/>
        <v>0</v>
      </c>
      <c r="U46" s="285">
        <f t="shared" si="31"/>
        <v>0</v>
      </c>
      <c r="V46" s="285">
        <f t="shared" si="12"/>
        <v>-12</v>
      </c>
      <c r="W46" s="286">
        <f t="shared" si="13"/>
        <v>0</v>
      </c>
      <c r="X46" s="284">
        <f t="shared" si="14"/>
        <v>0</v>
      </c>
      <c r="Y46" s="284">
        <f t="shared" si="15"/>
        <v>0</v>
      </c>
      <c r="Z46" s="300">
        <f t="shared" si="16"/>
        <v>0</v>
      </c>
      <c r="AA46" s="287">
        <f t="shared" si="17"/>
        <v>0</v>
      </c>
      <c r="AB46" s="287">
        <f t="shared" si="18"/>
        <v>0</v>
      </c>
      <c r="AC46" s="286">
        <f t="shared" si="19"/>
        <v>0</v>
      </c>
      <c r="AD46" s="287">
        <f t="shared" si="20"/>
        <v>0</v>
      </c>
      <c r="AE46" s="287">
        <f t="shared" si="21"/>
        <v>0</v>
      </c>
      <c r="AF46" s="287">
        <f t="shared" si="22"/>
        <v>0</v>
      </c>
      <c r="AG46" s="287">
        <f t="shared" si="23"/>
        <v>0</v>
      </c>
      <c r="AH46" s="288">
        <f t="shared" si="24"/>
        <v>0</v>
      </c>
      <c r="AI46" s="289">
        <f t="shared" si="25"/>
        <v>0</v>
      </c>
      <c r="AJ46" s="203"/>
      <c r="AK46" s="203"/>
      <c r="AL46" s="203"/>
      <c r="AM46" s="203"/>
      <c r="AN46" s="203"/>
      <c r="AO46" s="203"/>
      <c r="AP46" s="203"/>
      <c r="AQ46" s="203"/>
      <c r="AR46" s="203"/>
      <c r="AS46" s="203"/>
      <c r="AT46" s="203"/>
      <c r="AU46" s="203"/>
      <c r="AV46" s="203"/>
    </row>
    <row r="47" spans="1:48" ht="12" customHeight="1">
      <c r="A47" s="453"/>
      <c r="B47" s="458">
        <v>-11</v>
      </c>
      <c r="C47" s="462"/>
      <c r="D47" s="448"/>
      <c r="E47" s="463">
        <v>41</v>
      </c>
      <c r="F47" s="285">
        <f t="shared" si="2"/>
        <v>0</v>
      </c>
      <c r="G47" s="310">
        <f t="shared" si="3"/>
        <v>0</v>
      </c>
      <c r="H47" s="311">
        <f t="shared" si="32"/>
        <v>0</v>
      </c>
      <c r="I47" s="467">
        <f t="shared" si="33"/>
        <v>0</v>
      </c>
      <c r="J47" s="286">
        <f t="shared" si="5"/>
        <v>0</v>
      </c>
      <c r="K47" s="284">
        <f t="shared" si="6"/>
        <v>0</v>
      </c>
      <c r="L47" s="312">
        <f t="shared" si="7"/>
        <v>0</v>
      </c>
      <c r="M47" s="312">
        <f t="shared" si="8"/>
        <v>0</v>
      </c>
      <c r="N47" s="443">
        <f t="shared" si="27"/>
        <v>1.0384615384615385</v>
      </c>
      <c r="O47" s="443">
        <f t="shared" si="28"/>
        <v>1.9285714285714286</v>
      </c>
      <c r="P47" s="443">
        <f t="shared" si="29"/>
        <v>0.71052631578947367</v>
      </c>
      <c r="Q47" s="203"/>
      <c r="R47" s="578">
        <f t="shared" si="10"/>
        <v>0.30092592592592587</v>
      </c>
      <c r="S47" s="283">
        <f t="shared" si="30"/>
        <v>0</v>
      </c>
      <c r="T47" s="283">
        <f t="shared" si="11"/>
        <v>0</v>
      </c>
      <c r="U47" s="285">
        <f t="shared" si="31"/>
        <v>0</v>
      </c>
      <c r="V47" s="285">
        <f t="shared" si="12"/>
        <v>-11</v>
      </c>
      <c r="W47" s="286">
        <f t="shared" si="13"/>
        <v>0</v>
      </c>
      <c r="X47" s="284">
        <f t="shared" si="14"/>
        <v>0</v>
      </c>
      <c r="Y47" s="284">
        <f t="shared" si="15"/>
        <v>0</v>
      </c>
      <c r="Z47" s="300">
        <f t="shared" si="16"/>
        <v>0</v>
      </c>
      <c r="AA47" s="287">
        <f t="shared" si="17"/>
        <v>0</v>
      </c>
      <c r="AB47" s="287">
        <f t="shared" si="18"/>
        <v>0</v>
      </c>
      <c r="AC47" s="286">
        <f t="shared" si="19"/>
        <v>0</v>
      </c>
      <c r="AD47" s="287">
        <f t="shared" si="20"/>
        <v>0</v>
      </c>
      <c r="AE47" s="287">
        <f t="shared" si="21"/>
        <v>0</v>
      </c>
      <c r="AF47" s="287">
        <f t="shared" si="22"/>
        <v>0</v>
      </c>
      <c r="AG47" s="287">
        <f t="shared" si="23"/>
        <v>0</v>
      </c>
      <c r="AH47" s="288">
        <f t="shared" si="24"/>
        <v>0</v>
      </c>
      <c r="AI47" s="289">
        <f t="shared" si="25"/>
        <v>0</v>
      </c>
      <c r="AJ47" s="203"/>
      <c r="AK47" s="203"/>
      <c r="AL47" s="203"/>
      <c r="AM47" s="203"/>
      <c r="AN47" s="203"/>
      <c r="AO47" s="203"/>
      <c r="AP47" s="203"/>
      <c r="AQ47" s="203"/>
      <c r="AR47" s="203"/>
      <c r="AS47" s="203"/>
      <c r="AT47" s="203"/>
      <c r="AU47" s="203"/>
      <c r="AV47" s="203"/>
    </row>
    <row r="48" spans="1:48" ht="12" customHeight="1">
      <c r="A48" s="453"/>
      <c r="B48" s="458">
        <v>-10</v>
      </c>
      <c r="C48" s="462">
        <v>1</v>
      </c>
      <c r="D48" s="448"/>
      <c r="E48" s="463">
        <v>43</v>
      </c>
      <c r="F48" s="285">
        <f t="shared" si="2"/>
        <v>0</v>
      </c>
      <c r="G48" s="310">
        <f t="shared" si="3"/>
        <v>0</v>
      </c>
      <c r="H48" s="311">
        <f t="shared" si="32"/>
        <v>0</v>
      </c>
      <c r="I48" s="467">
        <f t="shared" si="33"/>
        <v>0</v>
      </c>
      <c r="J48" s="286">
        <f t="shared" si="5"/>
        <v>0</v>
      </c>
      <c r="K48" s="284">
        <f t="shared" si="6"/>
        <v>0</v>
      </c>
      <c r="L48" s="312">
        <f t="shared" si="7"/>
        <v>0</v>
      </c>
      <c r="M48" s="312">
        <f t="shared" si="8"/>
        <v>0</v>
      </c>
      <c r="N48" s="443">
        <f t="shared" si="27"/>
        <v>1</v>
      </c>
      <c r="O48" s="443">
        <f t="shared" si="28"/>
        <v>1.8571428571428572</v>
      </c>
      <c r="P48" s="443">
        <f t="shared" si="29"/>
        <v>0.68421052631578949</v>
      </c>
      <c r="Q48" s="203"/>
      <c r="R48" s="578">
        <f t="shared" si="10"/>
        <v>0.28888888888888886</v>
      </c>
      <c r="S48" s="283">
        <f t="shared" si="30"/>
        <v>0</v>
      </c>
      <c r="T48" s="283">
        <f t="shared" si="11"/>
        <v>0</v>
      </c>
      <c r="U48" s="285">
        <f t="shared" si="31"/>
        <v>0</v>
      </c>
      <c r="V48" s="285">
        <f t="shared" si="12"/>
        <v>-10</v>
      </c>
      <c r="W48" s="286">
        <f t="shared" si="13"/>
        <v>0</v>
      </c>
      <c r="X48" s="284">
        <f t="shared" si="14"/>
        <v>0</v>
      </c>
      <c r="Y48" s="284">
        <f t="shared" si="15"/>
        <v>0</v>
      </c>
      <c r="Z48" s="300">
        <f t="shared" si="16"/>
        <v>0</v>
      </c>
      <c r="AA48" s="287">
        <f t="shared" si="17"/>
        <v>0</v>
      </c>
      <c r="AB48" s="287">
        <f t="shared" si="18"/>
        <v>0</v>
      </c>
      <c r="AC48" s="286">
        <f t="shared" si="19"/>
        <v>0</v>
      </c>
      <c r="AD48" s="287">
        <f t="shared" si="20"/>
        <v>0</v>
      </c>
      <c r="AE48" s="287">
        <f t="shared" si="21"/>
        <v>0</v>
      </c>
      <c r="AF48" s="287">
        <f t="shared" si="22"/>
        <v>0</v>
      </c>
      <c r="AG48" s="287">
        <f t="shared" si="23"/>
        <v>0</v>
      </c>
      <c r="AH48" s="288">
        <f t="shared" si="24"/>
        <v>0</v>
      </c>
      <c r="AI48" s="289">
        <f t="shared" si="25"/>
        <v>0</v>
      </c>
      <c r="AJ48" s="203"/>
      <c r="AK48" s="203"/>
      <c r="AL48" s="203"/>
      <c r="AM48" s="203"/>
      <c r="AN48" s="203"/>
      <c r="AO48" s="203"/>
      <c r="AP48" s="203"/>
      <c r="AQ48" s="203"/>
      <c r="AR48" s="203"/>
      <c r="AS48" s="203"/>
      <c r="AT48" s="203"/>
      <c r="AU48" s="203"/>
      <c r="AV48" s="203"/>
    </row>
    <row r="49" spans="1:48" ht="12" customHeight="1">
      <c r="A49" s="453"/>
      <c r="B49" s="458">
        <v>-9</v>
      </c>
      <c r="C49" s="462">
        <v>25</v>
      </c>
      <c r="D49" s="448"/>
      <c r="E49" s="463">
        <v>54</v>
      </c>
      <c r="F49" s="285">
        <f t="shared" si="2"/>
        <v>0</v>
      </c>
      <c r="G49" s="310">
        <f t="shared" si="3"/>
        <v>0</v>
      </c>
      <c r="H49" s="311">
        <f t="shared" si="32"/>
        <v>0</v>
      </c>
      <c r="I49" s="467">
        <f t="shared" si="33"/>
        <v>0</v>
      </c>
      <c r="J49" s="286">
        <f t="shared" si="5"/>
        <v>0</v>
      </c>
      <c r="K49" s="284">
        <f t="shared" si="6"/>
        <v>0</v>
      </c>
      <c r="L49" s="312">
        <f t="shared" si="7"/>
        <v>0</v>
      </c>
      <c r="M49" s="312">
        <f t="shared" si="8"/>
        <v>0</v>
      </c>
      <c r="N49" s="443">
        <f t="shared" si="27"/>
        <v>0.96153846153846156</v>
      </c>
      <c r="O49" s="443">
        <f t="shared" si="28"/>
        <v>1.7857142857142858</v>
      </c>
      <c r="P49" s="443">
        <f t="shared" si="29"/>
        <v>0.65789473684210531</v>
      </c>
      <c r="Q49" s="203"/>
      <c r="R49" s="578">
        <f t="shared" si="10"/>
        <v>0.27685185185185179</v>
      </c>
      <c r="S49" s="283">
        <f t="shared" si="30"/>
        <v>0</v>
      </c>
      <c r="T49" s="283">
        <f t="shared" si="11"/>
        <v>0</v>
      </c>
      <c r="U49" s="285">
        <f t="shared" si="31"/>
        <v>0</v>
      </c>
      <c r="V49" s="285">
        <f t="shared" si="12"/>
        <v>-9</v>
      </c>
      <c r="W49" s="286">
        <f t="shared" si="13"/>
        <v>0</v>
      </c>
      <c r="X49" s="284">
        <f t="shared" si="14"/>
        <v>0</v>
      </c>
      <c r="Y49" s="284">
        <f t="shared" si="15"/>
        <v>0</v>
      </c>
      <c r="Z49" s="300">
        <f t="shared" si="16"/>
        <v>0</v>
      </c>
      <c r="AA49" s="287">
        <f t="shared" si="17"/>
        <v>0</v>
      </c>
      <c r="AB49" s="287">
        <f t="shared" si="18"/>
        <v>0</v>
      </c>
      <c r="AC49" s="286">
        <f t="shared" si="19"/>
        <v>0</v>
      </c>
      <c r="AD49" s="287">
        <f t="shared" si="20"/>
        <v>0</v>
      </c>
      <c r="AE49" s="287">
        <f t="shared" si="21"/>
        <v>0</v>
      </c>
      <c r="AF49" s="287">
        <f t="shared" si="22"/>
        <v>0</v>
      </c>
      <c r="AG49" s="287">
        <f t="shared" si="23"/>
        <v>0</v>
      </c>
      <c r="AH49" s="288">
        <f t="shared" si="24"/>
        <v>0</v>
      </c>
      <c r="AI49" s="289">
        <f t="shared" si="25"/>
        <v>0</v>
      </c>
      <c r="AJ49" s="203"/>
      <c r="AK49" s="203"/>
      <c r="AL49" s="203"/>
      <c r="AM49" s="203"/>
      <c r="AN49" s="203"/>
      <c r="AO49" s="203"/>
      <c r="AP49" s="203"/>
      <c r="AQ49" s="203"/>
      <c r="AR49" s="203"/>
      <c r="AS49" s="203"/>
      <c r="AT49" s="203"/>
      <c r="AU49" s="203"/>
      <c r="AV49" s="203"/>
    </row>
    <row r="50" spans="1:48" ht="12" customHeight="1">
      <c r="A50" s="453"/>
      <c r="B50" s="458">
        <v>-8</v>
      </c>
      <c r="C50" s="462">
        <v>23</v>
      </c>
      <c r="D50" s="448"/>
      <c r="E50" s="463">
        <v>90</v>
      </c>
      <c r="F50" s="285">
        <f t="shared" si="2"/>
        <v>0</v>
      </c>
      <c r="G50" s="310">
        <f t="shared" si="3"/>
        <v>0</v>
      </c>
      <c r="H50" s="311">
        <f t="shared" si="32"/>
        <v>0</v>
      </c>
      <c r="I50" s="467">
        <f t="shared" si="33"/>
        <v>0</v>
      </c>
      <c r="J50" s="286">
        <f t="shared" si="5"/>
        <v>0</v>
      </c>
      <c r="K50" s="284">
        <f t="shared" si="6"/>
        <v>0</v>
      </c>
      <c r="L50" s="312">
        <f t="shared" si="7"/>
        <v>0</v>
      </c>
      <c r="M50" s="312">
        <f t="shared" si="8"/>
        <v>0</v>
      </c>
      <c r="N50" s="443">
        <f t="shared" si="27"/>
        <v>0.92307692307692313</v>
      </c>
      <c r="O50" s="443">
        <f t="shared" si="28"/>
        <v>1.7142857142857142</v>
      </c>
      <c r="P50" s="443">
        <f t="shared" si="29"/>
        <v>0.63157894736842102</v>
      </c>
      <c r="Q50" s="203"/>
      <c r="R50" s="578">
        <f t="shared" si="10"/>
        <v>0.26481481481481478</v>
      </c>
      <c r="S50" s="283">
        <f t="shared" si="30"/>
        <v>0</v>
      </c>
      <c r="T50" s="283">
        <f t="shared" si="11"/>
        <v>0</v>
      </c>
      <c r="U50" s="285">
        <f t="shared" si="31"/>
        <v>0</v>
      </c>
      <c r="V50" s="285">
        <f t="shared" si="12"/>
        <v>-8</v>
      </c>
      <c r="W50" s="286">
        <f t="shared" si="13"/>
        <v>0</v>
      </c>
      <c r="X50" s="284">
        <f t="shared" si="14"/>
        <v>0</v>
      </c>
      <c r="Y50" s="284">
        <f t="shared" si="15"/>
        <v>0</v>
      </c>
      <c r="Z50" s="300">
        <f t="shared" si="16"/>
        <v>0</v>
      </c>
      <c r="AA50" s="287">
        <f t="shared" si="17"/>
        <v>0</v>
      </c>
      <c r="AB50" s="287">
        <f t="shared" si="18"/>
        <v>0</v>
      </c>
      <c r="AC50" s="286">
        <f t="shared" si="19"/>
        <v>0</v>
      </c>
      <c r="AD50" s="287">
        <f t="shared" si="20"/>
        <v>0</v>
      </c>
      <c r="AE50" s="287">
        <f t="shared" si="21"/>
        <v>0</v>
      </c>
      <c r="AF50" s="287">
        <f t="shared" si="22"/>
        <v>0</v>
      </c>
      <c r="AG50" s="287">
        <f t="shared" si="23"/>
        <v>0</v>
      </c>
      <c r="AH50" s="288">
        <f t="shared" si="24"/>
        <v>0</v>
      </c>
      <c r="AI50" s="289">
        <f t="shared" si="25"/>
        <v>0</v>
      </c>
      <c r="AJ50" s="203"/>
      <c r="AK50" s="203"/>
      <c r="AL50" s="203"/>
      <c r="AM50" s="203"/>
      <c r="AN50" s="203"/>
      <c r="AO50" s="203"/>
      <c r="AP50" s="203"/>
      <c r="AQ50" s="203"/>
      <c r="AR50" s="203"/>
      <c r="AS50" s="203"/>
      <c r="AT50" s="203"/>
      <c r="AU50" s="203"/>
      <c r="AV50" s="203"/>
    </row>
    <row r="51" spans="1:48" ht="12" customHeight="1">
      <c r="A51" s="453" t="s">
        <v>8</v>
      </c>
      <c r="B51" s="458">
        <v>-7</v>
      </c>
      <c r="C51" s="462">
        <v>24</v>
      </c>
      <c r="D51" s="448"/>
      <c r="E51" s="463">
        <v>125</v>
      </c>
      <c r="F51" s="285">
        <f t="shared" si="2"/>
        <v>0</v>
      </c>
      <c r="G51" s="310">
        <f t="shared" si="3"/>
        <v>0</v>
      </c>
      <c r="H51" s="313">
        <f>IF($B51&gt;=$F$16,_xlfn.XLOOKUP($B51,$F$6:$F$10,$G$6:$G$10,,0,1),0)</f>
        <v>0</v>
      </c>
      <c r="I51" s="314">
        <f>IF($B51&gt;=$F$16,_xlfn.XLOOKUP($B51,$F$6:$F$10,$H$6:$H$10,,0,1),0)</f>
        <v>0</v>
      </c>
      <c r="J51" s="286">
        <f t="shared" si="5"/>
        <v>0</v>
      </c>
      <c r="K51" s="284">
        <f t="shared" si="6"/>
        <v>0</v>
      </c>
      <c r="L51" s="312">
        <f t="shared" si="7"/>
        <v>0</v>
      </c>
      <c r="M51" s="312">
        <f t="shared" si="8"/>
        <v>0</v>
      </c>
      <c r="N51" s="443">
        <f t="shared" si="27"/>
        <v>0.88461538461538458</v>
      </c>
      <c r="O51" s="443">
        <f t="shared" si="28"/>
        <v>1.6428571428571428</v>
      </c>
      <c r="P51" s="443">
        <f t="shared" si="29"/>
        <v>0.60526315789473684</v>
      </c>
      <c r="Q51" s="203"/>
      <c r="R51" s="578">
        <f t="shared" si="10"/>
        <v>0.25277777777777777</v>
      </c>
      <c r="S51" s="283">
        <f t="shared" si="30"/>
        <v>0</v>
      </c>
      <c r="T51" s="283">
        <f t="shared" si="11"/>
        <v>0</v>
      </c>
      <c r="U51" s="285">
        <f t="shared" si="31"/>
        <v>0</v>
      </c>
      <c r="V51" s="285">
        <f t="shared" si="12"/>
        <v>-7</v>
      </c>
      <c r="W51" s="286">
        <f t="shared" si="13"/>
        <v>0</v>
      </c>
      <c r="X51" s="284">
        <f t="shared" si="14"/>
        <v>0</v>
      </c>
      <c r="Y51" s="284">
        <f t="shared" si="15"/>
        <v>0</v>
      </c>
      <c r="Z51" s="300">
        <f t="shared" si="16"/>
        <v>0</v>
      </c>
      <c r="AA51" s="287">
        <f t="shared" si="17"/>
        <v>0</v>
      </c>
      <c r="AB51" s="287">
        <f t="shared" si="18"/>
        <v>0</v>
      </c>
      <c r="AC51" s="286">
        <f t="shared" si="19"/>
        <v>0</v>
      </c>
      <c r="AD51" s="287">
        <f t="shared" si="20"/>
        <v>0</v>
      </c>
      <c r="AE51" s="287">
        <f t="shared" si="21"/>
        <v>0</v>
      </c>
      <c r="AF51" s="287">
        <f t="shared" si="22"/>
        <v>0</v>
      </c>
      <c r="AG51" s="287">
        <f t="shared" si="23"/>
        <v>0</v>
      </c>
      <c r="AH51" s="288">
        <f t="shared" si="24"/>
        <v>0</v>
      </c>
      <c r="AI51" s="289">
        <f t="shared" si="25"/>
        <v>0</v>
      </c>
      <c r="AJ51" s="203"/>
      <c r="AK51" s="203"/>
      <c r="AL51" s="203"/>
      <c r="AM51" s="203"/>
      <c r="AN51" s="203"/>
      <c r="AO51" s="203"/>
      <c r="AP51" s="203"/>
      <c r="AQ51" s="203"/>
      <c r="AR51" s="203"/>
      <c r="AS51" s="203"/>
      <c r="AT51" s="203"/>
      <c r="AU51" s="203"/>
      <c r="AV51" s="203"/>
    </row>
    <row r="52" spans="1:48" ht="12" customHeight="1">
      <c r="A52" s="453"/>
      <c r="B52" s="458">
        <v>-6</v>
      </c>
      <c r="C52" s="462">
        <v>27</v>
      </c>
      <c r="D52" s="448"/>
      <c r="E52" s="463">
        <v>169</v>
      </c>
      <c r="F52" s="285">
        <f t="shared" si="2"/>
        <v>0</v>
      </c>
      <c r="G52" s="310">
        <f t="shared" si="3"/>
        <v>0</v>
      </c>
      <c r="H52" s="311">
        <f t="shared" ref="H52:H59" si="34">IF($B52&gt;=$F$16,FORECAST($B52,$G$7:$G$8,$F$7:$F$8),0)</f>
        <v>0</v>
      </c>
      <c r="I52" s="467">
        <f>IF($B52&gt;=$F$16,FORECAST($B52,$H$7:$H$8,$F$7:$F$8),0)</f>
        <v>0</v>
      </c>
      <c r="J52" s="286">
        <f t="shared" si="5"/>
        <v>0</v>
      </c>
      <c r="K52" s="284">
        <f t="shared" si="6"/>
        <v>0</v>
      </c>
      <c r="L52" s="312">
        <f t="shared" si="7"/>
        <v>0</v>
      </c>
      <c r="M52" s="312">
        <f t="shared" si="8"/>
        <v>0</v>
      </c>
      <c r="N52" s="443">
        <f t="shared" si="27"/>
        <v>0.84615384615384615</v>
      </c>
      <c r="O52" s="443">
        <f t="shared" si="28"/>
        <v>1.5714285714285714</v>
      </c>
      <c r="P52" s="443">
        <f t="shared" si="29"/>
        <v>0.57894736842105265</v>
      </c>
      <c r="Q52" s="203"/>
      <c r="R52" s="578">
        <f t="shared" si="10"/>
        <v>0.2407407407407407</v>
      </c>
      <c r="S52" s="283">
        <f t="shared" si="30"/>
        <v>0</v>
      </c>
      <c r="T52" s="283">
        <f t="shared" si="11"/>
        <v>0</v>
      </c>
      <c r="U52" s="285">
        <f t="shared" si="31"/>
        <v>0</v>
      </c>
      <c r="V52" s="285">
        <f t="shared" si="12"/>
        <v>-6</v>
      </c>
      <c r="W52" s="286">
        <f t="shared" si="13"/>
        <v>0</v>
      </c>
      <c r="X52" s="284">
        <f t="shared" si="14"/>
        <v>0</v>
      </c>
      <c r="Y52" s="284">
        <f t="shared" si="15"/>
        <v>0</v>
      </c>
      <c r="Z52" s="300">
        <f t="shared" si="16"/>
        <v>0</v>
      </c>
      <c r="AA52" s="287">
        <f t="shared" si="17"/>
        <v>0</v>
      </c>
      <c r="AB52" s="287">
        <f t="shared" si="18"/>
        <v>0</v>
      </c>
      <c r="AC52" s="286">
        <f t="shared" si="19"/>
        <v>0</v>
      </c>
      <c r="AD52" s="287">
        <f t="shared" si="20"/>
        <v>0</v>
      </c>
      <c r="AE52" s="287">
        <f t="shared" si="21"/>
        <v>0</v>
      </c>
      <c r="AF52" s="287">
        <f t="shared" si="22"/>
        <v>0</v>
      </c>
      <c r="AG52" s="287">
        <f t="shared" si="23"/>
        <v>0</v>
      </c>
      <c r="AH52" s="288">
        <f t="shared" si="24"/>
        <v>0</v>
      </c>
      <c r="AI52" s="289">
        <f t="shared" si="25"/>
        <v>0</v>
      </c>
      <c r="AJ52" s="203"/>
      <c r="AK52" s="203"/>
      <c r="AL52" s="203"/>
      <c r="AM52" s="203"/>
      <c r="AN52" s="203"/>
      <c r="AO52" s="203"/>
      <c r="AP52" s="203"/>
      <c r="AQ52" s="203"/>
      <c r="AR52" s="203"/>
      <c r="AS52" s="203"/>
      <c r="AT52" s="203"/>
      <c r="AU52" s="203"/>
      <c r="AV52" s="203"/>
    </row>
    <row r="53" spans="1:48" ht="12" customHeight="1">
      <c r="A53" s="453"/>
      <c r="B53" s="458">
        <v>-5</v>
      </c>
      <c r="C53" s="462">
        <v>68</v>
      </c>
      <c r="D53" s="448"/>
      <c r="E53" s="463">
        <v>195</v>
      </c>
      <c r="F53" s="285">
        <f t="shared" si="2"/>
        <v>0</v>
      </c>
      <c r="G53" s="310">
        <f t="shared" si="3"/>
        <v>0</v>
      </c>
      <c r="H53" s="311">
        <f t="shared" si="34"/>
        <v>0</v>
      </c>
      <c r="I53" s="467">
        <f t="shared" ref="I53:I59" si="35">IF($B53&gt;=$F$16,FORECAST($B53,$H$7:$H$8,$F$7:$F$8),0)</f>
        <v>0</v>
      </c>
      <c r="J53" s="286">
        <f t="shared" si="5"/>
        <v>0</v>
      </c>
      <c r="K53" s="284">
        <f t="shared" si="6"/>
        <v>0</v>
      </c>
      <c r="L53" s="312">
        <f t="shared" si="7"/>
        <v>0</v>
      </c>
      <c r="M53" s="312">
        <f t="shared" si="8"/>
        <v>0</v>
      </c>
      <c r="N53" s="443">
        <f t="shared" si="27"/>
        <v>0.80769230769230771</v>
      </c>
      <c r="O53" s="443">
        <f t="shared" si="28"/>
        <v>1.5</v>
      </c>
      <c r="P53" s="443">
        <f t="shared" si="29"/>
        <v>0.55263157894736847</v>
      </c>
      <c r="Q53" s="203"/>
      <c r="R53" s="578">
        <f t="shared" si="10"/>
        <v>0.22870370370370369</v>
      </c>
      <c r="S53" s="283">
        <f t="shared" si="30"/>
        <v>0</v>
      </c>
      <c r="T53" s="283">
        <f t="shared" si="11"/>
        <v>0</v>
      </c>
      <c r="U53" s="285">
        <f t="shared" si="31"/>
        <v>0</v>
      </c>
      <c r="V53" s="285">
        <f t="shared" si="12"/>
        <v>-5</v>
      </c>
      <c r="W53" s="286">
        <f t="shared" si="13"/>
        <v>0</v>
      </c>
      <c r="X53" s="284">
        <f t="shared" si="14"/>
        <v>0</v>
      </c>
      <c r="Y53" s="284">
        <f t="shared" si="15"/>
        <v>0</v>
      </c>
      <c r="Z53" s="300">
        <f t="shared" si="16"/>
        <v>0</v>
      </c>
      <c r="AA53" s="287">
        <f t="shared" si="17"/>
        <v>0</v>
      </c>
      <c r="AB53" s="287">
        <f t="shared" si="18"/>
        <v>0</v>
      </c>
      <c r="AC53" s="286">
        <f t="shared" si="19"/>
        <v>0</v>
      </c>
      <c r="AD53" s="287">
        <f t="shared" si="20"/>
        <v>0</v>
      </c>
      <c r="AE53" s="287">
        <f t="shared" si="21"/>
        <v>0</v>
      </c>
      <c r="AF53" s="287">
        <f t="shared" si="22"/>
        <v>0</v>
      </c>
      <c r="AG53" s="287">
        <f t="shared" si="23"/>
        <v>0</v>
      </c>
      <c r="AH53" s="288">
        <f t="shared" si="24"/>
        <v>0</v>
      </c>
      <c r="AI53" s="289">
        <f t="shared" si="25"/>
        <v>0</v>
      </c>
      <c r="AJ53" s="203"/>
      <c r="AK53" s="203"/>
      <c r="AL53" s="203"/>
      <c r="AM53" s="203"/>
      <c r="AN53" s="203"/>
      <c r="AO53" s="203"/>
      <c r="AP53" s="203"/>
      <c r="AQ53" s="203"/>
      <c r="AR53" s="203"/>
      <c r="AS53" s="203"/>
      <c r="AT53" s="203"/>
      <c r="AU53" s="203"/>
      <c r="AV53" s="203"/>
    </row>
    <row r="54" spans="1:48" ht="12" customHeight="1">
      <c r="A54" s="453"/>
      <c r="B54" s="458">
        <v>-4</v>
      </c>
      <c r="C54" s="462">
        <v>91</v>
      </c>
      <c r="D54" s="448"/>
      <c r="E54" s="463">
        <v>278</v>
      </c>
      <c r="F54" s="285">
        <f t="shared" si="2"/>
        <v>0</v>
      </c>
      <c r="G54" s="310">
        <f t="shared" si="3"/>
        <v>0</v>
      </c>
      <c r="H54" s="311">
        <f t="shared" si="34"/>
        <v>0</v>
      </c>
      <c r="I54" s="467">
        <f t="shared" si="35"/>
        <v>0</v>
      </c>
      <c r="J54" s="286">
        <f t="shared" si="5"/>
        <v>0</v>
      </c>
      <c r="K54" s="284">
        <f t="shared" si="6"/>
        <v>0</v>
      </c>
      <c r="L54" s="312">
        <f t="shared" si="7"/>
        <v>0</v>
      </c>
      <c r="M54" s="312">
        <f t="shared" si="8"/>
        <v>0</v>
      </c>
      <c r="N54" s="443">
        <f t="shared" si="27"/>
        <v>0.76923076923076927</v>
      </c>
      <c r="O54" s="443">
        <f t="shared" si="28"/>
        <v>1.4285714285714286</v>
      </c>
      <c r="P54" s="443">
        <f t="shared" si="29"/>
        <v>0.52631578947368418</v>
      </c>
      <c r="Q54" s="203"/>
      <c r="R54" s="578">
        <f t="shared" si="10"/>
        <v>0.21666666666666665</v>
      </c>
      <c r="S54" s="283">
        <f t="shared" si="30"/>
        <v>0</v>
      </c>
      <c r="T54" s="283">
        <f t="shared" si="11"/>
        <v>0</v>
      </c>
      <c r="U54" s="285">
        <f t="shared" si="31"/>
        <v>0</v>
      </c>
      <c r="V54" s="285">
        <f t="shared" si="12"/>
        <v>-4</v>
      </c>
      <c r="W54" s="286">
        <f t="shared" si="13"/>
        <v>0</v>
      </c>
      <c r="X54" s="284">
        <f t="shared" si="14"/>
        <v>0</v>
      </c>
      <c r="Y54" s="284">
        <f t="shared" si="15"/>
        <v>0</v>
      </c>
      <c r="Z54" s="300">
        <f t="shared" si="16"/>
        <v>0</v>
      </c>
      <c r="AA54" s="287">
        <f t="shared" si="17"/>
        <v>0</v>
      </c>
      <c r="AB54" s="287">
        <f t="shared" si="18"/>
        <v>0</v>
      </c>
      <c r="AC54" s="286">
        <f t="shared" si="19"/>
        <v>0</v>
      </c>
      <c r="AD54" s="287">
        <f t="shared" si="20"/>
        <v>0</v>
      </c>
      <c r="AE54" s="287">
        <f t="shared" si="21"/>
        <v>0</v>
      </c>
      <c r="AF54" s="287">
        <f t="shared" si="22"/>
        <v>0</v>
      </c>
      <c r="AG54" s="287">
        <f t="shared" si="23"/>
        <v>0</v>
      </c>
      <c r="AH54" s="288">
        <f t="shared" si="24"/>
        <v>0</v>
      </c>
      <c r="AI54" s="289">
        <f t="shared" si="25"/>
        <v>0</v>
      </c>
      <c r="AJ54" s="203"/>
      <c r="AK54" s="203"/>
      <c r="AL54" s="203"/>
      <c r="AM54" s="203"/>
      <c r="AN54" s="203"/>
      <c r="AO54" s="203"/>
      <c r="AP54" s="203"/>
      <c r="AQ54" s="203"/>
      <c r="AR54" s="203"/>
      <c r="AS54" s="203"/>
      <c r="AT54" s="203"/>
      <c r="AU54" s="203"/>
      <c r="AV54" s="203"/>
    </row>
    <row r="55" spans="1:48" ht="12" customHeight="1">
      <c r="A55" s="453"/>
      <c r="B55" s="458">
        <v>-3</v>
      </c>
      <c r="C55" s="462">
        <v>89</v>
      </c>
      <c r="D55" s="448"/>
      <c r="E55" s="463">
        <v>306</v>
      </c>
      <c r="F55" s="285">
        <f t="shared" si="2"/>
        <v>0</v>
      </c>
      <c r="G55" s="310">
        <f t="shared" si="3"/>
        <v>0</v>
      </c>
      <c r="H55" s="311">
        <f t="shared" si="34"/>
        <v>0</v>
      </c>
      <c r="I55" s="467">
        <f t="shared" si="35"/>
        <v>0</v>
      </c>
      <c r="J55" s="286">
        <f t="shared" si="5"/>
        <v>0</v>
      </c>
      <c r="K55" s="284">
        <f t="shared" si="6"/>
        <v>0</v>
      </c>
      <c r="L55" s="312">
        <f t="shared" si="7"/>
        <v>0</v>
      </c>
      <c r="M55" s="312">
        <f t="shared" si="8"/>
        <v>0</v>
      </c>
      <c r="N55" s="443">
        <f t="shared" si="27"/>
        <v>0.73076923076923073</v>
      </c>
      <c r="O55" s="443">
        <f t="shared" si="28"/>
        <v>1.3571428571428572</v>
      </c>
      <c r="P55" s="443">
        <f t="shared" si="29"/>
        <v>0.5</v>
      </c>
      <c r="Q55" s="203"/>
      <c r="R55" s="578">
        <f t="shared" si="10"/>
        <v>0.20462962962962961</v>
      </c>
      <c r="S55" s="283">
        <f t="shared" si="30"/>
        <v>0</v>
      </c>
      <c r="T55" s="283">
        <f t="shared" si="11"/>
        <v>0</v>
      </c>
      <c r="U55" s="285">
        <f t="shared" si="31"/>
        <v>0</v>
      </c>
      <c r="V55" s="285">
        <f t="shared" si="12"/>
        <v>-3</v>
      </c>
      <c r="W55" s="286">
        <f t="shared" si="13"/>
        <v>0</v>
      </c>
      <c r="X55" s="284">
        <f t="shared" si="14"/>
        <v>0</v>
      </c>
      <c r="Y55" s="284">
        <f t="shared" si="15"/>
        <v>0</v>
      </c>
      <c r="Z55" s="300">
        <f t="shared" si="16"/>
        <v>0</v>
      </c>
      <c r="AA55" s="287">
        <f t="shared" si="17"/>
        <v>0</v>
      </c>
      <c r="AB55" s="287">
        <f t="shared" si="18"/>
        <v>0</v>
      </c>
      <c r="AC55" s="286">
        <f t="shared" si="19"/>
        <v>0</v>
      </c>
      <c r="AD55" s="287">
        <f t="shared" si="20"/>
        <v>0</v>
      </c>
      <c r="AE55" s="287">
        <f t="shared" si="21"/>
        <v>0</v>
      </c>
      <c r="AF55" s="287">
        <f t="shared" si="22"/>
        <v>0</v>
      </c>
      <c r="AG55" s="287">
        <f t="shared" si="23"/>
        <v>0</v>
      </c>
      <c r="AH55" s="288">
        <f t="shared" si="24"/>
        <v>0</v>
      </c>
      <c r="AI55" s="289">
        <f t="shared" si="25"/>
        <v>0</v>
      </c>
      <c r="AJ55" s="203"/>
      <c r="AK55" s="203"/>
      <c r="AL55" s="203"/>
      <c r="AM55" s="203"/>
      <c r="AN55" s="203"/>
      <c r="AO55" s="203"/>
      <c r="AP55" s="203"/>
      <c r="AQ55" s="203"/>
      <c r="AR55" s="203"/>
      <c r="AS55" s="203"/>
      <c r="AT55" s="203"/>
      <c r="AU55" s="203"/>
      <c r="AV55" s="203"/>
    </row>
    <row r="56" spans="1:48" ht="12" customHeight="1">
      <c r="A56" s="453"/>
      <c r="B56" s="458">
        <v>-2</v>
      </c>
      <c r="C56" s="462">
        <v>165</v>
      </c>
      <c r="D56" s="448"/>
      <c r="E56" s="463">
        <v>454</v>
      </c>
      <c r="F56" s="285">
        <f t="shared" si="2"/>
        <v>0</v>
      </c>
      <c r="G56" s="310">
        <f t="shared" si="3"/>
        <v>0</v>
      </c>
      <c r="H56" s="311">
        <f t="shared" si="34"/>
        <v>0</v>
      </c>
      <c r="I56" s="467">
        <f t="shared" si="35"/>
        <v>0</v>
      </c>
      <c r="J56" s="286">
        <f t="shared" si="5"/>
        <v>0</v>
      </c>
      <c r="K56" s="284">
        <f t="shared" si="6"/>
        <v>0</v>
      </c>
      <c r="L56" s="312">
        <f t="shared" si="7"/>
        <v>0</v>
      </c>
      <c r="M56" s="312">
        <f t="shared" si="8"/>
        <v>0</v>
      </c>
      <c r="N56" s="443">
        <f t="shared" si="27"/>
        <v>0.69230769230769229</v>
      </c>
      <c r="O56" s="443">
        <f t="shared" si="28"/>
        <v>1.2857142857142858</v>
      </c>
      <c r="P56" s="443">
        <f t="shared" si="29"/>
        <v>0.47368421052631576</v>
      </c>
      <c r="Q56" s="203"/>
      <c r="R56" s="578">
        <f t="shared" si="10"/>
        <v>0.19259259259259257</v>
      </c>
      <c r="S56" s="283">
        <f t="shared" si="30"/>
        <v>0</v>
      </c>
      <c r="T56" s="283">
        <f t="shared" si="11"/>
        <v>0</v>
      </c>
      <c r="U56" s="285">
        <f t="shared" si="31"/>
        <v>0</v>
      </c>
      <c r="V56" s="285">
        <f t="shared" si="12"/>
        <v>-2</v>
      </c>
      <c r="W56" s="286">
        <f t="shared" si="13"/>
        <v>0</v>
      </c>
      <c r="X56" s="284">
        <f t="shared" si="14"/>
        <v>0</v>
      </c>
      <c r="Y56" s="284">
        <f t="shared" si="15"/>
        <v>0</v>
      </c>
      <c r="Z56" s="300">
        <f t="shared" si="16"/>
        <v>0</v>
      </c>
      <c r="AA56" s="287">
        <f t="shared" si="17"/>
        <v>0</v>
      </c>
      <c r="AB56" s="287">
        <f t="shared" si="18"/>
        <v>0</v>
      </c>
      <c r="AC56" s="286">
        <f t="shared" si="19"/>
        <v>0</v>
      </c>
      <c r="AD56" s="287">
        <f t="shared" si="20"/>
        <v>0</v>
      </c>
      <c r="AE56" s="287">
        <f t="shared" si="21"/>
        <v>0</v>
      </c>
      <c r="AF56" s="287">
        <f t="shared" si="22"/>
        <v>0</v>
      </c>
      <c r="AG56" s="287">
        <f t="shared" si="23"/>
        <v>0</v>
      </c>
      <c r="AH56" s="288">
        <f t="shared" si="24"/>
        <v>0</v>
      </c>
      <c r="AI56" s="289">
        <f t="shared" si="25"/>
        <v>0</v>
      </c>
      <c r="AJ56" s="203"/>
      <c r="AK56" s="203"/>
      <c r="AL56" s="203"/>
      <c r="AM56" s="203"/>
      <c r="AN56" s="203"/>
      <c r="AO56" s="203"/>
      <c r="AP56" s="203"/>
      <c r="AQ56" s="203"/>
      <c r="AR56" s="203"/>
      <c r="AS56" s="203"/>
      <c r="AT56" s="203"/>
      <c r="AU56" s="203"/>
      <c r="AV56" s="203"/>
    </row>
    <row r="57" spans="1:48" ht="12" customHeight="1">
      <c r="A57" s="453"/>
      <c r="B57" s="458">
        <v>-1</v>
      </c>
      <c r="C57" s="462">
        <v>173</v>
      </c>
      <c r="D57" s="448"/>
      <c r="E57" s="463">
        <v>385</v>
      </c>
      <c r="F57" s="285">
        <f t="shared" si="2"/>
        <v>0</v>
      </c>
      <c r="G57" s="310">
        <f t="shared" si="3"/>
        <v>0</v>
      </c>
      <c r="H57" s="311">
        <f t="shared" si="34"/>
        <v>0</v>
      </c>
      <c r="I57" s="467">
        <f t="shared" si="35"/>
        <v>0</v>
      </c>
      <c r="J57" s="286">
        <f t="shared" si="5"/>
        <v>0</v>
      </c>
      <c r="K57" s="284">
        <f t="shared" si="6"/>
        <v>0</v>
      </c>
      <c r="L57" s="312">
        <f t="shared" si="7"/>
        <v>0</v>
      </c>
      <c r="M57" s="312">
        <f t="shared" si="8"/>
        <v>0</v>
      </c>
      <c r="N57" s="443">
        <f t="shared" si="27"/>
        <v>0.65384615384615385</v>
      </c>
      <c r="O57" s="443">
        <f t="shared" si="28"/>
        <v>1.2142857142857142</v>
      </c>
      <c r="P57" s="443">
        <f t="shared" si="29"/>
        <v>0.44736842105263158</v>
      </c>
      <c r="Q57" s="203"/>
      <c r="R57" s="578">
        <f t="shared" si="10"/>
        <v>0.18055555555555555</v>
      </c>
      <c r="S57" s="283">
        <f t="shared" si="30"/>
        <v>0</v>
      </c>
      <c r="T57" s="283">
        <f t="shared" si="11"/>
        <v>0</v>
      </c>
      <c r="U57" s="285">
        <f t="shared" si="31"/>
        <v>0</v>
      </c>
      <c r="V57" s="285">
        <f t="shared" si="12"/>
        <v>-1</v>
      </c>
      <c r="W57" s="286">
        <f t="shared" si="13"/>
        <v>0</v>
      </c>
      <c r="X57" s="284">
        <f t="shared" si="14"/>
        <v>0</v>
      </c>
      <c r="Y57" s="284">
        <f t="shared" si="15"/>
        <v>0</v>
      </c>
      <c r="Z57" s="300">
        <f t="shared" si="16"/>
        <v>0</v>
      </c>
      <c r="AA57" s="287">
        <f t="shared" si="17"/>
        <v>0</v>
      </c>
      <c r="AB57" s="287">
        <f t="shared" si="18"/>
        <v>0</v>
      </c>
      <c r="AC57" s="286">
        <f t="shared" si="19"/>
        <v>0</v>
      </c>
      <c r="AD57" s="287">
        <f t="shared" si="20"/>
        <v>0</v>
      </c>
      <c r="AE57" s="287">
        <f t="shared" si="21"/>
        <v>0</v>
      </c>
      <c r="AF57" s="287">
        <f t="shared" si="22"/>
        <v>0</v>
      </c>
      <c r="AG57" s="287">
        <f t="shared" si="23"/>
        <v>0</v>
      </c>
      <c r="AH57" s="288">
        <f t="shared" si="24"/>
        <v>0</v>
      </c>
      <c r="AI57" s="289">
        <f t="shared" si="25"/>
        <v>0</v>
      </c>
      <c r="AJ57" s="203"/>
      <c r="AK57" s="203"/>
      <c r="AL57" s="203"/>
      <c r="AM57" s="203"/>
      <c r="AN57" s="203"/>
      <c r="AO57" s="203"/>
      <c r="AP57" s="203"/>
      <c r="AQ57" s="203"/>
      <c r="AR57" s="203"/>
      <c r="AS57" s="203"/>
      <c r="AT57" s="203"/>
      <c r="AU57" s="203"/>
      <c r="AV57" s="203"/>
    </row>
    <row r="58" spans="1:48" ht="12" customHeight="1">
      <c r="A58" s="453"/>
      <c r="B58" s="458">
        <v>0</v>
      </c>
      <c r="C58" s="462">
        <v>240</v>
      </c>
      <c r="D58" s="448"/>
      <c r="E58" s="463">
        <v>490</v>
      </c>
      <c r="F58" s="285">
        <f t="shared" si="2"/>
        <v>0</v>
      </c>
      <c r="G58" s="310">
        <f t="shared" si="3"/>
        <v>0</v>
      </c>
      <c r="H58" s="311">
        <f t="shared" si="34"/>
        <v>0</v>
      </c>
      <c r="I58" s="467">
        <f t="shared" si="35"/>
        <v>0</v>
      </c>
      <c r="J58" s="286">
        <f t="shared" si="5"/>
        <v>0</v>
      </c>
      <c r="K58" s="284">
        <f t="shared" si="6"/>
        <v>0</v>
      </c>
      <c r="L58" s="312">
        <f t="shared" si="7"/>
        <v>0</v>
      </c>
      <c r="M58" s="312">
        <f t="shared" si="8"/>
        <v>0</v>
      </c>
      <c r="N58" s="443">
        <f t="shared" si="27"/>
        <v>0.61538461538461542</v>
      </c>
      <c r="O58" s="443">
        <f t="shared" si="28"/>
        <v>1.1428571428571428</v>
      </c>
      <c r="P58" s="443">
        <f t="shared" si="29"/>
        <v>0.42105263157894735</v>
      </c>
      <c r="Q58" s="203"/>
      <c r="R58" s="578">
        <f t="shared" si="10"/>
        <v>0.16851851851851851</v>
      </c>
      <c r="S58" s="283">
        <f t="shared" si="30"/>
        <v>0</v>
      </c>
      <c r="T58" s="283">
        <f t="shared" si="11"/>
        <v>0</v>
      </c>
      <c r="U58" s="285">
        <f t="shared" si="31"/>
        <v>0</v>
      </c>
      <c r="V58" s="285">
        <f t="shared" si="12"/>
        <v>0</v>
      </c>
      <c r="W58" s="286">
        <f t="shared" si="13"/>
        <v>0</v>
      </c>
      <c r="X58" s="284">
        <f t="shared" si="14"/>
        <v>0</v>
      </c>
      <c r="Y58" s="284">
        <f t="shared" si="15"/>
        <v>0</v>
      </c>
      <c r="Z58" s="300">
        <f t="shared" si="16"/>
        <v>0</v>
      </c>
      <c r="AA58" s="287">
        <f t="shared" si="17"/>
        <v>0</v>
      </c>
      <c r="AB58" s="287">
        <f t="shared" si="18"/>
        <v>0</v>
      </c>
      <c r="AC58" s="286">
        <f t="shared" si="19"/>
        <v>0</v>
      </c>
      <c r="AD58" s="287">
        <f t="shared" si="20"/>
        <v>0</v>
      </c>
      <c r="AE58" s="287">
        <f t="shared" si="21"/>
        <v>0</v>
      </c>
      <c r="AF58" s="287">
        <f t="shared" si="22"/>
        <v>0</v>
      </c>
      <c r="AG58" s="287">
        <f t="shared" si="23"/>
        <v>0</v>
      </c>
      <c r="AH58" s="288">
        <f t="shared" si="24"/>
        <v>0</v>
      </c>
      <c r="AI58" s="289">
        <f t="shared" si="25"/>
        <v>0</v>
      </c>
      <c r="AJ58" s="203"/>
      <c r="AK58" s="203"/>
      <c r="AL58" s="203"/>
      <c r="AM58" s="203"/>
      <c r="AN58" s="203"/>
      <c r="AO58" s="203"/>
      <c r="AP58" s="203"/>
      <c r="AQ58" s="203"/>
      <c r="AR58" s="203"/>
      <c r="AS58" s="203"/>
      <c r="AT58" s="203"/>
      <c r="AU58" s="203"/>
      <c r="AV58" s="203"/>
    </row>
    <row r="59" spans="1:48" ht="12" customHeight="1">
      <c r="A59" s="453"/>
      <c r="B59" s="458">
        <v>1</v>
      </c>
      <c r="C59" s="462">
        <v>280</v>
      </c>
      <c r="D59" s="448"/>
      <c r="E59" s="463">
        <v>533</v>
      </c>
      <c r="F59" s="285">
        <f t="shared" si="2"/>
        <v>0</v>
      </c>
      <c r="G59" s="310">
        <f t="shared" si="3"/>
        <v>0</v>
      </c>
      <c r="H59" s="311">
        <f t="shared" si="34"/>
        <v>0</v>
      </c>
      <c r="I59" s="467">
        <f t="shared" si="35"/>
        <v>0</v>
      </c>
      <c r="J59" s="286">
        <f t="shared" si="5"/>
        <v>0</v>
      </c>
      <c r="K59" s="284">
        <f t="shared" si="6"/>
        <v>0</v>
      </c>
      <c r="L59" s="312">
        <f t="shared" si="7"/>
        <v>0</v>
      </c>
      <c r="M59" s="312">
        <f t="shared" si="8"/>
        <v>0</v>
      </c>
      <c r="N59" s="443">
        <f t="shared" si="27"/>
        <v>0.57692307692307687</v>
      </c>
      <c r="O59" s="443">
        <f t="shared" si="28"/>
        <v>1.0714285714285714</v>
      </c>
      <c r="P59" s="443">
        <f t="shared" si="29"/>
        <v>0.39473684210526316</v>
      </c>
      <c r="Q59" s="203"/>
      <c r="R59" s="578">
        <f t="shared" si="10"/>
        <v>0.15648148148148147</v>
      </c>
      <c r="S59" s="283">
        <f t="shared" si="30"/>
        <v>0</v>
      </c>
      <c r="T59" s="283">
        <f t="shared" si="11"/>
        <v>0</v>
      </c>
      <c r="U59" s="285">
        <f t="shared" si="31"/>
        <v>0</v>
      </c>
      <c r="V59" s="285">
        <f t="shared" si="12"/>
        <v>1</v>
      </c>
      <c r="W59" s="286">
        <f t="shared" si="13"/>
        <v>0</v>
      </c>
      <c r="X59" s="284">
        <f t="shared" si="14"/>
        <v>0</v>
      </c>
      <c r="Y59" s="284">
        <f t="shared" si="15"/>
        <v>0</v>
      </c>
      <c r="Z59" s="300">
        <f t="shared" si="16"/>
        <v>0</v>
      </c>
      <c r="AA59" s="287">
        <f t="shared" si="17"/>
        <v>0</v>
      </c>
      <c r="AB59" s="287">
        <f t="shared" si="18"/>
        <v>0</v>
      </c>
      <c r="AC59" s="286">
        <f t="shared" si="19"/>
        <v>0</v>
      </c>
      <c r="AD59" s="287">
        <f t="shared" si="20"/>
        <v>0</v>
      </c>
      <c r="AE59" s="287">
        <f>IFERROR((AB59*AD59)*AA59/Y59,0)</f>
        <v>0</v>
      </c>
      <c r="AF59" s="287">
        <f t="shared" si="22"/>
        <v>0</v>
      </c>
      <c r="AG59" s="287">
        <f t="shared" si="23"/>
        <v>0</v>
      </c>
      <c r="AH59" s="288">
        <f t="shared" si="24"/>
        <v>0</v>
      </c>
      <c r="AI59" s="289">
        <f t="shared" si="25"/>
        <v>0</v>
      </c>
      <c r="AJ59" s="203"/>
      <c r="AK59" s="203"/>
      <c r="AL59" s="203"/>
      <c r="AM59" s="203"/>
      <c r="AN59" s="203"/>
      <c r="AO59" s="203"/>
      <c r="AP59" s="203"/>
      <c r="AQ59" s="203"/>
      <c r="AR59" s="203"/>
      <c r="AS59" s="203"/>
      <c r="AT59" s="203"/>
      <c r="AU59" s="203"/>
      <c r="AV59" s="203"/>
    </row>
    <row r="60" spans="1:48" ht="12" customHeight="1">
      <c r="A60" s="453" t="s">
        <v>9</v>
      </c>
      <c r="B60" s="458">
        <v>2</v>
      </c>
      <c r="C60" s="462">
        <v>320</v>
      </c>
      <c r="D60" s="448">
        <v>3</v>
      </c>
      <c r="E60" s="463">
        <v>380</v>
      </c>
      <c r="F60" s="285">
        <f t="shared" si="2"/>
        <v>3</v>
      </c>
      <c r="G60" s="310">
        <f t="shared" si="3"/>
        <v>2</v>
      </c>
      <c r="H60" s="313">
        <f>IF($B60&gt;=$F$16,_xlfn.XLOOKUP($B60,$F$6:$F$10,$G$6:$G$10,,0,1),0)</f>
        <v>0</v>
      </c>
      <c r="I60" s="314">
        <f>IF($B60&gt;=$F$16,_xlfn.XLOOKUP($B60,$F$6:$F$10,$H$6:$H$10,,0,1),0)</f>
        <v>0</v>
      </c>
      <c r="J60" s="286">
        <f t="shared" si="5"/>
        <v>0</v>
      </c>
      <c r="K60" s="284">
        <f t="shared" si="6"/>
        <v>0</v>
      </c>
      <c r="L60" s="312">
        <f t="shared" si="7"/>
        <v>2</v>
      </c>
      <c r="M60" s="312">
        <f t="shared" si="8"/>
        <v>2</v>
      </c>
      <c r="N60" s="443">
        <f t="shared" si="27"/>
        <v>0.53846153846153844</v>
      </c>
      <c r="O60" s="443">
        <f t="shared" si="28"/>
        <v>1</v>
      </c>
      <c r="P60" s="443">
        <f t="shared" si="29"/>
        <v>0.36842105263157893</v>
      </c>
      <c r="Q60" s="203"/>
      <c r="R60" s="578">
        <f t="shared" si="10"/>
        <v>0.14444444444444446</v>
      </c>
      <c r="S60" s="283">
        <f t="shared" si="30"/>
        <v>8.3565459610027853E-4</v>
      </c>
      <c r="T60" s="283">
        <f t="shared" si="11"/>
        <v>1</v>
      </c>
      <c r="U60" s="285">
        <f t="shared" si="31"/>
        <v>3</v>
      </c>
      <c r="V60" s="285">
        <f t="shared" si="12"/>
        <v>2</v>
      </c>
      <c r="W60" s="286">
        <f t="shared" si="13"/>
        <v>1</v>
      </c>
      <c r="X60" s="284">
        <f t="shared" si="14"/>
        <v>2.6</v>
      </c>
      <c r="Y60" s="284">
        <f t="shared" si="15"/>
        <v>2.6</v>
      </c>
      <c r="Z60" s="300">
        <f t="shared" si="16"/>
        <v>-3.1125639999999999</v>
      </c>
      <c r="AA60" s="287">
        <f>IF($V60&gt;=$X$6,$Y60+$Z60,0)</f>
        <v>-0.5125639999999998</v>
      </c>
      <c r="AB60" s="287">
        <f t="shared" si="18"/>
        <v>3</v>
      </c>
      <c r="AC60" s="286">
        <f t="shared" si="19"/>
        <v>1</v>
      </c>
      <c r="AD60" s="287">
        <f t="shared" si="20"/>
        <v>1</v>
      </c>
      <c r="AE60" s="287">
        <f t="shared" ref="AE60:AE73" si="36">IFERROR((AB60*AD60)*AA60/Y60,0)</f>
        <v>-0.59141999999999972</v>
      </c>
      <c r="AF60" s="287">
        <f t="shared" si="22"/>
        <v>3.1125639999999999</v>
      </c>
      <c r="AG60" s="287">
        <f t="shared" si="23"/>
        <v>0.8666666666666667</v>
      </c>
      <c r="AH60" s="288">
        <f t="shared" si="24"/>
        <v>3.9792306666666666</v>
      </c>
      <c r="AI60" s="289">
        <f t="shared" si="25"/>
        <v>0.6533926323446777</v>
      </c>
      <c r="AJ60" s="203"/>
      <c r="AK60" s="203"/>
      <c r="AL60" s="203"/>
      <c r="AM60" s="203"/>
      <c r="AN60" s="203"/>
      <c r="AO60" s="203"/>
      <c r="AP60" s="203"/>
      <c r="AQ60" s="203"/>
      <c r="AR60" s="203"/>
      <c r="AS60" s="203"/>
      <c r="AT60" s="203"/>
      <c r="AU60" s="203"/>
      <c r="AV60" s="203"/>
    </row>
    <row r="61" spans="1:48" ht="12" customHeight="1">
      <c r="A61" s="453"/>
      <c r="B61" s="458">
        <v>3</v>
      </c>
      <c r="C61" s="462">
        <v>357</v>
      </c>
      <c r="D61" s="448">
        <v>22</v>
      </c>
      <c r="E61" s="463">
        <v>228</v>
      </c>
      <c r="F61" s="285">
        <f t="shared" si="2"/>
        <v>22</v>
      </c>
      <c r="G61" s="310">
        <f t="shared" si="3"/>
        <v>1.8571428571428572</v>
      </c>
      <c r="H61" s="311">
        <f>IF($B61&gt;=$F$16,FORECAST($B61,$G$8:$G$9,$F$8:$F$9),0)</f>
        <v>0</v>
      </c>
      <c r="I61" s="467">
        <f>IF($B61&gt;=$F$16,FORECAST($B61,$H$8:$H$9,$F$8:$F$9),0)</f>
        <v>0</v>
      </c>
      <c r="J61" s="286">
        <f t="shared" si="5"/>
        <v>0</v>
      </c>
      <c r="K61" s="284">
        <f t="shared" si="6"/>
        <v>0</v>
      </c>
      <c r="L61" s="312">
        <f t="shared" si="7"/>
        <v>1.8571428571428572</v>
      </c>
      <c r="M61" s="312">
        <f t="shared" si="8"/>
        <v>1.8571428571428572</v>
      </c>
      <c r="N61" s="443">
        <f t="shared" si="27"/>
        <v>0.5</v>
      </c>
      <c r="O61" s="443">
        <f t="shared" si="28"/>
        <v>0.9285714285714286</v>
      </c>
      <c r="P61" s="443">
        <f t="shared" si="29"/>
        <v>0.34210526315789475</v>
      </c>
      <c r="Q61" s="203"/>
      <c r="R61" s="578">
        <f t="shared" si="10"/>
        <v>0.13240740740740742</v>
      </c>
      <c r="S61" s="283">
        <f t="shared" si="30"/>
        <v>6.128133704735376E-3</v>
      </c>
      <c r="T61" s="283">
        <f t="shared" si="11"/>
        <v>0.9285714285714286</v>
      </c>
      <c r="U61" s="285">
        <f t="shared" si="31"/>
        <v>22</v>
      </c>
      <c r="V61" s="285">
        <f t="shared" si="12"/>
        <v>3</v>
      </c>
      <c r="W61" s="286">
        <f t="shared" si="13"/>
        <v>0.9285714285714286</v>
      </c>
      <c r="X61" s="284">
        <f t="shared" si="14"/>
        <v>2.4142857142857146</v>
      </c>
      <c r="Y61" s="284">
        <f t="shared" si="15"/>
        <v>2.6</v>
      </c>
      <c r="Z61" s="300">
        <f t="shared" si="16"/>
        <v>-2.9272923333333329</v>
      </c>
      <c r="AA61" s="287">
        <f t="shared" ref="AA61:AA73" si="37">IF($V61&gt;=$X$6,$Y61+$Z61,0)</f>
        <v>-0.32729233333333285</v>
      </c>
      <c r="AB61" s="287">
        <f t="shared" si="18"/>
        <v>3</v>
      </c>
      <c r="AC61" s="286">
        <f t="shared" si="19"/>
        <v>0.9285714285714286</v>
      </c>
      <c r="AD61" s="287">
        <f t="shared" si="20"/>
        <v>0.98214285714285721</v>
      </c>
      <c r="AE61" s="287">
        <f t="shared" si="36"/>
        <v>-0.37090133928571378</v>
      </c>
      <c r="AF61" s="287">
        <f t="shared" si="22"/>
        <v>2.7415780476190474</v>
      </c>
      <c r="AG61" s="287">
        <f t="shared" si="23"/>
        <v>0.88242424242424233</v>
      </c>
      <c r="AH61" s="288">
        <f t="shared" si="24"/>
        <v>3.6240022900432898</v>
      </c>
      <c r="AI61" s="289">
        <f t="shared" si="25"/>
        <v>0.66619320879537169</v>
      </c>
      <c r="AJ61" s="203"/>
      <c r="AK61" s="203"/>
      <c r="AL61" s="203"/>
      <c r="AM61" s="203"/>
      <c r="AN61" s="203"/>
      <c r="AO61" s="203"/>
      <c r="AP61" s="203"/>
      <c r="AQ61" s="203"/>
      <c r="AR61" s="203"/>
      <c r="AS61" s="203"/>
      <c r="AT61" s="203"/>
      <c r="AU61" s="203"/>
      <c r="AV61" s="203"/>
    </row>
    <row r="62" spans="1:48" ht="12" customHeight="1">
      <c r="A62" s="453"/>
      <c r="B62" s="458">
        <v>4</v>
      </c>
      <c r="C62" s="462">
        <v>356</v>
      </c>
      <c r="D62" s="448">
        <v>63</v>
      </c>
      <c r="E62" s="463">
        <v>261</v>
      </c>
      <c r="F62" s="285">
        <f t="shared" si="2"/>
        <v>63</v>
      </c>
      <c r="G62" s="310">
        <f t="shared" si="3"/>
        <v>1.7142857142857142</v>
      </c>
      <c r="H62" s="311">
        <f>IF($B62&gt;$F$16,FORECAST($B62,$G$8:$G$9,$F$8:$F$9),0)</f>
        <v>0</v>
      </c>
      <c r="I62" s="467">
        <f t="shared" ref="I62:I64" si="38">IF($B62&gt;=$F$16,FORECAST($B62,$H$8:$H$9,$F$8:$F$9),0)</f>
        <v>0</v>
      </c>
      <c r="J62" s="286">
        <f t="shared" si="5"/>
        <v>0</v>
      </c>
      <c r="K62" s="284">
        <f t="shared" si="6"/>
        <v>0</v>
      </c>
      <c r="L62" s="312">
        <f t="shared" si="7"/>
        <v>1.7142857142857142</v>
      </c>
      <c r="M62" s="312">
        <f t="shared" si="8"/>
        <v>1.7142857142857142</v>
      </c>
      <c r="N62" s="443">
        <f t="shared" si="27"/>
        <v>0.46153846153846156</v>
      </c>
      <c r="O62" s="443">
        <f t="shared" si="28"/>
        <v>0.8571428571428571</v>
      </c>
      <c r="P62" s="443">
        <f t="shared" si="29"/>
        <v>0.31578947368421051</v>
      </c>
      <c r="Q62" s="203"/>
      <c r="R62" s="578">
        <f t="shared" si="10"/>
        <v>0.12037037037037038</v>
      </c>
      <c r="S62" s="283">
        <f t="shared" si="30"/>
        <v>1.754874651810585E-2</v>
      </c>
      <c r="T62" s="283">
        <f t="shared" si="11"/>
        <v>0.8571428571428571</v>
      </c>
      <c r="U62" s="285">
        <f t="shared" si="31"/>
        <v>63</v>
      </c>
      <c r="V62" s="285">
        <f t="shared" si="12"/>
        <v>4</v>
      </c>
      <c r="W62" s="286">
        <f t="shared" si="13"/>
        <v>0.8571428571428571</v>
      </c>
      <c r="X62" s="284">
        <f t="shared" si="14"/>
        <v>2.2285714285714286</v>
      </c>
      <c r="Y62" s="284">
        <f t="shared" si="15"/>
        <v>2.6</v>
      </c>
      <c r="Z62" s="300">
        <f t="shared" si="16"/>
        <v>-2.7434737777777771</v>
      </c>
      <c r="AA62" s="287">
        <f t="shared" si="37"/>
        <v>-0.14347377777777703</v>
      </c>
      <c r="AB62" s="287">
        <f t="shared" si="18"/>
        <v>3</v>
      </c>
      <c r="AC62" s="286">
        <f t="shared" si="19"/>
        <v>0.8571428571428571</v>
      </c>
      <c r="AD62" s="287">
        <f t="shared" si="20"/>
        <v>0.9642857142857143</v>
      </c>
      <c r="AE62" s="287">
        <f t="shared" si="36"/>
        <v>-0.15963428571428487</v>
      </c>
      <c r="AF62" s="287">
        <f t="shared" si="22"/>
        <v>2.3720452063492057</v>
      </c>
      <c r="AG62" s="287">
        <f t="shared" si="23"/>
        <v>0.89876543209876558</v>
      </c>
      <c r="AH62" s="288">
        <f t="shared" si="24"/>
        <v>3.2708106384479714</v>
      </c>
      <c r="AI62" s="289">
        <f t="shared" si="25"/>
        <v>0.68135140639902825</v>
      </c>
      <c r="AJ62" s="203"/>
      <c r="AK62" s="203"/>
      <c r="AL62" s="203"/>
      <c r="AM62" s="203"/>
      <c r="AN62" s="203"/>
      <c r="AO62" s="203"/>
      <c r="AP62" s="203"/>
      <c r="AQ62" s="203"/>
      <c r="AR62" s="203"/>
      <c r="AS62" s="203"/>
      <c r="AT62" s="203"/>
      <c r="AU62" s="203"/>
      <c r="AV62" s="203"/>
    </row>
    <row r="63" spans="1:48" ht="12" customHeight="1">
      <c r="A63" s="453"/>
      <c r="B63" s="458">
        <v>5</v>
      </c>
      <c r="C63" s="462">
        <v>303</v>
      </c>
      <c r="D63" s="448">
        <v>63</v>
      </c>
      <c r="E63" s="463">
        <v>279</v>
      </c>
      <c r="F63" s="285">
        <f t="shared" si="2"/>
        <v>63</v>
      </c>
      <c r="G63" s="315">
        <f t="shared" si="3"/>
        <v>1.5714285714285714</v>
      </c>
      <c r="H63" s="311">
        <f>IF($B63&gt;=$F$16,FORECAST($B63,$G$8:$G$9,$F$8:$F$9),0)</f>
        <v>0</v>
      </c>
      <c r="I63" s="468">
        <f>IF($B63&gt;=$F$16,FORECAST($B63,$H$8:$H$9,$F$8:$F$9),0)</f>
        <v>0</v>
      </c>
      <c r="J63" s="286">
        <f t="shared" si="5"/>
        <v>0</v>
      </c>
      <c r="K63" s="284">
        <f t="shared" si="6"/>
        <v>0</v>
      </c>
      <c r="L63" s="312">
        <f t="shared" si="7"/>
        <v>1.5714285714285714</v>
      </c>
      <c r="M63" s="312">
        <f t="shared" si="8"/>
        <v>1.5714285714285714</v>
      </c>
      <c r="N63" s="443">
        <f t="shared" si="27"/>
        <v>0.42307692307692307</v>
      </c>
      <c r="O63" s="443">
        <f t="shared" si="28"/>
        <v>0.7857142857142857</v>
      </c>
      <c r="P63" s="443">
        <f t="shared" si="29"/>
        <v>0.28947368421052633</v>
      </c>
      <c r="Q63" s="203"/>
      <c r="R63" s="578">
        <f t="shared" si="10"/>
        <v>0.10833333333333335</v>
      </c>
      <c r="S63" s="283">
        <f t="shared" si="30"/>
        <v>1.754874651810585E-2</v>
      </c>
      <c r="T63" s="283">
        <f t="shared" si="11"/>
        <v>0.7857142857142857</v>
      </c>
      <c r="U63" s="285">
        <f t="shared" si="31"/>
        <v>63</v>
      </c>
      <c r="V63" s="285">
        <f t="shared" si="12"/>
        <v>5</v>
      </c>
      <c r="W63" s="286">
        <f t="shared" si="13"/>
        <v>0.7857142857142857</v>
      </c>
      <c r="X63" s="284">
        <f t="shared" si="14"/>
        <v>2.0428571428571427</v>
      </c>
      <c r="Y63" s="284">
        <f t="shared" si="15"/>
        <v>2.6</v>
      </c>
      <c r="Z63" s="300">
        <f t="shared" si="16"/>
        <v>-2.5611083333333329</v>
      </c>
      <c r="AA63" s="287">
        <f t="shared" si="37"/>
        <v>3.8891666666667213E-2</v>
      </c>
      <c r="AB63" s="287">
        <f t="shared" si="18"/>
        <v>3</v>
      </c>
      <c r="AC63" s="286">
        <f t="shared" si="19"/>
        <v>0.78571428571428559</v>
      </c>
      <c r="AD63" s="287">
        <f t="shared" si="20"/>
        <v>0.9464285714285714</v>
      </c>
      <c r="AE63" s="287">
        <f t="shared" si="36"/>
        <v>4.2470982142857737E-2</v>
      </c>
      <c r="AF63" s="287">
        <f t="shared" si="22"/>
        <v>2.0039654761904755</v>
      </c>
      <c r="AG63" s="287">
        <f t="shared" si="23"/>
        <v>0.91572327044025159</v>
      </c>
      <c r="AH63" s="288">
        <f t="shared" si="24"/>
        <v>2.9196887466307269</v>
      </c>
      <c r="AI63" s="289">
        <f t="shared" si="25"/>
        <v>0.69968319233156839</v>
      </c>
      <c r="AJ63" s="203"/>
      <c r="AK63" s="203"/>
      <c r="AL63" s="203"/>
      <c r="AM63" s="203"/>
      <c r="AN63" s="203"/>
      <c r="AO63" s="203"/>
      <c r="AP63" s="203"/>
      <c r="AQ63" s="203"/>
      <c r="AR63" s="203"/>
      <c r="AS63" s="203"/>
      <c r="AT63" s="203"/>
      <c r="AU63" s="203"/>
      <c r="AV63" s="203"/>
    </row>
    <row r="64" spans="1:48" ht="12" customHeight="1">
      <c r="A64" s="453"/>
      <c r="B64" s="458">
        <v>6</v>
      </c>
      <c r="C64" s="462">
        <v>330</v>
      </c>
      <c r="D64" s="448">
        <v>175</v>
      </c>
      <c r="E64" s="463">
        <v>229</v>
      </c>
      <c r="F64" s="285">
        <f t="shared" si="2"/>
        <v>175</v>
      </c>
      <c r="G64" s="310">
        <f t="shared" si="3"/>
        <v>1.4285714285714286</v>
      </c>
      <c r="H64" s="311">
        <f>IF($B64&gt;=$F$16,FORECAST($B64,$G$8:$G$9,$F$8:$F$9),0)</f>
        <v>0</v>
      </c>
      <c r="I64" s="467">
        <f t="shared" si="38"/>
        <v>0</v>
      </c>
      <c r="J64" s="286">
        <f t="shared" si="5"/>
        <v>0</v>
      </c>
      <c r="K64" s="284">
        <f t="shared" si="6"/>
        <v>0</v>
      </c>
      <c r="L64" s="312">
        <f t="shared" si="7"/>
        <v>1.4285714285714286</v>
      </c>
      <c r="M64" s="312">
        <f t="shared" si="8"/>
        <v>1.4285714285714286</v>
      </c>
      <c r="N64" s="443">
        <f t="shared" si="27"/>
        <v>0.38461538461538464</v>
      </c>
      <c r="O64" s="443">
        <f t="shared" si="28"/>
        <v>0.7142857142857143</v>
      </c>
      <c r="P64" s="443">
        <f t="shared" si="29"/>
        <v>0.26315789473684209</v>
      </c>
      <c r="Q64" s="203"/>
      <c r="R64" s="578">
        <f t="shared" si="10"/>
        <v>9.6296296296296324E-2</v>
      </c>
      <c r="S64" s="283">
        <f t="shared" si="30"/>
        <v>4.8746518105849582E-2</v>
      </c>
      <c r="T64" s="283">
        <f t="shared" si="11"/>
        <v>0.7142857142857143</v>
      </c>
      <c r="U64" s="285">
        <f t="shared" si="31"/>
        <v>175</v>
      </c>
      <c r="V64" s="285">
        <f t="shared" si="12"/>
        <v>6</v>
      </c>
      <c r="W64" s="286">
        <f t="shared" si="13"/>
        <v>0.7142857142857143</v>
      </c>
      <c r="X64" s="284">
        <f t="shared" si="14"/>
        <v>1.8571428571428572</v>
      </c>
      <c r="Y64" s="284">
        <f t="shared" si="15"/>
        <v>2.6</v>
      </c>
      <c r="Z64" s="300">
        <f t="shared" si="16"/>
        <v>-2.3801959999999993</v>
      </c>
      <c r="AA64" s="287">
        <f t="shared" si="37"/>
        <v>0.21980400000000078</v>
      </c>
      <c r="AB64" s="287">
        <f t="shared" si="18"/>
        <v>3</v>
      </c>
      <c r="AC64" s="286">
        <f t="shared" si="19"/>
        <v>0.7142857142857143</v>
      </c>
      <c r="AD64" s="287">
        <f t="shared" si="20"/>
        <v>0.9285714285714286</v>
      </c>
      <c r="AE64" s="287">
        <f t="shared" si="36"/>
        <v>0.2355042857142865</v>
      </c>
      <c r="AF64" s="287">
        <f t="shared" si="22"/>
        <v>1.6373388571428564</v>
      </c>
      <c r="AG64" s="287">
        <f t="shared" si="23"/>
        <v>0.93333333333333357</v>
      </c>
      <c r="AH64" s="288">
        <f t="shared" si="24"/>
        <v>2.57067219047619</v>
      </c>
      <c r="AI64" s="289">
        <f t="shared" si="25"/>
        <v>0.72243472505875628</v>
      </c>
      <c r="AJ64" s="203"/>
      <c r="AK64" s="203"/>
      <c r="AL64" s="203"/>
      <c r="AM64" s="203"/>
      <c r="AN64" s="203"/>
      <c r="AO64" s="203"/>
      <c r="AP64" s="203"/>
      <c r="AQ64" s="203"/>
      <c r="AR64" s="203"/>
      <c r="AS64" s="203"/>
      <c r="AT64" s="203"/>
      <c r="AU64" s="203"/>
      <c r="AV64" s="203"/>
    </row>
    <row r="65" spans="1:48" ht="12" customHeight="1">
      <c r="A65" s="453" t="s">
        <v>0</v>
      </c>
      <c r="B65" s="458">
        <v>7</v>
      </c>
      <c r="C65" s="462">
        <v>326</v>
      </c>
      <c r="D65" s="448">
        <v>162</v>
      </c>
      <c r="E65" s="463">
        <v>269</v>
      </c>
      <c r="F65" s="285">
        <f t="shared" si="2"/>
        <v>162</v>
      </c>
      <c r="G65" s="310">
        <f t="shared" si="3"/>
        <v>1.2857142857142858</v>
      </c>
      <c r="H65" s="313">
        <f>IF($B65&gt;=$F$16,_xlfn.XLOOKUP($B65,$F$6:$F$10,$G$6:$G$10,,0,1),0)</f>
        <v>1.7</v>
      </c>
      <c r="I65" s="314">
        <f>IF($B65&gt;=$F$16,_xlfn.XLOOKUP($B65,$F$6:$F$10,$H$6:$H$10,,0,1),0)</f>
        <v>3.1</v>
      </c>
      <c r="J65" s="286">
        <f t="shared" si="5"/>
        <v>0.75630252100840345</v>
      </c>
      <c r="K65" s="284">
        <f t="shared" si="6"/>
        <v>2.9111344537815125</v>
      </c>
      <c r="L65" s="312">
        <f t="shared" si="7"/>
        <v>0</v>
      </c>
      <c r="M65" s="312">
        <f t="shared" si="8"/>
        <v>0.44165403767049149</v>
      </c>
      <c r="N65" s="443">
        <f t="shared" si="27"/>
        <v>0.34615384615384615</v>
      </c>
      <c r="O65" s="443">
        <f t="shared" si="28"/>
        <v>0.6428571428571429</v>
      </c>
      <c r="P65" s="443">
        <f t="shared" si="29"/>
        <v>0.23684210526315788</v>
      </c>
      <c r="Q65" s="203"/>
      <c r="R65" s="578">
        <f t="shared" si="10"/>
        <v>8.4259259259259284E-2</v>
      </c>
      <c r="S65" s="283">
        <f t="shared" si="30"/>
        <v>4.5125348189415042E-2</v>
      </c>
      <c r="T65" s="283">
        <f t="shared" si="11"/>
        <v>0.6428571428571429</v>
      </c>
      <c r="U65" s="285">
        <f t="shared" si="31"/>
        <v>162</v>
      </c>
      <c r="V65" s="285">
        <f t="shared" si="12"/>
        <v>7</v>
      </c>
      <c r="W65" s="286">
        <f t="shared" si="13"/>
        <v>0.6428571428571429</v>
      </c>
      <c r="X65" s="284">
        <f t="shared" si="14"/>
        <v>1.6714285714285717</v>
      </c>
      <c r="Y65" s="284">
        <f t="shared" si="15"/>
        <v>2.6</v>
      </c>
      <c r="Z65" s="300">
        <f t="shared" si="16"/>
        <v>-2.2007367777777773</v>
      </c>
      <c r="AA65" s="287">
        <f t="shared" si="37"/>
        <v>0.39926322222222277</v>
      </c>
      <c r="AB65" s="287">
        <f t="shared" si="18"/>
        <v>3</v>
      </c>
      <c r="AC65" s="286">
        <f t="shared" si="19"/>
        <v>0.6428571428571429</v>
      </c>
      <c r="AD65" s="287">
        <f t="shared" si="20"/>
        <v>0.9107142857142857</v>
      </c>
      <c r="AE65" s="287">
        <f t="shared" si="36"/>
        <v>0.41955544642857195</v>
      </c>
      <c r="AF65" s="287">
        <f t="shared" si="22"/>
        <v>1.2721653492063489</v>
      </c>
      <c r="AG65" s="287">
        <f t="shared" si="23"/>
        <v>0.95163398692810464</v>
      </c>
      <c r="AH65" s="288">
        <f t="shared" si="24"/>
        <v>2.2237993361344537</v>
      </c>
      <c r="AI65" s="289">
        <f t="shared" si="25"/>
        <v>0.7516094389766087</v>
      </c>
      <c r="AJ65" s="203"/>
      <c r="AK65" s="203"/>
      <c r="AL65" s="203"/>
      <c r="AM65" s="203"/>
      <c r="AN65" s="203"/>
      <c r="AO65" s="203"/>
      <c r="AP65" s="203"/>
      <c r="AQ65" s="203"/>
      <c r="AR65" s="203"/>
      <c r="AS65" s="203"/>
      <c r="AT65" s="203"/>
      <c r="AU65" s="203"/>
      <c r="AV65" s="203"/>
    </row>
    <row r="66" spans="1:48" ht="12" customHeight="1">
      <c r="A66" s="453"/>
      <c r="B66" s="458">
        <v>8</v>
      </c>
      <c r="C66" s="462">
        <v>348</v>
      </c>
      <c r="D66" s="448">
        <v>259</v>
      </c>
      <c r="E66" s="463">
        <v>233</v>
      </c>
      <c r="F66" s="285">
        <f t="shared" si="2"/>
        <v>259</v>
      </c>
      <c r="G66" s="310">
        <f t="shared" si="3"/>
        <v>1.1428571428571428</v>
      </c>
      <c r="H66" s="311">
        <f>IF($B66&gt;=$F$16,FORECAST($B66,$G$9:$G$10,$F$9:$F$10),0)</f>
        <v>1.87</v>
      </c>
      <c r="I66" s="467">
        <f>IF($B66&gt;=$F$16,FORECAST($B66,$H$9:$H$10,$F$9:$F$10),0)</f>
        <v>3.41</v>
      </c>
      <c r="J66" s="286">
        <f t="shared" si="5"/>
        <v>0.61115355233002289</v>
      </c>
      <c r="K66" s="284">
        <f t="shared" si="6"/>
        <v>3.0785084033613446</v>
      </c>
      <c r="L66" s="312">
        <f t="shared" si="7"/>
        <v>0</v>
      </c>
      <c r="M66" s="312">
        <f t="shared" si="8"/>
        <v>0.37123729842974812</v>
      </c>
      <c r="N66" s="443">
        <f t="shared" si="27"/>
        <v>0.30769230769230771</v>
      </c>
      <c r="O66" s="443">
        <f t="shared" si="28"/>
        <v>0.5714285714285714</v>
      </c>
      <c r="P66" s="443">
        <f t="shared" si="29"/>
        <v>0.21052631578947367</v>
      </c>
      <c r="Q66" s="203"/>
      <c r="R66" s="578">
        <f t="shared" si="10"/>
        <v>7.2222222222222257E-2</v>
      </c>
      <c r="S66" s="283">
        <f t="shared" si="30"/>
        <v>7.2144846796657378E-2</v>
      </c>
      <c r="T66" s="283">
        <f t="shared" si="11"/>
        <v>0.5714285714285714</v>
      </c>
      <c r="U66" s="285">
        <f t="shared" si="31"/>
        <v>259</v>
      </c>
      <c r="V66" s="285">
        <f t="shared" si="12"/>
        <v>8</v>
      </c>
      <c r="W66" s="286">
        <f t="shared" si="13"/>
        <v>0.5714285714285714</v>
      </c>
      <c r="X66" s="284">
        <f t="shared" si="14"/>
        <v>1.4857142857142858</v>
      </c>
      <c r="Y66" s="284">
        <f t="shared" si="15"/>
        <v>2.6</v>
      </c>
      <c r="Z66" s="300">
        <f t="shared" si="16"/>
        <v>-2.0227306666666665</v>
      </c>
      <c r="AA66" s="287">
        <f t="shared" si="37"/>
        <v>0.57726933333333363</v>
      </c>
      <c r="AB66" s="287">
        <f t="shared" si="18"/>
        <v>3</v>
      </c>
      <c r="AC66" s="286">
        <f t="shared" si="19"/>
        <v>0.5714285714285714</v>
      </c>
      <c r="AD66" s="287">
        <f t="shared" si="20"/>
        <v>0.89285714285714279</v>
      </c>
      <c r="AE66" s="287">
        <f t="shared" si="36"/>
        <v>0.59471428571428597</v>
      </c>
      <c r="AF66" s="287">
        <f t="shared" si="22"/>
        <v>0.90844495238095213</v>
      </c>
      <c r="AG66" s="287">
        <f t="shared" si="23"/>
        <v>0.97066666666666679</v>
      </c>
      <c r="AH66" s="288">
        <f t="shared" si="24"/>
        <v>1.8791116190476189</v>
      </c>
      <c r="AI66" s="289">
        <f t="shared" si="25"/>
        <v>0.79064717106442206</v>
      </c>
      <c r="AJ66" s="203"/>
      <c r="AK66" s="203"/>
      <c r="AL66" s="203"/>
      <c r="AM66" s="203"/>
      <c r="AN66" s="203"/>
      <c r="AO66" s="203"/>
      <c r="AP66" s="203"/>
      <c r="AQ66" s="203"/>
      <c r="AR66" s="203"/>
      <c r="AS66" s="203"/>
      <c r="AT66" s="203"/>
      <c r="AU66" s="203"/>
      <c r="AV66" s="203"/>
    </row>
    <row r="67" spans="1:48" ht="12" customHeight="1">
      <c r="A67" s="453"/>
      <c r="B67" s="458">
        <v>9</v>
      </c>
      <c r="C67" s="462">
        <v>335</v>
      </c>
      <c r="D67" s="448">
        <v>360</v>
      </c>
      <c r="E67" s="463">
        <v>230</v>
      </c>
      <c r="F67" s="285">
        <f t="shared" si="2"/>
        <v>360</v>
      </c>
      <c r="G67" s="310">
        <f t="shared" si="3"/>
        <v>1</v>
      </c>
      <c r="H67" s="311">
        <f>IF($B67&gt;=$F$16,FORECAST($B67,$G$9:$G$10,$F$9:$F$10),0)</f>
        <v>2.04</v>
      </c>
      <c r="I67" s="467">
        <f t="shared" ref="I67:I69" si="39">IF($B67&gt;=$F$16,FORECAST($B67,$H$9:$H$10,$F$9:$F$10),0)</f>
        <v>3.72</v>
      </c>
      <c r="J67" s="286">
        <f t="shared" si="5"/>
        <v>0.49019607843137253</v>
      </c>
      <c r="K67" s="284">
        <f t="shared" si="6"/>
        <v>3.2458823529411767</v>
      </c>
      <c r="L67" s="312">
        <f t="shared" si="7"/>
        <v>0</v>
      </c>
      <c r="M67" s="312">
        <f t="shared" si="8"/>
        <v>0.30808263863718738</v>
      </c>
      <c r="N67" s="443">
        <f t="shared" si="27"/>
        <v>0.26923076923076922</v>
      </c>
      <c r="O67" s="443">
        <f t="shared" si="28"/>
        <v>0.5</v>
      </c>
      <c r="P67" s="443">
        <f t="shared" si="29"/>
        <v>0.18421052631578946</v>
      </c>
      <c r="Q67" s="203"/>
      <c r="R67" s="578">
        <f t="shared" si="10"/>
        <v>6.018518518518523E-2</v>
      </c>
      <c r="S67" s="283">
        <f t="shared" si="30"/>
        <v>0.10027855153203342</v>
      </c>
      <c r="T67" s="283">
        <f t="shared" si="11"/>
        <v>0.5</v>
      </c>
      <c r="U67" s="285">
        <f t="shared" si="31"/>
        <v>360</v>
      </c>
      <c r="V67" s="285">
        <f t="shared" si="12"/>
        <v>9</v>
      </c>
      <c r="W67" s="286">
        <f t="shared" si="13"/>
        <v>0.5</v>
      </c>
      <c r="X67" s="284">
        <f t="shared" si="14"/>
        <v>1.3</v>
      </c>
      <c r="Y67" s="284">
        <f t="shared" si="15"/>
        <v>2.6</v>
      </c>
      <c r="Z67" s="300">
        <f t="shared" si="16"/>
        <v>-1.8461776666666661</v>
      </c>
      <c r="AA67" s="287">
        <f t="shared" si="37"/>
        <v>0.75382233333333404</v>
      </c>
      <c r="AB67" s="287">
        <f t="shared" si="18"/>
        <v>3</v>
      </c>
      <c r="AC67" s="286">
        <f t="shared" si="19"/>
        <v>0.5</v>
      </c>
      <c r="AD67" s="287">
        <f t="shared" si="20"/>
        <v>0.875</v>
      </c>
      <c r="AE67" s="287">
        <f t="shared" si="36"/>
        <v>0.76107062500000067</v>
      </c>
      <c r="AF67" s="287">
        <f t="shared" si="22"/>
        <v>0.54617766666666601</v>
      </c>
      <c r="AG67" s="287">
        <f t="shared" si="23"/>
        <v>0.99047619047619051</v>
      </c>
      <c r="AH67" s="288">
        <f t="shared" si="24"/>
        <v>1.5366538571428565</v>
      </c>
      <c r="AI67" s="289">
        <f t="shared" si="25"/>
        <v>0.84599403695060282</v>
      </c>
      <c r="AJ67" s="203"/>
      <c r="AK67" s="203"/>
      <c r="AL67" s="203"/>
      <c r="AM67" s="203"/>
      <c r="AN67" s="203"/>
      <c r="AO67" s="203"/>
      <c r="AP67" s="203"/>
      <c r="AQ67" s="203"/>
      <c r="AR67" s="203"/>
      <c r="AS67" s="203"/>
      <c r="AT67" s="203"/>
      <c r="AU67" s="203"/>
      <c r="AV67" s="203"/>
    </row>
    <row r="68" spans="1:48" ht="12" customHeight="1">
      <c r="A68" s="453"/>
      <c r="B68" s="458">
        <v>10</v>
      </c>
      <c r="C68" s="462">
        <v>315</v>
      </c>
      <c r="D68" s="448">
        <v>428</v>
      </c>
      <c r="E68" s="463">
        <v>243</v>
      </c>
      <c r="F68" s="285">
        <f t="shared" si="2"/>
        <v>428</v>
      </c>
      <c r="G68" s="310">
        <f t="shared" si="3"/>
        <v>0.8571428571428571</v>
      </c>
      <c r="H68" s="311">
        <f>IF($B68&gt;=$F$16,FORECAST($B68,$G$9:$G$10,$F$9:$F$10),0)</f>
        <v>2.21</v>
      </c>
      <c r="I68" s="467">
        <f t="shared" si="39"/>
        <v>4.03</v>
      </c>
      <c r="J68" s="286">
        <f t="shared" si="5"/>
        <v>0.38784744667097609</v>
      </c>
      <c r="K68" s="284">
        <f t="shared" si="6"/>
        <v>3.4132563025210088</v>
      </c>
      <c r="L68" s="312">
        <f t="shared" si="7"/>
        <v>0</v>
      </c>
      <c r="M68" s="312">
        <f t="shared" si="8"/>
        <v>0.25112173864874343</v>
      </c>
      <c r="N68" s="443">
        <f t="shared" si="27"/>
        <v>0.23076923076923078</v>
      </c>
      <c r="O68" s="443">
        <f t="shared" si="28"/>
        <v>0.42857142857142855</v>
      </c>
      <c r="P68" s="443">
        <f t="shared" si="29"/>
        <v>0.15789473684210525</v>
      </c>
      <c r="Q68" s="203"/>
      <c r="R68" s="578">
        <f t="shared" si="10"/>
        <v>4.814814814814819E-2</v>
      </c>
      <c r="S68" s="283">
        <f t="shared" si="30"/>
        <v>0.1192200557103064</v>
      </c>
      <c r="T68" s="283">
        <f t="shared" si="11"/>
        <v>0.42857142857142855</v>
      </c>
      <c r="U68" s="285">
        <f t="shared" si="31"/>
        <v>428</v>
      </c>
      <c r="V68" s="285">
        <f t="shared" si="12"/>
        <v>10</v>
      </c>
      <c r="W68" s="286">
        <f t="shared" si="13"/>
        <v>0.42857142857142855</v>
      </c>
      <c r="X68" s="284">
        <f t="shared" si="14"/>
        <v>1.1142857142857143</v>
      </c>
      <c r="Y68" s="284">
        <f t="shared" si="15"/>
        <v>2.6</v>
      </c>
      <c r="Z68" s="300">
        <f t="shared" si="16"/>
        <v>-1.6710777777777774</v>
      </c>
      <c r="AA68" s="287">
        <f t="shared" si="37"/>
        <v>0.92892222222222265</v>
      </c>
      <c r="AB68" s="287">
        <f t="shared" si="18"/>
        <v>3</v>
      </c>
      <c r="AC68" s="286">
        <f t="shared" si="19"/>
        <v>0.42857142857142855</v>
      </c>
      <c r="AD68" s="287">
        <f t="shared" si="20"/>
        <v>0.85714285714285721</v>
      </c>
      <c r="AE68" s="287">
        <f t="shared" si="36"/>
        <v>0.91871428571428615</v>
      </c>
      <c r="AF68" s="287">
        <f t="shared" ref="AF68:AF73" si="40">IF(X68&gt;AA68,X68-AA68,0)</f>
        <v>0.18536349206349167</v>
      </c>
      <c r="AG68" s="287">
        <f t="shared" si="23"/>
        <v>1.0111111111111111</v>
      </c>
      <c r="AH68" s="288">
        <f t="shared" si="24"/>
        <v>1.1964746031746027</v>
      </c>
      <c r="AI68" s="289">
        <f t="shared" si="25"/>
        <v>0.93130745218426125</v>
      </c>
      <c r="AJ68" s="203"/>
      <c r="AK68" s="203"/>
      <c r="AL68" s="203"/>
      <c r="AM68" s="203"/>
      <c r="AN68" s="203"/>
      <c r="AO68" s="203"/>
      <c r="AP68" s="203"/>
      <c r="AQ68" s="203"/>
      <c r="AR68" s="203"/>
      <c r="AS68" s="203"/>
      <c r="AT68" s="203"/>
      <c r="AU68" s="203"/>
      <c r="AV68" s="203"/>
    </row>
    <row r="69" spans="1:48" ht="12" customHeight="1">
      <c r="A69" s="453"/>
      <c r="B69" s="458">
        <v>11</v>
      </c>
      <c r="C69" s="462">
        <v>215</v>
      </c>
      <c r="D69" s="448">
        <v>430</v>
      </c>
      <c r="E69" s="463">
        <v>191</v>
      </c>
      <c r="F69" s="285">
        <f t="shared" si="2"/>
        <v>430</v>
      </c>
      <c r="G69" s="310">
        <f t="shared" si="3"/>
        <v>0.7142857142857143</v>
      </c>
      <c r="H69" s="311">
        <f>IF($B69&gt;=$F$16,FORECAST($B69,$G$9:$G$10,$F$9:$F$10),0)</f>
        <v>2.38</v>
      </c>
      <c r="I69" s="467">
        <f t="shared" si="39"/>
        <v>4.34</v>
      </c>
      <c r="J69" s="286">
        <f t="shared" si="5"/>
        <v>0.30012004801920772</v>
      </c>
      <c r="K69" s="284">
        <f t="shared" si="6"/>
        <v>3.5806302521008404</v>
      </c>
      <c r="L69" s="312">
        <f t="shared" si="7"/>
        <v>0</v>
      </c>
      <c r="M69" s="312">
        <f t="shared" si="8"/>
        <v>0.19948603011065608</v>
      </c>
      <c r="N69" s="443">
        <f t="shared" si="27"/>
        <v>0.19230769230769232</v>
      </c>
      <c r="O69" s="443">
        <f t="shared" si="28"/>
        <v>0.35714285714285715</v>
      </c>
      <c r="P69" s="443">
        <f t="shared" si="29"/>
        <v>0.13157894736842105</v>
      </c>
      <c r="Q69" s="203"/>
      <c r="R69" s="578">
        <f t="shared" si="10"/>
        <v>3.6111111111111149E-2</v>
      </c>
      <c r="S69" s="283">
        <f t="shared" si="30"/>
        <v>0.11977715877437325</v>
      </c>
      <c r="T69" s="283">
        <f t="shared" si="11"/>
        <v>0.35714285714285715</v>
      </c>
      <c r="U69" s="285">
        <f t="shared" si="31"/>
        <v>430</v>
      </c>
      <c r="V69" s="285">
        <f t="shared" si="12"/>
        <v>11</v>
      </c>
      <c r="W69" s="286">
        <f t="shared" si="13"/>
        <v>0.35714285714285715</v>
      </c>
      <c r="X69" s="284">
        <f t="shared" si="14"/>
        <v>0.9285714285714286</v>
      </c>
      <c r="Y69" s="284">
        <f t="shared" si="15"/>
        <v>2.6</v>
      </c>
      <c r="Z69" s="300">
        <f t="shared" si="16"/>
        <v>-1.4974309999999997</v>
      </c>
      <c r="AA69" s="287">
        <f t="shared" si="37"/>
        <v>1.1025690000000004</v>
      </c>
      <c r="AB69" s="287">
        <f t="shared" si="18"/>
        <v>3</v>
      </c>
      <c r="AC69" s="286">
        <f t="shared" si="19"/>
        <v>0.35714285714285715</v>
      </c>
      <c r="AD69" s="287">
        <f t="shared" si="20"/>
        <v>0.8392857142857143</v>
      </c>
      <c r="AE69" s="287">
        <f t="shared" si="36"/>
        <v>1.0677350892857147</v>
      </c>
      <c r="AF69" s="287">
        <f t="shared" si="40"/>
        <v>0</v>
      </c>
      <c r="AG69" s="287">
        <f t="shared" si="23"/>
        <v>1.0326241134751772</v>
      </c>
      <c r="AH69" s="288">
        <f t="shared" si="24"/>
        <v>1.0326241134751772</v>
      </c>
      <c r="AI69" s="289">
        <f t="shared" si="25"/>
        <v>0.89923469387755106</v>
      </c>
      <c r="AJ69" s="203"/>
      <c r="AK69" s="203"/>
      <c r="AL69" s="203"/>
      <c r="AM69" s="203"/>
      <c r="AN69" s="203"/>
      <c r="AO69" s="203"/>
      <c r="AP69" s="203"/>
      <c r="AQ69" s="203"/>
      <c r="AR69" s="203"/>
      <c r="AS69" s="203"/>
      <c r="AT69" s="203"/>
      <c r="AU69" s="203"/>
      <c r="AV69" s="203"/>
    </row>
    <row r="70" spans="1:48" ht="12" customHeight="1">
      <c r="A70" s="453" t="s">
        <v>10</v>
      </c>
      <c r="B70" s="458">
        <v>12</v>
      </c>
      <c r="C70" s="462">
        <v>169</v>
      </c>
      <c r="D70" s="448">
        <v>503</v>
      </c>
      <c r="E70" s="463">
        <v>146</v>
      </c>
      <c r="F70" s="285">
        <f t="shared" si="2"/>
        <v>503</v>
      </c>
      <c r="G70" s="310">
        <f t="shared" si="3"/>
        <v>0.5714285714285714</v>
      </c>
      <c r="H70" s="313">
        <f>IF($B70&gt;=$F$16,_xlfn.XLOOKUP($B70,$F$6:$F$10,$G$6:$G$10,,0,1),0)</f>
        <v>2.5499999999999998</v>
      </c>
      <c r="I70" s="314">
        <f>IF($B70&gt;=$F$16,_xlfn.XLOOKUP($B70,$F$6:$F$10,$H$6:$H$10,,0,1),0)</f>
        <v>4.6500000000000004</v>
      </c>
      <c r="J70" s="286">
        <f t="shared" si="5"/>
        <v>0.22408963585434175</v>
      </c>
      <c r="K70" s="284">
        <f t="shared" si="6"/>
        <v>3.7480042016806725</v>
      </c>
      <c r="L70" s="312">
        <f t="shared" si="7"/>
        <v>0</v>
      </c>
      <c r="M70" s="312">
        <f t="shared" si="8"/>
        <v>0.15246209467223451</v>
      </c>
      <c r="N70" s="443">
        <f t="shared" si="27"/>
        <v>0.15384615384615385</v>
      </c>
      <c r="O70" s="443">
        <f t="shared" si="28"/>
        <v>0.2857142857142857</v>
      </c>
      <c r="P70" s="443">
        <f t="shared" si="29"/>
        <v>0.10526315789473684</v>
      </c>
      <c r="Q70" s="203"/>
      <c r="R70" s="578">
        <f t="shared" si="10"/>
        <v>2.4074074074074137E-2</v>
      </c>
      <c r="S70" s="283">
        <f t="shared" si="30"/>
        <v>0.14011142061281337</v>
      </c>
      <c r="T70" s="283">
        <f t="shared" si="11"/>
        <v>0.2857142857142857</v>
      </c>
      <c r="U70" s="285">
        <f t="shared" si="31"/>
        <v>503</v>
      </c>
      <c r="V70" s="285">
        <f t="shared" si="12"/>
        <v>12</v>
      </c>
      <c r="W70" s="286">
        <f t="shared" si="13"/>
        <v>0.2857142857142857</v>
      </c>
      <c r="X70" s="284">
        <f t="shared" si="14"/>
        <v>0.74285714285714288</v>
      </c>
      <c r="Y70" s="284">
        <f t="shared" si="15"/>
        <v>2.6</v>
      </c>
      <c r="Z70" s="300">
        <f t="shared" si="16"/>
        <v>-1.3252373333333332</v>
      </c>
      <c r="AA70" s="287">
        <f t="shared" si="37"/>
        <v>1.2747626666666669</v>
      </c>
      <c r="AB70" s="287">
        <f t="shared" si="18"/>
        <v>3</v>
      </c>
      <c r="AC70" s="286">
        <f t="shared" si="19"/>
        <v>0.2857142857142857</v>
      </c>
      <c r="AD70" s="287">
        <f t="shared" si="20"/>
        <v>0.8214285714285714</v>
      </c>
      <c r="AE70" s="287">
        <f t="shared" si="36"/>
        <v>1.2082228571428575</v>
      </c>
      <c r="AF70" s="287">
        <f t="shared" si="40"/>
        <v>0</v>
      </c>
      <c r="AG70" s="287">
        <f t="shared" si="23"/>
        <v>1.0550724637681159</v>
      </c>
      <c r="AH70" s="288">
        <f t="shared" si="24"/>
        <v>1.0550724637681159</v>
      </c>
      <c r="AI70" s="289">
        <f t="shared" si="25"/>
        <v>0.70408163265306123</v>
      </c>
      <c r="AJ70" s="203"/>
      <c r="AK70" s="203"/>
      <c r="AL70" s="203"/>
      <c r="AM70" s="203"/>
      <c r="AN70" s="203"/>
      <c r="AO70" s="203"/>
      <c r="AP70" s="203"/>
      <c r="AQ70" s="203"/>
      <c r="AR70" s="203"/>
      <c r="AS70" s="203"/>
      <c r="AT70" s="203"/>
      <c r="AU70" s="203"/>
      <c r="AV70" s="203"/>
    </row>
    <row r="71" spans="1:48" ht="12" customHeight="1">
      <c r="A71" s="453"/>
      <c r="B71" s="458">
        <v>13</v>
      </c>
      <c r="C71" s="462">
        <v>151</v>
      </c>
      <c r="D71" s="448">
        <v>444</v>
      </c>
      <c r="E71" s="463">
        <v>150</v>
      </c>
      <c r="F71" s="285">
        <f t="shared" si="2"/>
        <v>444</v>
      </c>
      <c r="G71" s="310">
        <f t="shared" si="3"/>
        <v>0.42857142857142855</v>
      </c>
      <c r="H71" s="311">
        <f>IF($B71&gt;=$F$16,FORECAST($B71,$G$9:$G$10,$F$9:$F$10),0)</f>
        <v>2.7199999999999998</v>
      </c>
      <c r="I71" s="467">
        <f>IF($B71&gt;=$F$16,FORECAST($B71,$H$9:$H$10,$F$9:$F$10),0)</f>
        <v>4.9600000000000009</v>
      </c>
      <c r="J71" s="286">
        <f t="shared" si="5"/>
        <v>0.15756302521008403</v>
      </c>
      <c r="K71" s="284">
        <f t="shared" si="6"/>
        <v>3.9153781512605046</v>
      </c>
      <c r="L71" s="312">
        <f t="shared" si="7"/>
        <v>0</v>
      </c>
      <c r="M71" s="312">
        <f t="shared" si="8"/>
        <v>0.10945850235013842</v>
      </c>
      <c r="N71" s="443">
        <f t="shared" si="27"/>
        <v>0.11538461538461539</v>
      </c>
      <c r="O71" s="443">
        <f t="shared" si="28"/>
        <v>0.21428571428571427</v>
      </c>
      <c r="P71" s="443">
        <f t="shared" si="29"/>
        <v>7.8947368421052627E-2</v>
      </c>
      <c r="Q71" s="203"/>
      <c r="R71" s="578">
        <f t="shared" si="10"/>
        <v>1.2037037037037096E-2</v>
      </c>
      <c r="S71" s="283">
        <f t="shared" si="30"/>
        <v>0.12367688022284122</v>
      </c>
      <c r="T71" s="283">
        <f t="shared" si="11"/>
        <v>0.21428571428571427</v>
      </c>
      <c r="U71" s="285">
        <f t="shared" si="31"/>
        <v>444</v>
      </c>
      <c r="V71" s="285">
        <f t="shared" si="12"/>
        <v>13</v>
      </c>
      <c r="W71" s="286">
        <f t="shared" si="13"/>
        <v>0.21428571428571427</v>
      </c>
      <c r="X71" s="284">
        <f t="shared" si="14"/>
        <v>0.55714285714285716</v>
      </c>
      <c r="Y71" s="284">
        <f t="shared" si="15"/>
        <v>2.6</v>
      </c>
      <c r="Z71" s="300">
        <f t="shared" si="16"/>
        <v>-1.1544967777777777</v>
      </c>
      <c r="AA71" s="287">
        <f t="shared" si="37"/>
        <v>1.4455032222222224</v>
      </c>
      <c r="AB71" s="287">
        <f t="shared" si="18"/>
        <v>3</v>
      </c>
      <c r="AC71" s="286">
        <f t="shared" si="19"/>
        <v>0.21428571428571427</v>
      </c>
      <c r="AD71" s="287">
        <f t="shared" si="20"/>
        <v>0.8035714285714286</v>
      </c>
      <c r="AE71" s="287">
        <f t="shared" si="36"/>
        <v>1.3402674107142858</v>
      </c>
      <c r="AF71" s="287">
        <f t="shared" si="40"/>
        <v>0</v>
      </c>
      <c r="AG71" s="287">
        <f t="shared" si="23"/>
        <v>1.0785185185185187</v>
      </c>
      <c r="AH71" s="288">
        <f t="shared" si="24"/>
        <v>1.0785185185185187</v>
      </c>
      <c r="AI71" s="289">
        <f t="shared" si="25"/>
        <v>0.51658163265306123</v>
      </c>
      <c r="AJ71" s="203"/>
      <c r="AK71" s="203"/>
      <c r="AL71" s="203"/>
      <c r="AM71" s="203"/>
      <c r="AN71" s="203"/>
      <c r="AO71" s="203"/>
      <c r="AP71" s="203"/>
      <c r="AQ71" s="203"/>
      <c r="AR71" s="203"/>
      <c r="AS71" s="203"/>
      <c r="AT71" s="203"/>
      <c r="AU71" s="203"/>
      <c r="AV71" s="203"/>
    </row>
    <row r="72" spans="1:48" ht="12" customHeight="1">
      <c r="A72" s="453"/>
      <c r="B72" s="458">
        <v>14</v>
      </c>
      <c r="C72" s="462">
        <v>105</v>
      </c>
      <c r="D72" s="448">
        <v>384</v>
      </c>
      <c r="E72" s="463">
        <v>97</v>
      </c>
      <c r="F72" s="285">
        <f t="shared" si="2"/>
        <v>384</v>
      </c>
      <c r="G72" s="310">
        <f t="shared" si="3"/>
        <v>0.2857142857142857</v>
      </c>
      <c r="H72" s="311">
        <f>IF($B72&gt;=$F$16,FORECAST($B72,$G$9:$G$10,$F$9:$F$10),0)</f>
        <v>2.8899999999999997</v>
      </c>
      <c r="I72" s="467">
        <f t="shared" ref="I72:I74" si="41">IF($B72&gt;=$F$16,FORECAST($B72,$H$9:$H$10,$F$9:$F$10),0)</f>
        <v>5.2700000000000005</v>
      </c>
      <c r="J72" s="286">
        <f t="shared" si="5"/>
        <v>9.8863074641621362E-2</v>
      </c>
      <c r="K72" s="284">
        <f t="shared" si="6"/>
        <v>4.0827521008403362</v>
      </c>
      <c r="L72" s="312">
        <f t="shared" si="7"/>
        <v>0</v>
      </c>
      <c r="M72" s="312">
        <f t="shared" si="8"/>
        <v>6.9980806734623507E-2</v>
      </c>
      <c r="N72" s="443">
        <f t="shared" si="27"/>
        <v>7.6923076923076927E-2</v>
      </c>
      <c r="O72" s="443">
        <f t="shared" si="28"/>
        <v>0.14285714285714285</v>
      </c>
      <c r="P72" s="443">
        <f t="shared" si="29"/>
        <v>5.2631578947368418E-2</v>
      </c>
      <c r="Q72" s="203"/>
      <c r="R72" s="578">
        <f t="shared" si="10"/>
        <v>5.5511151231257827E-17</v>
      </c>
      <c r="S72" s="283">
        <f t="shared" si="30"/>
        <v>0.10696378830083565</v>
      </c>
      <c r="T72" s="283">
        <f t="shared" si="11"/>
        <v>0.14285714285714285</v>
      </c>
      <c r="U72" s="285">
        <f t="shared" si="31"/>
        <v>384</v>
      </c>
      <c r="V72" s="285">
        <f t="shared" si="12"/>
        <v>14</v>
      </c>
      <c r="W72" s="286">
        <f t="shared" si="13"/>
        <v>0.14285714285714285</v>
      </c>
      <c r="X72" s="284">
        <f t="shared" si="14"/>
        <v>0.37142857142857144</v>
      </c>
      <c r="Y72" s="284">
        <f t="shared" si="15"/>
        <v>2.6</v>
      </c>
      <c r="Z72" s="300">
        <f t="shared" si="16"/>
        <v>-0.98520933333333327</v>
      </c>
      <c r="AA72" s="287">
        <f t="shared" si="37"/>
        <v>1.6147906666666669</v>
      </c>
      <c r="AB72" s="287">
        <f t="shared" si="18"/>
        <v>3</v>
      </c>
      <c r="AC72" s="286">
        <f t="shared" si="19"/>
        <v>0.14285714285714285</v>
      </c>
      <c r="AD72" s="287">
        <f t="shared" si="20"/>
        <v>0.7857142857142857</v>
      </c>
      <c r="AE72" s="287">
        <f t="shared" si="36"/>
        <v>1.4639585714285717</v>
      </c>
      <c r="AF72" s="287">
        <f t="shared" si="40"/>
        <v>0</v>
      </c>
      <c r="AG72" s="287">
        <f t="shared" si="23"/>
        <v>1.103030303030303</v>
      </c>
      <c r="AH72" s="288">
        <f t="shared" si="24"/>
        <v>1.103030303030303</v>
      </c>
      <c r="AI72" s="289">
        <f t="shared" si="25"/>
        <v>0.33673469387755101</v>
      </c>
      <c r="AJ72" s="203"/>
      <c r="AK72" s="203"/>
      <c r="AL72" s="203"/>
      <c r="AM72" s="203"/>
      <c r="AN72" s="203"/>
      <c r="AO72" s="203"/>
      <c r="AP72" s="203"/>
      <c r="AQ72" s="203"/>
      <c r="AR72" s="203"/>
      <c r="AS72" s="203"/>
      <c r="AT72" s="203"/>
      <c r="AU72" s="203"/>
      <c r="AV72" s="203"/>
    </row>
    <row r="73" spans="1:48" ht="12" customHeight="1">
      <c r="A73" s="453"/>
      <c r="B73" s="458">
        <v>15</v>
      </c>
      <c r="C73" s="462">
        <v>74</v>
      </c>
      <c r="D73" s="448">
        <v>294</v>
      </c>
      <c r="E73" s="463">
        <v>61</v>
      </c>
      <c r="F73" s="285">
        <f t="shared" si="2"/>
        <v>294</v>
      </c>
      <c r="G73" s="310">
        <f t="shared" si="3"/>
        <v>0.14285714285714285</v>
      </c>
      <c r="H73" s="311">
        <f>IF($B73&gt;=$F$16,FORECAST($B73,$G$9:$G$10,$F$9:$F$10),0)</f>
        <v>3.0599999999999996</v>
      </c>
      <c r="I73" s="467">
        <f t="shared" si="41"/>
        <v>5.58</v>
      </c>
      <c r="J73" s="286">
        <f t="shared" si="5"/>
        <v>4.6685340802987862E-2</v>
      </c>
      <c r="K73" s="284">
        <f t="shared" si="6"/>
        <v>4.2501260504201683</v>
      </c>
      <c r="L73" s="312">
        <f t="shared" si="7"/>
        <v>0</v>
      </c>
      <c r="M73" s="312">
        <f t="shared" si="8"/>
        <v>3.3612448469150687E-2</v>
      </c>
      <c r="N73" s="443">
        <f t="shared" si="27"/>
        <v>3.8461538461538464E-2</v>
      </c>
      <c r="O73" s="443">
        <f t="shared" si="28"/>
        <v>7.1428571428571425E-2</v>
      </c>
      <c r="P73" s="443">
        <f t="shared" si="29"/>
        <v>2.6315789473684209E-2</v>
      </c>
      <c r="Q73" s="203"/>
      <c r="R73" s="578">
        <f t="shared" si="10"/>
        <v>-1.2037037037036957E-2</v>
      </c>
      <c r="S73" s="283">
        <f t="shared" si="30"/>
        <v>8.1894150417827299E-2</v>
      </c>
      <c r="T73" s="283">
        <f t="shared" si="11"/>
        <v>7.1428571428571425E-2</v>
      </c>
      <c r="U73" s="285">
        <f t="shared" si="31"/>
        <v>294</v>
      </c>
      <c r="V73" s="285">
        <f t="shared" si="12"/>
        <v>15</v>
      </c>
      <c r="W73" s="286">
        <f t="shared" si="13"/>
        <v>7.1428571428571425E-2</v>
      </c>
      <c r="X73" s="284">
        <f t="shared" si="14"/>
        <v>0.18571428571428572</v>
      </c>
      <c r="Y73" s="284">
        <f t="shared" si="15"/>
        <v>2.6</v>
      </c>
      <c r="Z73" s="300">
        <f t="shared" si="16"/>
        <v>-0.81737499999999985</v>
      </c>
      <c r="AA73" s="287">
        <f t="shared" si="37"/>
        <v>1.7826250000000003</v>
      </c>
      <c r="AB73" s="287">
        <f t="shared" si="18"/>
        <v>3</v>
      </c>
      <c r="AC73" s="286">
        <f>MIN(IF($Y73=0,0,IF($Y73&lt;$X73,1,$X73/$Y73)),1)</f>
        <v>7.1428571428571425E-2</v>
      </c>
      <c r="AD73" s="287">
        <f>IF($T73&gt;0%,(1-($X$13*(1-AC73))),0)</f>
        <v>0.76785714285714279</v>
      </c>
      <c r="AE73" s="287">
        <f t="shared" si="36"/>
        <v>1.5793861607142861</v>
      </c>
      <c r="AF73" s="287">
        <f t="shared" si="40"/>
        <v>0</v>
      </c>
      <c r="AG73" s="287">
        <f t="shared" si="23"/>
        <v>1.1286821705426355</v>
      </c>
      <c r="AH73" s="288">
        <f t="shared" si="24"/>
        <v>1.1286821705426355</v>
      </c>
      <c r="AI73" s="289">
        <f t="shared" si="25"/>
        <v>0.16454081632653064</v>
      </c>
      <c r="AJ73" s="203"/>
      <c r="AK73" s="203"/>
      <c r="AL73" s="203"/>
      <c r="AM73" s="203"/>
      <c r="AN73" s="203"/>
      <c r="AO73" s="203"/>
      <c r="AP73" s="203"/>
      <c r="AQ73" s="203"/>
      <c r="AR73" s="203"/>
      <c r="AS73" s="203"/>
      <c r="AT73" s="203"/>
      <c r="AU73" s="203"/>
      <c r="AV73" s="203"/>
    </row>
    <row r="74" spans="1:48" ht="12" customHeight="1">
      <c r="A74" s="453"/>
      <c r="B74" s="450">
        <v>16</v>
      </c>
      <c r="C74" s="464">
        <v>0</v>
      </c>
      <c r="D74" s="465">
        <v>0</v>
      </c>
      <c r="E74" s="466">
        <v>0</v>
      </c>
      <c r="F74" s="285">
        <f t="shared" si="2"/>
        <v>0</v>
      </c>
      <c r="G74" s="310">
        <f t="shared" si="3"/>
        <v>0</v>
      </c>
      <c r="H74" s="311">
        <f>IF($B74&gt;=$F$16,FORECAST($B74,$G$9:$G$10,$F$9:$F$10),0)</f>
        <v>3.2299999999999995</v>
      </c>
      <c r="I74" s="467">
        <f t="shared" si="41"/>
        <v>5.8900000000000006</v>
      </c>
      <c r="J74" s="286">
        <f t="shared" si="5"/>
        <v>0</v>
      </c>
      <c r="K74" s="284">
        <f t="shared" si="6"/>
        <v>4.4175000000000004</v>
      </c>
      <c r="L74" s="312">
        <f t="shared" si="7"/>
        <v>0</v>
      </c>
      <c r="M74" s="312">
        <f t="shared" si="8"/>
        <v>0</v>
      </c>
      <c r="N74" s="443">
        <f t="shared" si="27"/>
        <v>0</v>
      </c>
      <c r="O74" s="443">
        <f t="shared" si="28"/>
        <v>0</v>
      </c>
      <c r="P74" s="443">
        <f t="shared" si="29"/>
        <v>0</v>
      </c>
      <c r="Q74" s="203"/>
      <c r="R74" s="578"/>
      <c r="S74" s="270"/>
      <c r="T74" s="281"/>
      <c r="U74" s="270"/>
      <c r="V74" s="270"/>
      <c r="W74" s="271"/>
      <c r="X74" s="272"/>
      <c r="Y74" s="272"/>
      <c r="Z74" s="273"/>
      <c r="AA74" s="274"/>
      <c r="AB74" s="274"/>
      <c r="AC74" s="272"/>
      <c r="AD74" s="274"/>
      <c r="AE74" s="272"/>
      <c r="AF74" s="274"/>
      <c r="AG74" s="274"/>
      <c r="AH74" s="275"/>
      <c r="AJ74" s="203"/>
      <c r="AK74" s="203"/>
      <c r="AL74" s="203"/>
      <c r="AM74" s="203"/>
      <c r="AN74" s="203"/>
      <c r="AO74" s="203"/>
      <c r="AP74" s="203"/>
      <c r="AQ74" s="203"/>
      <c r="AR74" s="203"/>
      <c r="AS74" s="203"/>
      <c r="AT74" s="203"/>
      <c r="AU74" s="203"/>
      <c r="AV74" s="203"/>
    </row>
    <row r="75" spans="1:48">
      <c r="A75" s="381"/>
      <c r="B75" s="447" t="s">
        <v>4</v>
      </c>
      <c r="C75" s="444">
        <f>SUM(C36:C74)</f>
        <v>4910</v>
      </c>
      <c r="D75" s="444">
        <f>SUM(D36:D74)</f>
        <v>3590</v>
      </c>
      <c r="E75" s="444">
        <f>SUM(E36:E74)</f>
        <v>6446</v>
      </c>
      <c r="F75" s="442"/>
      <c r="G75" s="442">
        <f>IF(F14=C31,SUMPRODUCT(C33:C74,G33:G74),IF(F14=D31,SUMPRODUCT(D33:D74,G33:G74),SUMPRODUCT(E33:E74,G33:G74)))</f>
        <v>2671.5714285714289</v>
      </c>
      <c r="H75" s="442"/>
      <c r="I75" s="442"/>
      <c r="J75" s="442"/>
      <c r="K75" s="442"/>
      <c r="L75" s="442">
        <f>SUMPRODUCT($F$33:$F$74,L$33:L$74)</f>
        <v>503.85714285714289</v>
      </c>
      <c r="M75" s="442">
        <f>SUMPRODUCT($F$33:$F$74,M$33:M$74)</f>
        <v>1137.76710255132</v>
      </c>
      <c r="N75" s="443"/>
      <c r="O75" s="203"/>
      <c r="P75" s="203"/>
      <c r="Q75" s="203"/>
      <c r="R75" s="232"/>
      <c r="S75" s="426"/>
      <c r="T75" s="426"/>
      <c r="U75" s="426">
        <f>SUM(U33:U73)</f>
        <v>3590</v>
      </c>
      <c r="V75" s="426"/>
      <c r="W75" s="426"/>
      <c r="X75" s="444">
        <f>SUMPRODUCT(X$33:X$73,$U$33:$U$73)</f>
        <v>3473.042857142857</v>
      </c>
      <c r="Y75" s="426"/>
      <c r="Z75" s="426"/>
      <c r="AA75" s="426"/>
      <c r="AB75" s="426"/>
      <c r="AC75" s="426"/>
      <c r="AD75" s="426"/>
      <c r="AE75" s="426"/>
      <c r="AF75" s="444">
        <f>SUMPRODUCT(AF$33:AF$73,$U$33:$U$73)</f>
        <v>1349.212945888888</v>
      </c>
      <c r="AG75" s="444">
        <f>SUMPRODUCT(AG$33:AG$73,$U$33:$U$73)</f>
        <v>3703.5420463977102</v>
      </c>
      <c r="AH75" s="444">
        <f>SUMPRODUCT(AH$33:AH$73,$U$33:$U$73)</f>
        <v>5052.7549922865983</v>
      </c>
      <c r="AI75" s="444">
        <f>SUMPRODUCT(AI$33:AI$73,$U$33:$U$73)</f>
        <v>2407.6108212915947</v>
      </c>
      <c r="AJ75" s="203"/>
      <c r="AK75" s="203"/>
      <c r="AL75" s="203"/>
      <c r="AM75" s="203"/>
      <c r="AN75" s="203"/>
      <c r="AO75" s="203"/>
      <c r="AP75" s="203"/>
      <c r="AQ75" s="203"/>
      <c r="AR75" s="203"/>
      <c r="AS75" s="203"/>
      <c r="AT75" s="203"/>
      <c r="AU75" s="203"/>
      <c r="AV75" s="203"/>
    </row>
    <row r="76" spans="1:48">
      <c r="A76" s="203"/>
      <c r="B76" s="447" t="s">
        <v>20</v>
      </c>
      <c r="C76" s="444">
        <v>-10</v>
      </c>
      <c r="D76" s="444">
        <v>2</v>
      </c>
      <c r="E76" s="444">
        <v>-22</v>
      </c>
      <c r="F76" s="442"/>
      <c r="G76" s="442"/>
      <c r="H76" s="442"/>
      <c r="I76" s="442"/>
      <c r="J76" s="442"/>
      <c r="K76" s="442"/>
      <c r="L76" s="442"/>
      <c r="M76" s="442"/>
      <c r="N76" s="203"/>
      <c r="O76" s="203"/>
      <c r="P76" s="203"/>
      <c r="Q76" s="203"/>
      <c r="R76" s="232"/>
      <c r="S76" s="203"/>
      <c r="T76" s="203"/>
      <c r="U76" s="203"/>
      <c r="V76" s="203"/>
      <c r="W76" s="203"/>
      <c r="X76" s="203"/>
      <c r="Y76" s="203"/>
      <c r="Z76" s="203"/>
      <c r="AA76" s="203"/>
      <c r="AB76" s="203"/>
      <c r="AC76" s="203"/>
      <c r="AD76" s="203"/>
      <c r="AE76" s="203"/>
      <c r="AF76" s="203"/>
      <c r="AG76" s="203"/>
      <c r="AH76" s="203"/>
      <c r="AI76" s="203">
        <f>AI75/U75</f>
        <v>0.67064368281102915</v>
      </c>
      <c r="AJ76" s="203">
        <f>1/AI76</f>
        <v>1.4911047783354359</v>
      </c>
      <c r="AK76" s="203"/>
      <c r="AL76" s="203"/>
      <c r="AM76" s="203"/>
      <c r="AN76" s="203"/>
      <c r="AO76" s="203"/>
      <c r="AP76" s="203"/>
      <c r="AQ76" s="203"/>
      <c r="AR76" s="203"/>
      <c r="AS76" s="203"/>
      <c r="AT76" s="203"/>
      <c r="AU76" s="203"/>
      <c r="AV76" s="203"/>
    </row>
    <row r="77" spans="1:48">
      <c r="A77" s="203"/>
      <c r="B77" s="448"/>
      <c r="C77" s="445">
        <f>SUMPRODUCT(C33:C74,N33:N74)</f>
        <v>2065.6153846153843</v>
      </c>
      <c r="D77" s="445">
        <f t="shared" ref="D77:E77" si="42">SUMPRODUCT(D33:D74,O33:O74)</f>
        <v>1335.7857142857144</v>
      </c>
      <c r="E77" s="445">
        <f t="shared" si="42"/>
        <v>2464.7631578947362</v>
      </c>
      <c r="F77" s="445"/>
      <c r="G77" s="445"/>
      <c r="H77" s="445"/>
      <c r="I77" s="445"/>
      <c r="J77" s="445"/>
      <c r="K77" s="445"/>
      <c r="L77" s="445"/>
      <c r="M77" s="445"/>
      <c r="N77" s="203"/>
      <c r="O77" s="203"/>
      <c r="P77" s="203"/>
      <c r="Q77" s="203"/>
      <c r="R77" s="203"/>
      <c r="S77" s="380" t="s">
        <v>435</v>
      </c>
      <c r="T77" s="230" t="s">
        <v>440</v>
      </c>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row>
    <row r="78" spans="1:48">
      <c r="A78" s="230" t="s">
        <v>98</v>
      </c>
      <c r="B78" s="448"/>
      <c r="C78" s="410" t="s">
        <v>1</v>
      </c>
      <c r="D78" s="410" t="s">
        <v>2</v>
      </c>
      <c r="E78" s="410" t="s">
        <v>3</v>
      </c>
      <c r="F78" s="203"/>
      <c r="G78" s="203"/>
      <c r="H78" s="203"/>
      <c r="I78" s="203"/>
      <c r="J78" s="203"/>
      <c r="K78" s="203"/>
      <c r="L78" s="203"/>
      <c r="M78" s="203"/>
      <c r="N78" s="203"/>
      <c r="O78" s="203"/>
      <c r="P78" s="203"/>
      <c r="Q78" s="203"/>
      <c r="R78" s="203"/>
      <c r="S78" s="203"/>
      <c r="T78" s="230" t="s">
        <v>441</v>
      </c>
      <c r="U78" s="203" t="s">
        <v>466</v>
      </c>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row>
    <row r="79" spans="1:48">
      <c r="A79" s="5" t="s">
        <v>47</v>
      </c>
      <c r="B79" s="297" t="s">
        <v>31</v>
      </c>
      <c r="C79" s="298">
        <v>1400</v>
      </c>
      <c r="D79" s="298">
        <v>1400</v>
      </c>
      <c r="E79" s="298">
        <v>2100</v>
      </c>
      <c r="F79" s="203"/>
      <c r="G79" s="203"/>
      <c r="H79" s="203"/>
      <c r="I79" s="203"/>
      <c r="J79" s="203"/>
      <c r="K79" s="203"/>
      <c r="L79" s="203"/>
      <c r="M79" s="203"/>
      <c r="N79" s="203"/>
      <c r="O79" s="203"/>
      <c r="P79" s="203"/>
      <c r="Q79" s="203"/>
      <c r="R79" s="203"/>
      <c r="S79" s="203"/>
      <c r="T79" s="230" t="s">
        <v>442</v>
      </c>
      <c r="U79" s="203" t="s">
        <v>443</v>
      </c>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row>
    <row r="80" spans="1:48">
      <c r="A80" s="5" t="s">
        <v>47</v>
      </c>
      <c r="B80" s="297" t="s">
        <v>32</v>
      </c>
      <c r="C80" s="298">
        <v>179</v>
      </c>
      <c r="D80" s="298">
        <v>755</v>
      </c>
      <c r="E80" s="298">
        <v>131</v>
      </c>
      <c r="F80" s="203"/>
      <c r="G80" s="203"/>
      <c r="H80" s="203"/>
      <c r="I80" s="203"/>
      <c r="J80" s="203"/>
      <c r="K80" s="203"/>
      <c r="L80" s="203"/>
      <c r="M80" s="203"/>
      <c r="N80" s="203"/>
      <c r="O80" s="203"/>
      <c r="P80" s="203"/>
      <c r="Q80" s="203"/>
      <c r="R80" s="203"/>
      <c r="S80" s="203"/>
      <c r="T80" s="230"/>
      <c r="U80" s="230" t="s">
        <v>444</v>
      </c>
      <c r="V80" s="230" t="s">
        <v>61</v>
      </c>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row>
    <row r="81" spans="1:48">
      <c r="A81" s="5" t="s">
        <v>47</v>
      </c>
      <c r="B81" s="297" t="s">
        <v>33</v>
      </c>
      <c r="C81" s="298">
        <v>0</v>
      </c>
      <c r="D81" s="298">
        <v>0</v>
      </c>
      <c r="E81" s="298">
        <v>0</v>
      </c>
      <c r="F81" s="203"/>
      <c r="G81" s="203"/>
      <c r="H81" s="203"/>
      <c r="I81" s="203"/>
      <c r="J81" s="203"/>
      <c r="K81" s="203"/>
      <c r="L81" s="203"/>
      <c r="M81" s="203"/>
      <c r="N81" s="203"/>
      <c r="O81" s="203"/>
      <c r="P81" s="203"/>
      <c r="Q81" s="203"/>
      <c r="R81" s="203"/>
      <c r="S81" s="203"/>
      <c r="T81" s="203"/>
      <c r="U81" s="203"/>
      <c r="V81" s="380" t="s">
        <v>448</v>
      </c>
      <c r="W81" s="230" t="s">
        <v>19</v>
      </c>
      <c r="X81" s="203" t="s">
        <v>445</v>
      </c>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row>
    <row r="82" spans="1:48">
      <c r="A82" s="6" t="s">
        <v>35</v>
      </c>
      <c r="B82" s="299" t="s">
        <v>34</v>
      </c>
      <c r="C82" s="298">
        <v>3672</v>
      </c>
      <c r="D82" s="298">
        <v>4416</v>
      </c>
      <c r="E82" s="298">
        <v>2315</v>
      </c>
      <c r="F82" s="203"/>
      <c r="G82" s="203"/>
      <c r="H82" s="203"/>
      <c r="I82" s="203"/>
      <c r="J82" s="203"/>
      <c r="K82" s="203"/>
      <c r="L82" s="203"/>
      <c r="M82" s="203"/>
      <c r="N82" s="203"/>
      <c r="O82" s="203"/>
      <c r="P82" s="203"/>
      <c r="Q82" s="203"/>
      <c r="R82" s="203"/>
      <c r="S82" s="203"/>
      <c r="T82" s="203"/>
      <c r="U82" s="203"/>
      <c r="V82" s="203"/>
      <c r="W82" s="380" t="s">
        <v>212</v>
      </c>
      <c r="X82" s="230" t="s">
        <v>446</v>
      </c>
      <c r="Y82" s="203" t="s">
        <v>447</v>
      </c>
      <c r="Z82" s="203"/>
      <c r="AA82" s="203"/>
      <c r="AB82" s="203"/>
      <c r="AC82" s="203"/>
      <c r="AD82" s="203"/>
      <c r="AE82" s="203"/>
      <c r="AF82" s="203"/>
      <c r="AG82" s="203"/>
      <c r="AH82" s="203"/>
      <c r="AI82" s="203"/>
      <c r="AJ82" s="203"/>
      <c r="AK82" s="203"/>
      <c r="AL82" s="203"/>
      <c r="AM82" s="203"/>
      <c r="AN82" s="203"/>
      <c r="AO82" s="203"/>
      <c r="AP82" s="203"/>
      <c r="AQ82" s="203"/>
      <c r="AR82" s="203"/>
      <c r="AS82" s="203"/>
      <c r="AT82" s="203"/>
      <c r="AU82" s="203"/>
      <c r="AV82" s="203"/>
    </row>
    <row r="83" spans="1:48">
      <c r="A83" s="6" t="s">
        <v>35</v>
      </c>
      <c r="B83" s="299" t="s">
        <v>36</v>
      </c>
      <c r="C83" s="298">
        <v>3672</v>
      </c>
      <c r="D83" s="298">
        <v>4345</v>
      </c>
      <c r="E83" s="298">
        <v>2184</v>
      </c>
      <c r="F83" s="203"/>
      <c r="G83" s="203"/>
      <c r="H83" s="203"/>
      <c r="I83" s="203"/>
      <c r="J83" s="203"/>
      <c r="K83" s="203"/>
      <c r="L83" s="203"/>
      <c r="M83" s="203"/>
      <c r="N83" s="203"/>
      <c r="O83" s="203"/>
      <c r="P83" s="203"/>
      <c r="Q83" s="203"/>
      <c r="R83" s="203"/>
      <c r="S83" s="203"/>
      <c r="T83" s="203"/>
      <c r="U83" s="203"/>
      <c r="V83" s="203"/>
      <c r="W83" s="203"/>
      <c r="X83" s="203"/>
      <c r="Y83" s="230" t="s">
        <v>449</v>
      </c>
      <c r="Z83" s="203" t="s">
        <v>453</v>
      </c>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row>
    <row r="84" spans="1:48">
      <c r="A84" s="6" t="s">
        <v>37</v>
      </c>
      <c r="B84" s="299" t="s">
        <v>34</v>
      </c>
      <c r="C84" s="298">
        <v>3672</v>
      </c>
      <c r="D84" s="298">
        <v>4416</v>
      </c>
      <c r="E84" s="298">
        <v>2184</v>
      </c>
      <c r="F84" s="203"/>
      <c r="G84" s="203"/>
      <c r="H84" s="203"/>
      <c r="I84" s="203"/>
      <c r="J84" s="203"/>
      <c r="K84" s="203"/>
      <c r="L84" s="203"/>
      <c r="M84" s="203"/>
      <c r="N84" s="203"/>
      <c r="O84" s="203"/>
      <c r="P84" s="203"/>
      <c r="Q84" s="203"/>
      <c r="R84" s="203"/>
      <c r="S84" s="203"/>
      <c r="T84" s="203"/>
      <c r="U84" s="203"/>
      <c r="V84" s="203"/>
      <c r="W84" s="203"/>
      <c r="X84" s="203"/>
      <c r="Y84" s="230" t="s">
        <v>112</v>
      </c>
      <c r="Z84" s="203" t="s">
        <v>450</v>
      </c>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row>
    <row r="85" spans="1:48">
      <c r="A85" s="6" t="s">
        <v>37</v>
      </c>
      <c r="B85" s="299" t="s">
        <v>36</v>
      </c>
      <c r="C85" s="298">
        <v>0</v>
      </c>
      <c r="D85" s="298">
        <v>0</v>
      </c>
      <c r="E85" s="298">
        <v>0</v>
      </c>
      <c r="F85" s="203"/>
      <c r="G85" s="203"/>
      <c r="H85" s="203"/>
      <c r="I85" s="203"/>
      <c r="J85" s="203"/>
      <c r="K85" s="203"/>
      <c r="L85" s="203"/>
      <c r="M85" s="203"/>
      <c r="N85" s="203"/>
      <c r="O85" s="203"/>
      <c r="P85" s="203"/>
      <c r="Q85" s="203"/>
      <c r="R85" s="203"/>
      <c r="S85" s="203"/>
      <c r="T85" s="203"/>
      <c r="U85" s="203"/>
      <c r="V85" s="203"/>
      <c r="W85" s="203"/>
      <c r="X85" s="203"/>
      <c r="Y85" s="230" t="s">
        <v>451</v>
      </c>
      <c r="Z85" s="203" t="s">
        <v>454</v>
      </c>
      <c r="AA85" s="203"/>
      <c r="AB85" s="203"/>
      <c r="AC85" s="203"/>
      <c r="AD85" s="203"/>
      <c r="AE85" s="203"/>
      <c r="AF85" s="203"/>
      <c r="AG85" s="203"/>
      <c r="AH85" s="203"/>
      <c r="AI85" s="203"/>
      <c r="AJ85" s="203"/>
      <c r="AK85" s="203"/>
      <c r="AL85" s="203"/>
      <c r="AM85" s="203"/>
      <c r="AN85" s="203"/>
      <c r="AO85" s="203"/>
      <c r="AP85" s="203"/>
      <c r="AQ85" s="203"/>
      <c r="AR85" s="203"/>
      <c r="AS85" s="203"/>
      <c r="AT85" s="203"/>
      <c r="AU85" s="203"/>
      <c r="AV85" s="203"/>
    </row>
    <row r="86" spans="1:48">
      <c r="A86" s="6" t="s">
        <v>56</v>
      </c>
      <c r="B86" s="299" t="s">
        <v>31</v>
      </c>
      <c r="C86" s="298">
        <v>1400</v>
      </c>
      <c r="D86" s="298">
        <v>1400</v>
      </c>
      <c r="E86" s="298">
        <v>2100</v>
      </c>
      <c r="F86" s="203"/>
      <c r="G86" s="203"/>
      <c r="H86" s="203"/>
      <c r="I86" s="203"/>
      <c r="J86" s="203"/>
      <c r="K86" s="203"/>
      <c r="L86" s="203"/>
      <c r="M86" s="203"/>
      <c r="N86" s="203"/>
      <c r="O86" s="203"/>
      <c r="P86" s="203"/>
      <c r="Q86" s="203"/>
      <c r="R86" s="203"/>
      <c r="S86" s="203"/>
      <c r="T86" s="203"/>
      <c r="U86" s="203"/>
      <c r="V86" s="203"/>
      <c r="W86" s="203"/>
      <c r="X86" s="203"/>
      <c r="Y86" s="437"/>
      <c r="Z86" s="230" t="s">
        <v>414</v>
      </c>
      <c r="AA86" s="203"/>
      <c r="AB86" s="203"/>
      <c r="AC86" s="203"/>
      <c r="AD86" s="203"/>
      <c r="AE86" s="203"/>
      <c r="AF86" s="203"/>
      <c r="AG86" s="203"/>
      <c r="AH86" s="203"/>
      <c r="AI86" s="203"/>
      <c r="AJ86" s="203"/>
      <c r="AK86" s="203"/>
      <c r="AL86" s="203"/>
      <c r="AM86" s="203"/>
      <c r="AN86" s="203"/>
      <c r="AO86" s="203"/>
      <c r="AP86" s="203"/>
      <c r="AQ86" s="203"/>
      <c r="AR86" s="203"/>
      <c r="AS86" s="203"/>
      <c r="AT86" s="203"/>
      <c r="AU86" s="203"/>
      <c r="AV86" s="203"/>
    </row>
    <row r="87" spans="1:48">
      <c r="A87" s="6" t="s">
        <v>56</v>
      </c>
      <c r="B87" s="297" t="s">
        <v>32</v>
      </c>
      <c r="C87" s="298">
        <v>179</v>
      </c>
      <c r="D87" s="298">
        <v>755</v>
      </c>
      <c r="E87" s="298">
        <v>131</v>
      </c>
      <c r="F87" s="203"/>
      <c r="G87" s="203"/>
      <c r="H87" s="203"/>
      <c r="I87" s="420"/>
      <c r="J87" s="203"/>
      <c r="K87" s="203"/>
      <c r="L87" s="203"/>
      <c r="M87" s="203"/>
      <c r="N87" s="203"/>
      <c r="O87" s="203"/>
      <c r="P87" s="203"/>
      <c r="Q87" s="203"/>
      <c r="R87" s="203"/>
      <c r="S87" s="203"/>
      <c r="T87" s="203"/>
      <c r="U87" s="203"/>
      <c r="V87" s="203"/>
      <c r="W87" s="203"/>
      <c r="X87" s="203"/>
      <c r="Y87" s="437"/>
      <c r="Z87" s="230" t="s">
        <v>416</v>
      </c>
      <c r="AA87" s="446" t="s">
        <v>415</v>
      </c>
      <c r="AB87" s="203"/>
      <c r="AC87" s="203"/>
      <c r="AD87" s="203"/>
      <c r="AE87" s="203"/>
      <c r="AF87" s="203"/>
      <c r="AG87" s="203"/>
      <c r="AH87" s="203"/>
      <c r="AI87" s="203"/>
      <c r="AJ87" s="203"/>
      <c r="AK87" s="203"/>
      <c r="AL87" s="203"/>
      <c r="AM87" s="203"/>
      <c r="AN87" s="203"/>
      <c r="AO87" s="203"/>
      <c r="AP87" s="203"/>
      <c r="AQ87" s="203"/>
      <c r="AR87" s="203"/>
      <c r="AS87" s="203"/>
      <c r="AT87" s="203"/>
      <c r="AU87" s="203"/>
      <c r="AV87" s="203"/>
    </row>
    <row r="88" spans="1:48">
      <c r="A88" s="6" t="s">
        <v>56</v>
      </c>
      <c r="B88" s="299" t="s">
        <v>36</v>
      </c>
      <c r="C88" s="298">
        <v>3672</v>
      </c>
      <c r="D88" s="298">
        <v>4416</v>
      </c>
      <c r="E88" s="298">
        <v>2184</v>
      </c>
      <c r="F88" s="203"/>
      <c r="G88" s="203"/>
      <c r="H88" s="203"/>
      <c r="I88" s="203"/>
      <c r="J88" s="203"/>
      <c r="K88" s="203"/>
      <c r="L88" s="203"/>
      <c r="M88" s="203"/>
      <c r="N88" s="203"/>
      <c r="O88" s="203"/>
      <c r="P88" s="203"/>
      <c r="Q88" s="203"/>
      <c r="R88" s="203"/>
      <c r="S88" s="203"/>
      <c r="T88" s="203"/>
      <c r="U88" s="203"/>
      <c r="V88" s="203"/>
      <c r="W88" s="203"/>
      <c r="X88" s="203"/>
      <c r="Y88" s="230"/>
      <c r="Z88" s="203"/>
      <c r="AA88" s="230" t="s">
        <v>413</v>
      </c>
      <c r="AB88" s="203" t="s">
        <v>455</v>
      </c>
      <c r="AC88" s="203"/>
      <c r="AD88" s="203"/>
      <c r="AE88" s="203"/>
      <c r="AF88" s="203"/>
      <c r="AG88" s="203"/>
      <c r="AH88" s="203"/>
      <c r="AI88" s="203"/>
      <c r="AJ88" s="203"/>
      <c r="AK88" s="203"/>
      <c r="AL88" s="203"/>
      <c r="AM88" s="203"/>
      <c r="AN88" s="203"/>
      <c r="AO88" s="203"/>
      <c r="AP88" s="203"/>
      <c r="AQ88" s="203"/>
      <c r="AR88" s="203"/>
      <c r="AS88" s="203"/>
      <c r="AT88" s="203"/>
      <c r="AU88" s="203"/>
      <c r="AV88" s="203"/>
    </row>
    <row r="89" spans="1:48">
      <c r="A89" s="6" t="s">
        <v>56</v>
      </c>
      <c r="B89" s="299" t="s">
        <v>34</v>
      </c>
      <c r="C89" s="298">
        <v>3851</v>
      </c>
      <c r="D89" s="298">
        <v>5171</v>
      </c>
      <c r="E89" s="298">
        <v>2315</v>
      </c>
      <c r="F89" s="203"/>
      <c r="G89" s="203"/>
      <c r="H89" s="203"/>
      <c r="I89" s="203"/>
      <c r="J89" s="203"/>
      <c r="K89" s="203"/>
      <c r="L89" s="203"/>
      <c r="M89" s="203"/>
      <c r="N89" s="203"/>
      <c r="O89" s="203"/>
      <c r="P89" s="203"/>
      <c r="Q89" s="203"/>
      <c r="R89" s="203"/>
      <c r="S89" s="203"/>
      <c r="T89" s="203"/>
      <c r="U89" s="203"/>
      <c r="V89" s="203"/>
      <c r="W89" s="203"/>
      <c r="X89" s="203"/>
      <c r="Y89" s="203"/>
      <c r="Z89" s="446"/>
      <c r="AA89" s="203"/>
      <c r="AB89" s="230" t="s">
        <v>456</v>
      </c>
      <c r="AC89" s="203"/>
      <c r="AD89" s="203"/>
      <c r="AE89" s="203"/>
      <c r="AF89" s="203"/>
      <c r="AG89" s="203"/>
      <c r="AH89" s="203"/>
      <c r="AI89" s="203"/>
      <c r="AJ89" s="203"/>
      <c r="AK89" s="203"/>
      <c r="AL89" s="203"/>
      <c r="AM89" s="203"/>
      <c r="AN89" s="203"/>
      <c r="AO89" s="203"/>
      <c r="AP89" s="203"/>
      <c r="AQ89" s="203"/>
      <c r="AR89" s="203"/>
      <c r="AS89" s="203"/>
      <c r="AT89" s="203"/>
      <c r="AU89" s="203"/>
      <c r="AV89" s="203"/>
    </row>
    <row r="90" spans="1:48">
      <c r="A90" s="6" t="s">
        <v>57</v>
      </c>
      <c r="B90" s="299" t="s">
        <v>31</v>
      </c>
      <c r="C90" s="298">
        <v>1400</v>
      </c>
      <c r="D90" s="298">
        <v>1400</v>
      </c>
      <c r="E90" s="298">
        <v>2100</v>
      </c>
      <c r="F90" s="203"/>
      <c r="G90" s="203"/>
      <c r="H90" s="203"/>
      <c r="I90" s="203"/>
      <c r="J90" s="203"/>
      <c r="K90" s="203"/>
      <c r="L90" s="203"/>
      <c r="M90" s="203"/>
      <c r="N90" s="203"/>
      <c r="O90" s="203"/>
      <c r="P90" s="203"/>
      <c r="Q90" s="203"/>
      <c r="R90" s="203"/>
      <c r="S90" s="203"/>
      <c r="T90" s="203"/>
      <c r="U90" s="203"/>
      <c r="V90" s="203"/>
      <c r="W90" s="203"/>
      <c r="X90" s="203"/>
      <c r="Y90" s="230"/>
      <c r="Z90" s="203"/>
      <c r="AA90" s="203"/>
      <c r="AB90" s="230" t="s">
        <v>112</v>
      </c>
      <c r="AC90" s="203" t="s">
        <v>458</v>
      </c>
      <c r="AD90" s="203"/>
      <c r="AE90" s="203"/>
      <c r="AF90" s="203"/>
      <c r="AG90" s="203"/>
      <c r="AH90" s="203"/>
      <c r="AI90" s="203"/>
      <c r="AJ90" s="203"/>
      <c r="AK90" s="203"/>
      <c r="AL90" s="203"/>
      <c r="AM90" s="203"/>
      <c r="AN90" s="203"/>
      <c r="AO90" s="203"/>
      <c r="AP90" s="203"/>
      <c r="AQ90" s="203"/>
      <c r="AR90" s="203"/>
      <c r="AS90" s="203"/>
      <c r="AT90" s="203"/>
      <c r="AU90" s="203"/>
      <c r="AV90" s="203"/>
    </row>
    <row r="91" spans="1:48">
      <c r="A91" s="6" t="s">
        <v>57</v>
      </c>
      <c r="B91" s="297" t="s">
        <v>32</v>
      </c>
      <c r="C91" s="298">
        <v>179</v>
      </c>
      <c r="D91" s="298">
        <v>755</v>
      </c>
      <c r="E91" s="298">
        <v>131</v>
      </c>
      <c r="F91" s="203"/>
      <c r="G91" s="203"/>
      <c r="H91" s="203"/>
      <c r="I91" s="203"/>
      <c r="J91" s="203"/>
      <c r="K91" s="203"/>
      <c r="L91" s="203"/>
      <c r="M91" s="203"/>
      <c r="N91" s="203"/>
      <c r="O91" s="203"/>
      <c r="P91" s="203"/>
      <c r="Q91" s="203"/>
      <c r="R91" s="203"/>
      <c r="S91" s="203"/>
      <c r="T91" s="203"/>
      <c r="U91" s="203"/>
      <c r="V91" s="203"/>
      <c r="W91" s="203"/>
      <c r="X91" s="203"/>
      <c r="Y91" s="203"/>
      <c r="Z91" s="203"/>
      <c r="AA91" s="203"/>
      <c r="AB91" s="230" t="s">
        <v>451</v>
      </c>
      <c r="AC91" s="203" t="s">
        <v>457</v>
      </c>
      <c r="AD91" s="203"/>
      <c r="AE91" s="203"/>
      <c r="AF91" s="203"/>
      <c r="AG91" s="203"/>
      <c r="AH91" s="203"/>
      <c r="AI91" s="203"/>
      <c r="AJ91" s="203"/>
      <c r="AK91" s="203"/>
      <c r="AL91" s="203"/>
      <c r="AM91" s="203"/>
      <c r="AN91" s="203"/>
      <c r="AO91" s="203"/>
      <c r="AP91" s="203"/>
      <c r="AQ91" s="203"/>
      <c r="AR91" s="203"/>
      <c r="AS91" s="203"/>
      <c r="AT91" s="203"/>
      <c r="AU91" s="203"/>
      <c r="AV91" s="203"/>
    </row>
    <row r="92" spans="1:48">
      <c r="A92" s="6" t="s">
        <v>57</v>
      </c>
      <c r="B92" s="297" t="s">
        <v>32</v>
      </c>
      <c r="C92" s="298">
        <v>0</v>
      </c>
      <c r="D92" s="298">
        <v>0</v>
      </c>
      <c r="E92" s="298">
        <v>0</v>
      </c>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30" t="s">
        <v>60</v>
      </c>
      <c r="AD92" s="203" t="s">
        <v>459</v>
      </c>
      <c r="AE92" s="203"/>
      <c r="AF92" s="203"/>
      <c r="AG92" s="203"/>
      <c r="AH92" s="203"/>
      <c r="AI92" s="203"/>
      <c r="AJ92" s="203"/>
      <c r="AK92" s="203"/>
      <c r="AL92" s="203"/>
      <c r="AM92" s="203"/>
      <c r="AN92" s="203"/>
      <c r="AO92" s="203"/>
      <c r="AP92" s="203"/>
      <c r="AQ92" s="203"/>
      <c r="AR92" s="203"/>
      <c r="AS92" s="203"/>
      <c r="AT92" s="203"/>
      <c r="AU92" s="203"/>
      <c r="AV92" s="203"/>
    </row>
    <row r="93" spans="1:48">
      <c r="A93" s="6" t="s">
        <v>57</v>
      </c>
      <c r="B93" s="297" t="s">
        <v>34</v>
      </c>
      <c r="C93" s="298">
        <v>179</v>
      </c>
      <c r="D93" s="298">
        <v>755</v>
      </c>
      <c r="E93" s="298">
        <v>131</v>
      </c>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30" t="s">
        <v>460</v>
      </c>
      <c r="AE93" s="446" t="s">
        <v>461</v>
      </c>
      <c r="AF93" s="203"/>
      <c r="AG93" s="203"/>
      <c r="AH93" s="203"/>
      <c r="AI93" s="203"/>
      <c r="AJ93" s="203"/>
      <c r="AK93" s="203"/>
      <c r="AL93" s="203"/>
      <c r="AM93" s="203"/>
      <c r="AN93" s="203"/>
      <c r="AO93" s="203"/>
      <c r="AP93" s="203"/>
      <c r="AQ93" s="203"/>
      <c r="AR93" s="203"/>
      <c r="AS93" s="203"/>
      <c r="AT93" s="203"/>
      <c r="AU93" s="203"/>
      <c r="AV93" s="203"/>
    </row>
    <row r="94" spans="1:48">
      <c r="A94" s="449"/>
      <c r="B94" s="450" t="s">
        <v>45</v>
      </c>
      <c r="C94" s="451">
        <v>2.1</v>
      </c>
      <c r="D94" s="452"/>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437" t="s">
        <v>420</v>
      </c>
      <c r="AF94" s="203" t="s">
        <v>462</v>
      </c>
      <c r="AG94" s="203"/>
      <c r="AH94" s="203"/>
      <c r="AI94" s="203"/>
      <c r="AJ94" s="203"/>
      <c r="AK94" s="203"/>
      <c r="AL94" s="203"/>
      <c r="AM94" s="203"/>
      <c r="AN94" s="203"/>
      <c r="AO94" s="203"/>
      <c r="AP94" s="203"/>
      <c r="AQ94" s="203"/>
      <c r="AR94" s="203"/>
      <c r="AS94" s="203"/>
      <c r="AT94" s="203"/>
      <c r="AU94" s="203"/>
      <c r="AV94" s="203"/>
    </row>
    <row r="95" spans="1:48">
      <c r="A95" s="449"/>
      <c r="B95" s="452"/>
      <c r="C95" s="452"/>
      <c r="D95" s="452"/>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30" t="s">
        <v>63</v>
      </c>
      <c r="AG95" s="203" t="s">
        <v>463</v>
      </c>
      <c r="AH95" s="203"/>
      <c r="AI95" s="203"/>
      <c r="AJ95" s="203"/>
      <c r="AK95" s="203"/>
      <c r="AL95" s="203"/>
      <c r="AM95" s="203"/>
      <c r="AN95" s="203"/>
      <c r="AO95" s="203"/>
      <c r="AP95" s="203"/>
      <c r="AQ95" s="203"/>
      <c r="AR95" s="203"/>
      <c r="AS95" s="203"/>
      <c r="AT95" s="203"/>
      <c r="AU95" s="203"/>
      <c r="AV95" s="203"/>
    </row>
    <row r="96" spans="1:48">
      <c r="A96" s="203"/>
      <c r="B96" s="203"/>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203"/>
      <c r="AB96" s="203"/>
      <c r="AC96" s="203"/>
      <c r="AD96" s="203"/>
      <c r="AE96" s="203"/>
      <c r="AF96" s="203"/>
      <c r="AG96" s="230" t="s">
        <v>464</v>
      </c>
      <c r="AH96" s="203" t="s">
        <v>465</v>
      </c>
      <c r="AI96" s="203"/>
      <c r="AJ96" s="203"/>
      <c r="AK96" s="203"/>
      <c r="AL96" s="203"/>
      <c r="AM96" s="203"/>
      <c r="AN96" s="203"/>
      <c r="AO96" s="203"/>
      <c r="AP96" s="203"/>
      <c r="AQ96" s="203"/>
      <c r="AR96" s="203"/>
      <c r="AS96" s="203"/>
      <c r="AT96" s="203"/>
      <c r="AU96" s="203"/>
      <c r="AV96" s="203"/>
    </row>
    <row r="97" spans="1:48">
      <c r="A97" s="203"/>
      <c r="B97" s="203"/>
      <c r="C97" s="203"/>
      <c r="D97" s="203"/>
      <c r="E97" s="203"/>
      <c r="F97" s="203"/>
      <c r="G97" s="203"/>
      <c r="H97" s="203"/>
      <c r="I97" s="203"/>
      <c r="J97" s="203"/>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3"/>
      <c r="AH97" s="203"/>
      <c r="AI97" s="203"/>
      <c r="AJ97" s="203"/>
      <c r="AK97" s="203"/>
      <c r="AL97" s="203"/>
      <c r="AM97" s="203"/>
      <c r="AN97" s="203"/>
      <c r="AO97" s="203"/>
      <c r="AP97" s="203"/>
      <c r="AQ97" s="203"/>
      <c r="AR97" s="203"/>
      <c r="AS97" s="203"/>
      <c r="AT97" s="203"/>
      <c r="AU97" s="203"/>
      <c r="AV97" s="203"/>
    </row>
    <row r="98" spans="1:48">
      <c r="A98" s="203"/>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row>
    <row r="99" spans="1:48">
      <c r="A99" s="203"/>
      <c r="B99" s="203"/>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row>
    <row r="100" spans="1:48">
      <c r="A100" s="203"/>
      <c r="B100" s="203"/>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3"/>
      <c r="AJ100" s="203"/>
      <c r="AK100" s="203"/>
      <c r="AL100" s="203"/>
      <c r="AM100" s="203"/>
      <c r="AN100" s="203"/>
      <c r="AO100" s="203"/>
      <c r="AP100" s="203"/>
      <c r="AQ100" s="203"/>
      <c r="AR100" s="203"/>
      <c r="AS100" s="203"/>
      <c r="AT100" s="203"/>
      <c r="AU100" s="203"/>
      <c r="AV100" s="203"/>
    </row>
  </sheetData>
  <mergeCells count="3">
    <mergeCell ref="G3:H3"/>
    <mergeCell ref="G4:H4"/>
    <mergeCell ref="Y4:Z4"/>
  </mergeCells>
  <conditionalFormatting sqref="AE33:AE74">
    <cfRule type="cellIs" dxfId="3" priority="16" operator="lessThan">
      <formula>1</formula>
    </cfRule>
  </conditionalFormatting>
  <conditionalFormatting sqref="X33:X73">
    <cfRule type="colorScale" priority="15">
      <colorScale>
        <cfvo type="min"/>
        <cfvo type="max"/>
        <color rgb="FFFCFCFF"/>
        <color rgb="FFF8696B"/>
      </colorScale>
    </cfRule>
  </conditionalFormatting>
  <conditionalFormatting sqref="Y33:Y73">
    <cfRule type="colorScale" priority="11">
      <colorScale>
        <cfvo type="min"/>
        <cfvo type="max"/>
        <color rgb="FFFCFCFF"/>
        <color rgb="FFF8696B"/>
      </colorScale>
    </cfRule>
  </conditionalFormatting>
  <conditionalFormatting sqref="AA33:AA73">
    <cfRule type="colorScale" priority="13">
      <colorScale>
        <cfvo type="min"/>
        <cfvo type="max"/>
        <color rgb="FFFCFCFF"/>
        <color rgb="FF63BE7B"/>
      </colorScale>
    </cfRule>
  </conditionalFormatting>
  <conditionalFormatting sqref="AA33:AA73">
    <cfRule type="colorScale" priority="12">
      <colorScale>
        <cfvo type="min"/>
        <cfvo type="percentile" val="50"/>
        <cfvo type="max"/>
        <color rgb="FF5A8AC6"/>
        <color rgb="FFFCFCFF"/>
        <color rgb="FFF8696B"/>
      </colorScale>
    </cfRule>
  </conditionalFormatting>
  <conditionalFormatting sqref="V33:V73">
    <cfRule type="cellIs" dxfId="2" priority="10" operator="equal">
      <formula>$AD$25</formula>
    </cfRule>
  </conditionalFormatting>
  <conditionalFormatting sqref="AI33:AI73">
    <cfRule type="cellIs" dxfId="1" priority="8" operator="lessThan">
      <formula>1</formula>
    </cfRule>
  </conditionalFormatting>
  <conditionalFormatting sqref="AF33:AF73">
    <cfRule type="colorScale" priority="7">
      <colorScale>
        <cfvo type="min"/>
        <cfvo type="percentile" val="50"/>
        <cfvo type="max"/>
        <color rgb="FF63BE7B"/>
        <color rgb="FFFFEB84"/>
        <color rgb="FFF8696B"/>
      </colorScale>
    </cfRule>
  </conditionalFormatting>
  <conditionalFormatting sqref="AG33:AG73">
    <cfRule type="colorScale" priority="6">
      <colorScale>
        <cfvo type="min"/>
        <cfvo type="percentile" val="50"/>
        <cfvo type="max"/>
        <color rgb="FF63BE7B"/>
        <color rgb="FFFFEB84"/>
        <color rgb="FFF8696B"/>
      </colorScale>
    </cfRule>
  </conditionalFormatting>
  <conditionalFormatting sqref="L33:L74">
    <cfRule type="colorScale" priority="5">
      <colorScale>
        <cfvo type="min"/>
        <cfvo type="percentile" val="50"/>
        <cfvo type="max"/>
        <color rgb="FF63BE7B"/>
        <color rgb="FFFFEB84"/>
        <color rgb="FFF8696B"/>
      </colorScale>
    </cfRule>
  </conditionalFormatting>
  <conditionalFormatting sqref="M33:M74">
    <cfRule type="colorScale" priority="4">
      <colorScale>
        <cfvo type="min"/>
        <cfvo type="percentile" val="50"/>
        <cfvo type="max"/>
        <color rgb="FF63BE7B"/>
        <color rgb="FFFFEB84"/>
        <color rgb="FFF8696B"/>
      </colorScale>
    </cfRule>
  </conditionalFormatting>
  <conditionalFormatting sqref="H33:H74">
    <cfRule type="cellIs" dxfId="0" priority="1" operator="equal">
      <formula>0</formula>
    </cfRule>
    <cfRule type="colorScale" priority="3">
      <colorScale>
        <cfvo type="min"/>
        <cfvo type="max"/>
        <color rgb="FFFCFCFF"/>
        <color rgb="FFF8696B"/>
      </colorScale>
    </cfRule>
  </conditionalFormatting>
  <conditionalFormatting sqref="G33:G74">
    <cfRule type="colorScale" priority="2">
      <colorScale>
        <cfvo type="min"/>
        <cfvo type="max"/>
        <color rgb="FFFCFCFF"/>
        <color rgb="FFF8696B"/>
      </colorScale>
    </cfRule>
  </conditionalFormatting>
  <dataValidations count="5">
    <dataValidation type="list" allowBlank="1" showInputMessage="1" showErrorMessage="1" sqref="X15" xr:uid="{C80BC15C-C79C-41A7-8764-2E9D2952F712}">
      <formula1>$A$89:$A$90</formula1>
    </dataValidation>
    <dataValidation type="list" allowBlank="1" showInputMessage="1" showErrorMessage="1" sqref="F15" xr:uid="{D54711BC-8FD8-4E46-8272-29F4D285BAC4}">
      <formula1>$A$83:$A$84</formula1>
    </dataValidation>
    <dataValidation type="list" allowBlank="1" showInputMessage="1" showErrorMessage="1" sqref="X17:X18 F17" xr:uid="{CABD8E75-AC16-4CB5-A44A-4F02E4554D7F}">
      <formula1>"on/off, inverter"</formula1>
    </dataValidation>
    <dataValidation type="list" allowBlank="1" showInputMessage="1" showErrorMessage="1" sqref="F3" xr:uid="{CA897C7B-F4AC-4F2B-9BC8-24223B4E17AD}">
      <formula1>"other, DD"</formula1>
    </dataValidation>
    <dataValidation type="list" allowBlank="1" showInputMessage="1" showErrorMessage="1" sqref="F14 X14" xr:uid="{8D26D6A7-3C01-4B15-9F69-5F2946AB9844}">
      <formula1>$C$31:$E$31</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205DF-8BC1-44A7-B370-382E58274EB9}">
  <sheetPr codeName="Sheet4"/>
  <dimension ref="A1:E72"/>
  <sheetViews>
    <sheetView zoomScale="85" zoomScaleNormal="85" workbookViewId="0">
      <selection activeCell="K36" sqref="K36"/>
    </sheetView>
  </sheetViews>
  <sheetFormatPr defaultColWidth="11.42578125" defaultRowHeight="15"/>
  <cols>
    <col min="1" max="2" width="11.42578125" style="7"/>
    <col min="3" max="3" width="23.85546875" style="7" customWidth="1"/>
    <col min="4" max="16384" width="11.42578125" style="7"/>
  </cols>
  <sheetData>
    <row r="1" spans="1:5">
      <c r="A1" s="7" t="s">
        <v>254</v>
      </c>
      <c r="B1" s="7" t="s">
        <v>61</v>
      </c>
      <c r="C1" s="7" t="s">
        <v>255</v>
      </c>
      <c r="E1" s="11" t="s">
        <v>256</v>
      </c>
    </row>
    <row r="2" spans="1:5">
      <c r="A2" s="7">
        <v>1</v>
      </c>
      <c r="B2" s="7">
        <v>-30</v>
      </c>
      <c r="C2" s="7">
        <v>1.4529442229321177</v>
      </c>
      <c r="D2" s="48">
        <f>-0.005*B2+1.3</f>
        <v>1.45</v>
      </c>
    </row>
    <row r="3" spans="1:5">
      <c r="A3" s="7">
        <v>2</v>
      </c>
      <c r="B3" s="7">
        <v>-29</v>
      </c>
      <c r="C3" s="7">
        <v>1.4469636925600637</v>
      </c>
      <c r="D3" s="48">
        <f t="shared" ref="D3:D66" si="0">-0.005*B3+1.3</f>
        <v>1.4450000000000001</v>
      </c>
    </row>
    <row r="4" spans="1:5">
      <c r="A4" s="7">
        <v>3</v>
      </c>
      <c r="B4" s="7">
        <v>-28</v>
      </c>
      <c r="C4" s="7">
        <v>1.4410324184810595</v>
      </c>
      <c r="D4" s="48">
        <f t="shared" si="0"/>
        <v>1.44</v>
      </c>
    </row>
    <row r="5" spans="1:5">
      <c r="A5" s="7">
        <v>4</v>
      </c>
      <c r="B5" s="7">
        <v>-27</v>
      </c>
      <c r="C5" s="7">
        <v>1.4351497915354594</v>
      </c>
      <c r="D5" s="48">
        <f t="shared" si="0"/>
        <v>1.4350000000000001</v>
      </c>
    </row>
    <row r="6" spans="1:5">
      <c r="A6" s="7">
        <v>5</v>
      </c>
      <c r="B6" s="7">
        <v>-26</v>
      </c>
      <c r="C6" s="7">
        <v>1.4293152126247231</v>
      </c>
      <c r="D6" s="48">
        <f t="shared" si="0"/>
        <v>1.4300000000000002</v>
      </c>
    </row>
    <row r="7" spans="1:5">
      <c r="A7" s="7">
        <v>6</v>
      </c>
      <c r="B7" s="7">
        <v>-25</v>
      </c>
      <c r="C7" s="7">
        <v>1.4235280925032245</v>
      </c>
      <c r="D7" s="48">
        <f t="shared" si="0"/>
        <v>1.425</v>
      </c>
    </row>
    <row r="8" spans="1:5">
      <c r="A8" s="7">
        <v>7</v>
      </c>
      <c r="B8" s="7">
        <v>-24</v>
      </c>
      <c r="C8" s="7">
        <v>1.4177878515752758</v>
      </c>
      <c r="D8" s="48">
        <f t="shared" si="0"/>
        <v>1.42</v>
      </c>
    </row>
    <row r="9" spans="1:5">
      <c r="A9" s="7">
        <v>8</v>
      </c>
      <c r="B9" s="7">
        <v>-23</v>
      </c>
      <c r="C9" s="7">
        <v>1.4120939196971607</v>
      </c>
      <c r="D9" s="48">
        <f t="shared" si="0"/>
        <v>1.415</v>
      </c>
    </row>
    <row r="10" spans="1:5">
      <c r="A10" s="7">
        <v>9</v>
      </c>
      <c r="B10" s="7">
        <v>-22</v>
      </c>
      <c r="C10" s="7">
        <v>1.4064457359840588</v>
      </c>
      <c r="D10" s="48">
        <f t="shared" si="0"/>
        <v>1.4100000000000001</v>
      </c>
    </row>
    <row r="11" spans="1:5">
      <c r="A11" s="7">
        <v>10</v>
      </c>
      <c r="B11" s="7">
        <v>-21</v>
      </c>
      <c r="C11" s="7">
        <v>1.4008427486217232</v>
      </c>
      <c r="D11" s="48">
        <f t="shared" si="0"/>
        <v>1.405</v>
      </c>
    </row>
    <row r="12" spans="1:5">
      <c r="A12" s="7">
        <v>11</v>
      </c>
      <c r="B12" s="7">
        <v>-20</v>
      </c>
      <c r="C12" s="7">
        <v>1.3952844146827592</v>
      </c>
      <c r="D12" s="48">
        <f t="shared" si="0"/>
        <v>1.4000000000000001</v>
      </c>
    </row>
    <row r="13" spans="1:5">
      <c r="A13" s="7">
        <v>12</v>
      </c>
      <c r="B13" s="7">
        <v>-19</v>
      </c>
      <c r="C13" s="7">
        <v>1.3897701999473766</v>
      </c>
      <c r="D13" s="48">
        <f t="shared" si="0"/>
        <v>1.395</v>
      </c>
    </row>
    <row r="14" spans="1:5">
      <c r="A14" s="7">
        <v>13</v>
      </c>
      <c r="B14" s="7">
        <v>-18</v>
      </c>
      <c r="C14" s="7">
        <v>1.384299578728502</v>
      </c>
      <c r="D14" s="48">
        <f t="shared" si="0"/>
        <v>1.3900000000000001</v>
      </c>
    </row>
    <row r="15" spans="1:5">
      <c r="A15" s="7">
        <v>14</v>
      </c>
      <c r="B15" s="7">
        <v>-17</v>
      </c>
      <c r="C15" s="7">
        <v>1.3788720337011087</v>
      </c>
      <c r="D15" s="48">
        <f t="shared" si="0"/>
        <v>1.385</v>
      </c>
    </row>
    <row r="16" spans="1:5">
      <c r="A16" s="7">
        <v>15</v>
      </c>
      <c r="B16" s="7">
        <v>-16</v>
      </c>
      <c r="C16" s="7">
        <v>1.37348705573565</v>
      </c>
      <c r="D16" s="48">
        <f t="shared" si="0"/>
        <v>1.3800000000000001</v>
      </c>
    </row>
    <row r="17" spans="1:5">
      <c r="A17" s="7">
        <v>16</v>
      </c>
      <c r="B17" s="7">
        <v>-15</v>
      </c>
      <c r="C17" s="7">
        <v>1.3681441437354918</v>
      </c>
      <c r="D17" s="48">
        <f t="shared" si="0"/>
        <v>1.375</v>
      </c>
    </row>
    <row r="18" spans="1:5">
      <c r="A18" s="7">
        <v>17</v>
      </c>
      <c r="B18" s="7">
        <v>-14</v>
      </c>
      <c r="C18" s="7">
        <v>1.3628428044782142</v>
      </c>
      <c r="D18" s="48">
        <f t="shared" si="0"/>
        <v>1.37</v>
      </c>
    </row>
    <row r="19" spans="1:5">
      <c r="A19" s="7">
        <v>18</v>
      </c>
      <c r="B19" s="7">
        <v>-13</v>
      </c>
      <c r="C19" s="7">
        <v>1.3575825524606913</v>
      </c>
      <c r="D19" s="48">
        <f t="shared" si="0"/>
        <v>1.365</v>
      </c>
    </row>
    <row r="20" spans="1:5">
      <c r="A20" s="7">
        <v>19</v>
      </c>
      <c r="B20" s="7">
        <v>-12</v>
      </c>
      <c r="C20" s="7">
        <v>1.3523629097478334</v>
      </c>
      <c r="D20" s="48">
        <f t="shared" si="0"/>
        <v>1.36</v>
      </c>
    </row>
    <row r="21" spans="1:5">
      <c r="A21" s="7">
        <v>20</v>
      </c>
      <c r="B21" s="7">
        <v>-11</v>
      </c>
      <c r="C21" s="7">
        <v>1.347183405824891</v>
      </c>
      <c r="D21" s="48">
        <f t="shared" si="0"/>
        <v>1.355</v>
      </c>
    </row>
    <row r="22" spans="1:5">
      <c r="A22" s="7">
        <v>21</v>
      </c>
      <c r="B22" s="62">
        <v>-10</v>
      </c>
      <c r="C22" s="62">
        <v>1.34204357745323</v>
      </c>
      <c r="D22" s="48">
        <f t="shared" si="0"/>
        <v>1.35</v>
      </c>
      <c r="E22" s="7">
        <f>C22/D22</f>
        <v>0.9941063536690592</v>
      </c>
    </row>
    <row r="23" spans="1:5">
      <c r="A23" s="7">
        <v>22</v>
      </c>
      <c r="B23" s="7">
        <v>-9</v>
      </c>
      <c r="C23" s="7">
        <v>1.3369429685294703</v>
      </c>
      <c r="D23" s="48">
        <f t="shared" si="0"/>
        <v>1.345</v>
      </c>
    </row>
    <row r="24" spans="1:5">
      <c r="A24" s="7">
        <v>23</v>
      </c>
      <c r="B24" s="7">
        <v>-8</v>
      </c>
      <c r="C24" s="7">
        <v>1.3318811299479081</v>
      </c>
      <c r="D24" s="48">
        <f t="shared" si="0"/>
        <v>1.34</v>
      </c>
    </row>
    <row r="25" spans="1:5">
      <c r="A25" s="7">
        <v>24</v>
      </c>
      <c r="B25" s="7">
        <v>-7</v>
      </c>
      <c r="C25" s="7">
        <v>1.3268576194661348</v>
      </c>
      <c r="D25" s="48">
        <f t="shared" si="0"/>
        <v>1.335</v>
      </c>
    </row>
    <row r="26" spans="1:5">
      <c r="A26" s="7">
        <v>25</v>
      </c>
      <c r="B26" s="7">
        <v>-6</v>
      </c>
      <c r="C26" s="7">
        <v>1.321872001573734</v>
      </c>
      <c r="D26" s="48">
        <f t="shared" si="0"/>
        <v>1.33</v>
      </c>
    </row>
    <row r="27" spans="1:5">
      <c r="A27" s="7">
        <v>26</v>
      </c>
      <c r="B27" s="7">
        <v>-5</v>
      </c>
      <c r="C27" s="7">
        <v>1.3169238473640321</v>
      </c>
      <c r="D27" s="48">
        <f t="shared" si="0"/>
        <v>1.325</v>
      </c>
    </row>
    <row r="28" spans="1:5">
      <c r="A28" s="7">
        <v>27</v>
      </c>
      <c r="B28" s="7">
        <v>-4</v>
      </c>
      <c r="C28" s="7">
        <v>1.3120127344087582</v>
      </c>
      <c r="D28" s="48">
        <f t="shared" si="0"/>
        <v>1.32</v>
      </c>
    </row>
    <row r="29" spans="1:5">
      <c r="A29" s="7">
        <v>28</v>
      </c>
      <c r="B29" s="7">
        <v>-3</v>
      </c>
      <c r="C29" s="7">
        <v>1.3071382466355739</v>
      </c>
      <c r="D29" s="48">
        <f t="shared" si="0"/>
        <v>1.3149999999999999</v>
      </c>
    </row>
    <row r="30" spans="1:5">
      <c r="A30" s="7">
        <v>29</v>
      </c>
      <c r="B30" s="7">
        <v>-2</v>
      </c>
      <c r="C30" s="7">
        <v>1.3022999742083932</v>
      </c>
      <c r="D30" s="48">
        <f t="shared" si="0"/>
        <v>1.31</v>
      </c>
    </row>
    <row r="31" spans="1:5">
      <c r="A31" s="7">
        <v>30</v>
      </c>
      <c r="B31" s="7">
        <v>-1</v>
      </c>
      <c r="C31" s="7">
        <v>1.2974975134103957</v>
      </c>
      <c r="D31" s="48">
        <f t="shared" si="0"/>
        <v>1.3049999999999999</v>
      </c>
    </row>
    <row r="32" spans="1:5">
      <c r="A32" s="7">
        <v>31</v>
      </c>
      <c r="B32" s="7">
        <v>0</v>
      </c>
      <c r="C32" s="7">
        <v>1.2927304665296968</v>
      </c>
      <c r="D32" s="48">
        <f t="shared" si="0"/>
        <v>1.3</v>
      </c>
    </row>
    <row r="33" spans="1:5">
      <c r="A33" s="7">
        <v>32</v>
      </c>
      <c r="B33" s="7">
        <v>1</v>
      </c>
      <c r="C33" s="7">
        <v>1.2879984417475603</v>
      </c>
      <c r="D33" s="48">
        <f t="shared" si="0"/>
        <v>1.2950000000000002</v>
      </c>
    </row>
    <row r="34" spans="1:5">
      <c r="A34" s="7">
        <v>33</v>
      </c>
      <c r="B34" s="7">
        <v>2</v>
      </c>
      <c r="C34" s="7">
        <v>1.2833010530291395</v>
      </c>
      <c r="D34" s="48">
        <f t="shared" si="0"/>
        <v>1.29</v>
      </c>
    </row>
    <row r="35" spans="1:5">
      <c r="A35" s="7">
        <v>34</v>
      </c>
      <c r="B35" s="7">
        <v>3</v>
      </c>
      <c r="C35" s="7">
        <v>1.2786379200166333</v>
      </c>
      <c r="D35" s="48">
        <f t="shared" si="0"/>
        <v>1.2850000000000001</v>
      </c>
    </row>
    <row r="36" spans="1:5">
      <c r="A36" s="7">
        <v>35</v>
      </c>
      <c r="B36" s="7">
        <v>4</v>
      </c>
      <c r="C36" s="7">
        <v>1.2740086679248213</v>
      </c>
      <c r="D36" s="48">
        <f t="shared" si="0"/>
        <v>1.28</v>
      </c>
    </row>
    <row r="37" spans="1:5">
      <c r="A37" s="7">
        <v>36</v>
      </c>
      <c r="B37" s="7">
        <v>5</v>
      </c>
      <c r="C37" s="7">
        <v>1.2694129274389057</v>
      </c>
      <c r="D37" s="48">
        <f t="shared" si="0"/>
        <v>1.2750000000000001</v>
      </c>
    </row>
    <row r="38" spans="1:5">
      <c r="A38" s="7">
        <v>37</v>
      </c>
      <c r="B38" s="7">
        <v>6</v>
      </c>
      <c r="C38" s="7">
        <v>1.2648503346146134</v>
      </c>
      <c r="D38" s="48">
        <f t="shared" si="0"/>
        <v>1.27</v>
      </c>
    </row>
    <row r="39" spans="1:5">
      <c r="A39" s="7">
        <v>38</v>
      </c>
      <c r="B39" s="7">
        <v>7</v>
      </c>
      <c r="C39" s="7">
        <v>1.2603205307804708</v>
      </c>
      <c r="D39" s="48">
        <f t="shared" si="0"/>
        <v>1.2650000000000001</v>
      </c>
    </row>
    <row r="40" spans="1:5">
      <c r="A40" s="7">
        <v>39</v>
      </c>
      <c r="B40" s="7">
        <v>8</v>
      </c>
      <c r="C40" s="7">
        <v>1.2558231624422436</v>
      </c>
      <c r="D40" s="48">
        <f t="shared" si="0"/>
        <v>1.26</v>
      </c>
    </row>
    <row r="41" spans="1:5">
      <c r="A41" s="7">
        <v>40</v>
      </c>
      <c r="B41" s="7">
        <v>9</v>
      </c>
      <c r="C41" s="7">
        <v>1.2513578811894253</v>
      </c>
      <c r="D41" s="48">
        <f t="shared" si="0"/>
        <v>1.2550000000000001</v>
      </c>
    </row>
    <row r="42" spans="1:5">
      <c r="A42" s="7">
        <v>41</v>
      </c>
      <c r="B42" s="28">
        <v>10</v>
      </c>
      <c r="C42" s="28">
        <v>1.2469243436037802</v>
      </c>
      <c r="D42" s="48">
        <f t="shared" si="0"/>
        <v>1.25</v>
      </c>
      <c r="E42" s="7">
        <f>C42/D42</f>
        <v>0.99753947488302419</v>
      </c>
    </row>
    <row r="43" spans="1:5">
      <c r="A43" s="7">
        <v>42</v>
      </c>
      <c r="B43" s="7">
        <v>11</v>
      </c>
      <c r="C43" s="7">
        <v>1.2425222111698526</v>
      </c>
      <c r="D43" s="48">
        <f t="shared" si="0"/>
        <v>1.2450000000000001</v>
      </c>
    </row>
    <row r="44" spans="1:5">
      <c r="A44" s="7">
        <v>43</v>
      </c>
      <c r="B44" s="28">
        <v>12</v>
      </c>
      <c r="C44" s="28">
        <v>1.2381511501874045</v>
      </c>
      <c r="D44" s="48">
        <f t="shared" si="0"/>
        <v>1.24</v>
      </c>
    </row>
    <row r="45" spans="1:5">
      <c r="A45" s="7">
        <v>44</v>
      </c>
      <c r="B45" s="7">
        <v>13</v>
      </c>
      <c r="C45" s="7">
        <v>1.2338108316857319</v>
      </c>
      <c r="D45" s="48">
        <f t="shared" si="0"/>
        <v>1.2350000000000001</v>
      </c>
    </row>
    <row r="46" spans="1:5">
      <c r="A46" s="7">
        <v>45</v>
      </c>
      <c r="B46" s="7">
        <v>14</v>
      </c>
      <c r="C46" s="7">
        <v>1.2295009313398109</v>
      </c>
      <c r="D46" s="48">
        <f t="shared" si="0"/>
        <v>1.23</v>
      </c>
    </row>
    <row r="47" spans="1:5">
      <c r="A47" s="7">
        <v>46</v>
      </c>
      <c r="B47" s="7">
        <v>15</v>
      </c>
      <c r="C47" s="7">
        <v>1.22522112938824</v>
      </c>
      <c r="D47" s="48">
        <f t="shared" si="0"/>
        <v>1.2250000000000001</v>
      </c>
    </row>
    <row r="48" spans="1:5">
      <c r="A48" s="7">
        <v>47</v>
      </c>
      <c r="B48" s="7">
        <v>16</v>
      </c>
      <c r="C48" s="7">
        <v>1.220971110552906</v>
      </c>
      <c r="D48" s="48">
        <f t="shared" si="0"/>
        <v>1.22</v>
      </c>
    </row>
    <row r="49" spans="1:5">
      <c r="A49" s="7">
        <v>48</v>
      </c>
      <c r="B49" s="7">
        <v>17</v>
      </c>
      <c r="C49" s="7">
        <v>1.2167505639603631</v>
      </c>
      <c r="D49" s="48">
        <f t="shared" si="0"/>
        <v>1.2150000000000001</v>
      </c>
    </row>
    <row r="50" spans="1:5">
      <c r="A50" s="7">
        <v>49</v>
      </c>
      <c r="B50" s="7">
        <v>18</v>
      </c>
      <c r="C50" s="7">
        <v>1.2125591830648672</v>
      </c>
      <c r="D50" s="48">
        <f t="shared" si="0"/>
        <v>1.21</v>
      </c>
    </row>
    <row r="51" spans="1:5">
      <c r="A51" s="7">
        <v>50</v>
      </c>
      <c r="B51" s="7">
        <v>19</v>
      </c>
      <c r="C51" s="7">
        <v>1.2083966655730136</v>
      </c>
      <c r="D51" s="48">
        <f t="shared" si="0"/>
        <v>1.2050000000000001</v>
      </c>
    </row>
    <row r="52" spans="1:5">
      <c r="A52" s="7">
        <v>51</v>
      </c>
      <c r="B52" s="28">
        <v>20</v>
      </c>
      <c r="C52" s="28">
        <v>1.2042627133699646</v>
      </c>
      <c r="D52" s="48">
        <f t="shared" si="0"/>
        <v>1.2</v>
      </c>
      <c r="E52" s="7">
        <f>C52/D52</f>
        <v>1.0035522611416372</v>
      </c>
    </row>
    <row r="53" spans="1:5">
      <c r="B53" s="7">
        <v>21</v>
      </c>
      <c r="D53" s="48">
        <f t="shared" si="0"/>
        <v>1.1950000000000001</v>
      </c>
    </row>
    <row r="54" spans="1:5">
      <c r="B54" s="7">
        <v>22</v>
      </c>
      <c r="D54" s="48">
        <f t="shared" si="0"/>
        <v>1.19</v>
      </c>
    </row>
    <row r="55" spans="1:5">
      <c r="B55" s="7">
        <v>23</v>
      </c>
      <c r="D55" s="48">
        <f t="shared" si="0"/>
        <v>1.1850000000000001</v>
      </c>
    </row>
    <row r="56" spans="1:5">
      <c r="B56" s="7">
        <v>24</v>
      </c>
      <c r="D56" s="48">
        <f t="shared" si="0"/>
        <v>1.1800000000000002</v>
      </c>
    </row>
    <row r="57" spans="1:5">
      <c r="B57" s="7">
        <v>25</v>
      </c>
      <c r="D57" s="48">
        <f t="shared" si="0"/>
        <v>1.175</v>
      </c>
    </row>
    <row r="58" spans="1:5">
      <c r="B58" s="7">
        <v>26</v>
      </c>
      <c r="D58" s="48">
        <f t="shared" si="0"/>
        <v>1.17</v>
      </c>
    </row>
    <row r="59" spans="1:5">
      <c r="B59" s="7">
        <v>27</v>
      </c>
      <c r="D59" s="48">
        <f t="shared" si="0"/>
        <v>1.165</v>
      </c>
    </row>
    <row r="60" spans="1:5">
      <c r="B60" s="7">
        <v>28</v>
      </c>
      <c r="D60" s="48">
        <f t="shared" si="0"/>
        <v>1.1600000000000001</v>
      </c>
    </row>
    <row r="61" spans="1:5">
      <c r="B61" s="7">
        <v>29</v>
      </c>
      <c r="D61" s="48">
        <f t="shared" si="0"/>
        <v>1.155</v>
      </c>
    </row>
    <row r="62" spans="1:5">
      <c r="B62" s="7">
        <v>30</v>
      </c>
      <c r="D62" s="48">
        <f t="shared" si="0"/>
        <v>1.1500000000000001</v>
      </c>
    </row>
    <row r="63" spans="1:5">
      <c r="B63" s="7">
        <v>31</v>
      </c>
      <c r="D63" s="48">
        <f t="shared" si="0"/>
        <v>1.145</v>
      </c>
    </row>
    <row r="64" spans="1:5">
      <c r="B64" s="7">
        <v>32</v>
      </c>
      <c r="D64" s="48">
        <f t="shared" si="0"/>
        <v>1.1400000000000001</v>
      </c>
    </row>
    <row r="65" spans="2:4">
      <c r="B65" s="7">
        <v>33</v>
      </c>
      <c r="D65" s="48">
        <f t="shared" si="0"/>
        <v>1.135</v>
      </c>
    </row>
    <row r="66" spans="2:4">
      <c r="B66" s="7">
        <v>34</v>
      </c>
      <c r="D66" s="48">
        <f t="shared" si="0"/>
        <v>1.1300000000000001</v>
      </c>
    </row>
    <row r="67" spans="2:4">
      <c r="B67" s="7">
        <v>35</v>
      </c>
      <c r="D67" s="48">
        <f t="shared" ref="D67:D72" si="1">-0.005*B67+1.3</f>
        <v>1.125</v>
      </c>
    </row>
    <row r="68" spans="2:4">
      <c r="B68" s="7">
        <v>36</v>
      </c>
      <c r="D68" s="48">
        <f t="shared" si="1"/>
        <v>1.1200000000000001</v>
      </c>
    </row>
    <row r="69" spans="2:4">
      <c r="B69" s="7">
        <v>37</v>
      </c>
      <c r="D69" s="48">
        <f t="shared" si="1"/>
        <v>1.115</v>
      </c>
    </row>
    <row r="70" spans="2:4">
      <c r="B70" s="7">
        <v>38</v>
      </c>
      <c r="D70" s="48">
        <f t="shared" si="1"/>
        <v>1.1100000000000001</v>
      </c>
    </row>
    <row r="71" spans="2:4">
      <c r="B71" s="7">
        <v>39</v>
      </c>
      <c r="D71" s="48">
        <f t="shared" si="1"/>
        <v>1.105</v>
      </c>
    </row>
    <row r="72" spans="2:4">
      <c r="B72" s="7">
        <v>40</v>
      </c>
      <c r="D72" s="48">
        <f t="shared" si="1"/>
        <v>1.1000000000000001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RAC_COOLING</vt:lpstr>
      <vt:lpstr>RAC_HEATING</vt:lpstr>
      <vt:lpstr>Density calculation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2022-06-08T21:30:13Z</dcterms:created>
  <dcterms:modified xsi:type="dcterms:W3CDTF">2022-06-08T21:30:30Z</dcterms:modified>
</cp:coreProperties>
</file>